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2" tabRatio="778" activeTab="3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K45" i="3" l="1"/>
  <c r="F151" i="24"/>
  <c r="F152" i="24"/>
  <c r="F156" i="24"/>
  <c r="F158" i="24"/>
  <c r="F22" i="24" l="1"/>
  <c r="F25" i="24"/>
  <c r="F26" i="24"/>
  <c r="F27" i="24"/>
  <c r="F29" i="24"/>
  <c r="F2" i="24"/>
  <c r="F3" i="24"/>
  <c r="F4" i="24"/>
  <c r="F5" i="24"/>
  <c r="F7" i="24"/>
  <c r="F8" i="24"/>
  <c r="F9" i="24"/>
  <c r="F10" i="24"/>
  <c r="F11" i="24"/>
  <c r="F12" i="24"/>
  <c r="F15" i="24"/>
  <c r="F16" i="24"/>
  <c r="DR283" i="23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82" i="23"/>
  <c r="DX281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DD227" i="23"/>
  <c r="CJ227" i="23"/>
  <c r="CI227" i="23"/>
  <c r="CH227" i="23"/>
  <c r="X227" i="23"/>
  <c r="F227" i="23"/>
  <c r="E227" i="23"/>
  <c r="D227" i="23"/>
  <c r="C227" i="23"/>
  <c r="B227" i="23"/>
  <c r="DV226" i="23"/>
  <c r="DL226" i="23"/>
  <c r="DK226" i="23"/>
  <c r="CJ226" i="23"/>
  <c r="CI226" i="23"/>
  <c r="CH226" i="23"/>
  <c r="AS226" i="23"/>
  <c r="X226" i="23"/>
  <c r="G226" i="23"/>
  <c r="F226" i="23"/>
  <c r="E226" i="23"/>
  <c r="D226" i="23"/>
  <c r="C226" i="23"/>
  <c r="B226" i="23"/>
  <c r="DW225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O224" i="23"/>
  <c r="O223" i="23" s="1"/>
  <c r="N224" i="23"/>
  <c r="N223" i="23" s="1"/>
  <c r="M224" i="23"/>
  <c r="M223" i="23" s="1"/>
  <c r="L224" i="23"/>
  <c r="L223" i="23" s="1"/>
  <c r="DW221" i="23"/>
  <c r="A221" i="23"/>
  <c r="DW220" i="23"/>
  <c r="A220" i="23"/>
  <c r="DW219" i="23"/>
  <c r="A219" i="23"/>
  <c r="DW218" i="23"/>
  <c r="A218" i="23"/>
  <c r="DW217" i="23"/>
  <c r="A217" i="23"/>
  <c r="DW216" i="23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S212" i="23"/>
  <c r="DR212" i="23"/>
  <c r="DQ212" i="23"/>
  <c r="DF212" i="23"/>
  <c r="DB212" i="23"/>
  <c r="DA212" i="23"/>
  <c r="CT212" i="23"/>
  <c r="CS212" i="23"/>
  <c r="CR212" i="23"/>
  <c r="CQ212" i="23"/>
  <c r="CP212" i="23"/>
  <c r="CO212" i="23"/>
  <c r="CN212" i="23"/>
  <c r="CM212" i="23"/>
  <c r="CF212" i="23"/>
  <c r="CE212" i="23"/>
  <c r="CD212" i="23"/>
  <c r="CC212" i="23"/>
  <c r="BR212" i="23"/>
  <c r="BQ212" i="23"/>
  <c r="BP212" i="23"/>
  <c r="BN212" i="23"/>
  <c r="BM212" i="23"/>
  <c r="BK212" i="23"/>
  <c r="BF212" i="23"/>
  <c r="BE212" i="23"/>
  <c r="BD212" i="23"/>
  <c r="BC212" i="23"/>
  <c r="BB212" i="23"/>
  <c r="AY212" i="23"/>
  <c r="W212" i="23"/>
  <c r="R212" i="23"/>
  <c r="Q212" i="23"/>
  <c r="P212" i="23"/>
  <c r="O212" i="23"/>
  <c r="N212" i="23"/>
  <c r="M212" i="23"/>
  <c r="L212" i="23"/>
  <c r="K212" i="23"/>
  <c r="D212" i="23"/>
  <c r="C212" i="23"/>
  <c r="B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J206" i="23"/>
  <c r="CI206" i="23"/>
  <c r="CH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DW206" i="23" s="1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I204" i="23"/>
  <c r="CH204" i="23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O203" i="23"/>
  <c r="DN203" i="23"/>
  <c r="DM203" i="23"/>
  <c r="DL203" i="23"/>
  <c r="DK203" i="23"/>
  <c r="DJ203" i="23"/>
  <c r="DI203" i="23"/>
  <c r="DH203" i="23"/>
  <c r="DG203" i="23"/>
  <c r="DF203" i="23"/>
  <c r="DE203" i="23"/>
  <c r="CY203" i="23"/>
  <c r="CN203" i="23"/>
  <c r="CM203" i="23"/>
  <c r="CF203" i="23"/>
  <c r="CE203" i="23"/>
  <c r="CD203" i="23"/>
  <c r="CC203" i="23"/>
  <c r="BX203" i="23"/>
  <c r="BK203" i="23"/>
  <c r="AZ203" i="23"/>
  <c r="AY203" i="23"/>
  <c r="AR203" i="23"/>
  <c r="AQ203" i="23"/>
  <c r="AP203" i="23"/>
  <c r="AO203" i="23"/>
  <c r="AM203" i="23"/>
  <c r="AL203" i="23"/>
  <c r="AK203" i="23"/>
  <c r="AK205" i="23" s="1"/>
  <c r="AJ203" i="23"/>
  <c r="AJ205" i="23" s="1"/>
  <c r="AI203" i="23"/>
  <c r="AI205" i="23" s="1"/>
  <c r="AH203" i="23"/>
  <c r="AH205" i="23" s="1"/>
  <c r="AG203" i="23"/>
  <c r="AG205" i="23" s="1"/>
  <c r="AF203" i="23"/>
  <c r="AE203" i="23"/>
  <c r="AD203" i="23"/>
  <c r="AC203" i="23"/>
  <c r="W203" i="23"/>
  <c r="L203" i="23"/>
  <c r="K203" i="23"/>
  <c r="DX199" i="23"/>
  <c r="BY199" i="23"/>
  <c r="BP199" i="23"/>
  <c r="DX198" i="23"/>
  <c r="BY198" i="23"/>
  <c r="BP198" i="23"/>
  <c r="DX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BP186" i="23" s="1"/>
  <c r="AK191" i="23"/>
  <c r="AJ191" i="23"/>
  <c r="AI191" i="23"/>
  <c r="BY190" i="23"/>
  <c r="BP190" i="23"/>
  <c r="AK190" i="23"/>
  <c r="AJ190" i="23"/>
  <c r="AI190" i="23"/>
  <c r="BY189" i="23"/>
  <c r="BP189" i="23"/>
  <c r="A189" i="23"/>
  <c r="DX189" i="23" s="1"/>
  <c r="BY188" i="23"/>
  <c r="BP188" i="23"/>
  <c r="A188" i="23"/>
  <c r="DX188" i="23" s="1"/>
  <c r="BY187" i="23"/>
  <c r="BY186" i="23" s="1"/>
  <c r="BP187" i="23"/>
  <c r="A187" i="23"/>
  <c r="DX187" i="23" s="1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U171" i="23"/>
  <c r="DU203" i="23" s="1"/>
  <c r="DT171" i="23"/>
  <c r="DS171" i="23"/>
  <c r="DS203" i="23" s="1"/>
  <c r="DR171" i="23"/>
  <c r="DR203" i="23" s="1"/>
  <c r="DQ171" i="23"/>
  <c r="DQ203" i="23" s="1"/>
  <c r="DP171" i="23"/>
  <c r="DO171" i="23"/>
  <c r="DO212" i="23" s="1"/>
  <c r="DN171" i="23"/>
  <c r="DN212" i="23" s="1"/>
  <c r="DM171" i="23"/>
  <c r="DM212" i="23" s="1"/>
  <c r="DL171" i="23"/>
  <c r="DL212" i="23" s="1"/>
  <c r="DK171" i="23"/>
  <c r="DK212" i="23" s="1"/>
  <c r="DJ171" i="23"/>
  <c r="DJ212" i="23" s="1"/>
  <c r="DI171" i="23"/>
  <c r="DI212" i="23" s="1"/>
  <c r="DH171" i="23"/>
  <c r="DH212" i="23" s="1"/>
  <c r="DG171" i="23"/>
  <c r="DG212" i="23" s="1"/>
  <c r="DF171" i="23"/>
  <c r="DE171" i="23"/>
  <c r="DE212" i="23" s="1"/>
  <c r="DD171" i="23"/>
  <c r="DD203" i="23" s="1"/>
  <c r="DC171" i="23"/>
  <c r="DC203" i="23" s="1"/>
  <c r="DB171" i="23"/>
  <c r="DB203" i="23" s="1"/>
  <c r="DA171" i="23"/>
  <c r="DA203" i="23" s="1"/>
  <c r="CZ171" i="23"/>
  <c r="CZ212" i="23" s="1"/>
  <c r="CY171" i="23"/>
  <c r="CX171" i="23"/>
  <c r="CW171" i="23"/>
  <c r="CV171" i="23"/>
  <c r="CU171" i="23"/>
  <c r="CT171" i="23"/>
  <c r="CT203" i="23" s="1"/>
  <c r="CS171" i="23"/>
  <c r="CS203" i="23" s="1"/>
  <c r="CR171" i="23"/>
  <c r="CR203" i="23" s="1"/>
  <c r="CQ171" i="23"/>
  <c r="CQ203" i="23" s="1"/>
  <c r="CP171" i="23"/>
  <c r="CP203" i="23" s="1"/>
  <c r="CO171" i="23"/>
  <c r="CO203" i="23" s="1"/>
  <c r="CN171" i="23"/>
  <c r="CM171" i="23"/>
  <c r="CL171" i="23"/>
  <c r="CL203" i="23" s="1"/>
  <c r="CK171" i="23"/>
  <c r="CK203" i="23" s="1"/>
  <c r="CJ171" i="23"/>
  <c r="CJ212" i="23" s="1"/>
  <c r="CI171" i="23"/>
  <c r="CI212" i="23" s="1"/>
  <c r="CH171" i="23"/>
  <c r="CH212" i="23" s="1"/>
  <c r="CG171" i="23"/>
  <c r="CG212" i="23" s="1"/>
  <c r="CF171" i="23"/>
  <c r="CE171" i="23"/>
  <c r="CD171" i="23"/>
  <c r="CC171" i="23"/>
  <c r="CB171" i="23"/>
  <c r="CA171" i="23"/>
  <c r="CA203" i="23" s="1"/>
  <c r="BZ171" i="23"/>
  <c r="BZ212" i="23" s="1"/>
  <c r="BY171" i="23"/>
  <c r="BY212" i="23" s="1"/>
  <c r="BX171" i="23"/>
  <c r="BX212" i="23" s="1"/>
  <c r="BW171" i="23"/>
  <c r="BW212" i="23" s="1"/>
  <c r="BV171" i="23"/>
  <c r="BV212" i="23" s="1"/>
  <c r="BU171" i="23"/>
  <c r="BU212" i="23" s="1"/>
  <c r="BT171" i="23"/>
  <c r="BT212" i="23" s="1"/>
  <c r="BS171" i="23"/>
  <c r="BS212" i="23" s="1"/>
  <c r="BR171" i="23"/>
  <c r="BR203" i="23" s="1"/>
  <c r="BQ171" i="23"/>
  <c r="BQ203" i="23" s="1"/>
  <c r="BP171" i="23"/>
  <c r="BP203" i="23" s="1"/>
  <c r="BO171" i="23"/>
  <c r="BO203" i="23" s="1"/>
  <c r="BN171" i="23"/>
  <c r="BN203" i="23" s="1"/>
  <c r="BM171" i="23"/>
  <c r="BM203" i="23" s="1"/>
  <c r="BL171" i="23"/>
  <c r="BL203" i="23" s="1"/>
  <c r="BK171" i="23"/>
  <c r="BJ171" i="23"/>
  <c r="BJ203" i="23" s="1"/>
  <c r="BI171" i="23"/>
  <c r="BI203" i="23" s="1"/>
  <c r="BH171" i="23"/>
  <c r="BH203" i="23" s="1"/>
  <c r="BG171" i="23"/>
  <c r="BG203" i="23" s="1"/>
  <c r="BF171" i="23"/>
  <c r="BF203" i="23" s="1"/>
  <c r="BE171" i="23"/>
  <c r="BE203" i="23" s="1"/>
  <c r="BD171" i="23"/>
  <c r="BD203" i="23" s="1"/>
  <c r="BC171" i="23"/>
  <c r="BC203" i="23" s="1"/>
  <c r="BB171" i="23"/>
  <c r="BB203" i="23" s="1"/>
  <c r="BA171" i="23"/>
  <c r="BA203" i="23" s="1"/>
  <c r="AZ171" i="23"/>
  <c r="AY171" i="23"/>
  <c r="AX171" i="23"/>
  <c r="AX212" i="23" s="1"/>
  <c r="AW171" i="23"/>
  <c r="AV171" i="23"/>
  <c r="AV212" i="23" s="1"/>
  <c r="AU171" i="23"/>
  <c r="AU212" i="23" s="1"/>
  <c r="AT171" i="23"/>
  <c r="AT212" i="23" s="1"/>
  <c r="AS171" i="23"/>
  <c r="AS212" i="23" s="1"/>
  <c r="AR171" i="23"/>
  <c r="AQ171" i="23"/>
  <c r="AQ212" i="23" s="1"/>
  <c r="AP171" i="23"/>
  <c r="AP212" i="23" s="1"/>
  <c r="AO171" i="23"/>
  <c r="AO212" i="23" s="1"/>
  <c r="AN171" i="23"/>
  <c r="AN212" i="23" s="1"/>
  <c r="AM171" i="23"/>
  <c r="AM212" i="23" s="1"/>
  <c r="AL171" i="23"/>
  <c r="AK171" i="23"/>
  <c r="AK212" i="23" s="1"/>
  <c r="AJ171" i="23"/>
  <c r="AJ212" i="23" s="1"/>
  <c r="AI171" i="23"/>
  <c r="AI212" i="23" s="1"/>
  <c r="AH171" i="23"/>
  <c r="AG171" i="23"/>
  <c r="AF171" i="23"/>
  <c r="AF212" i="23" s="1"/>
  <c r="AE171" i="23"/>
  <c r="AE212" i="23" s="1"/>
  <c r="AD171" i="23"/>
  <c r="AD212" i="23" s="1"/>
  <c r="AC171" i="23"/>
  <c r="AC212" i="23" s="1"/>
  <c r="AB171" i="23"/>
  <c r="AB203" i="23" s="1"/>
  <c r="AA171" i="23"/>
  <c r="AA203" i="23" s="1"/>
  <c r="Z171" i="23"/>
  <c r="Z203" i="23" s="1"/>
  <c r="Y171" i="23"/>
  <c r="Y203" i="23" s="1"/>
  <c r="X171" i="23"/>
  <c r="W171" i="23"/>
  <c r="V171" i="23"/>
  <c r="V203" i="23" s="1"/>
  <c r="U171" i="23"/>
  <c r="U203" i="23" s="1"/>
  <c r="T171" i="23"/>
  <c r="T203" i="23" s="1"/>
  <c r="S171" i="23"/>
  <c r="S203" i="23" s="1"/>
  <c r="R171" i="23"/>
  <c r="R203" i="23" s="1"/>
  <c r="Q171" i="23"/>
  <c r="Q203" i="23" s="1"/>
  <c r="P171" i="23"/>
  <c r="P203" i="23" s="1"/>
  <c r="O171" i="23"/>
  <c r="O203" i="23" s="1"/>
  <c r="N171" i="23"/>
  <c r="N203" i="23" s="1"/>
  <c r="M171" i="23"/>
  <c r="M203" i="23" s="1"/>
  <c r="L171" i="23"/>
  <c r="K171" i="23"/>
  <c r="J171" i="23"/>
  <c r="J203" i="23" s="1"/>
  <c r="I171" i="23"/>
  <c r="I203" i="23" s="1"/>
  <c r="H171" i="23"/>
  <c r="G171" i="23"/>
  <c r="F171" i="23"/>
  <c r="E171" i="23"/>
  <c r="DW171" i="23" s="1"/>
  <c r="D171" i="23"/>
  <c r="D203" i="23" s="1"/>
  <c r="C171" i="23"/>
  <c r="C203" i="23" s="1"/>
  <c r="B171" i="23"/>
  <c r="B203" i="23" s="1"/>
  <c r="DX169" i="23"/>
  <c r="AJ169" i="23"/>
  <c r="AJ199" i="23" s="1"/>
  <c r="DX168" i="23"/>
  <c r="DX167" i="23"/>
  <c r="DX166" i="23"/>
  <c r="DX165" i="23"/>
  <c r="DX164" i="23"/>
  <c r="DX163" i="23"/>
  <c r="DX162" i="23"/>
  <c r="CS161" i="23"/>
  <c r="CS191" i="23" s="1"/>
  <c r="BS161" i="23"/>
  <c r="BS191" i="23" s="1"/>
  <c r="BQ161" i="23"/>
  <c r="BQ191" i="23" s="1"/>
  <c r="DP160" i="23"/>
  <c r="DP190" i="23" s="1"/>
  <c r="BI160" i="23"/>
  <c r="BI190" i="23" s="1"/>
  <c r="BH160" i="23"/>
  <c r="BH190" i="23" s="1"/>
  <c r="BG160" i="23"/>
  <c r="BG190" i="23" s="1"/>
  <c r="AE160" i="23"/>
  <c r="AE190" i="23" s="1"/>
  <c r="AD160" i="23"/>
  <c r="AD190" i="23" s="1"/>
  <c r="H160" i="23"/>
  <c r="H190" i="23" s="1"/>
  <c r="CF159" i="23"/>
  <c r="CF189" i="23" s="1"/>
  <c r="AJ159" i="23"/>
  <c r="AJ189" i="23" s="1"/>
  <c r="A159" i="23"/>
  <c r="DX159" i="23" s="1"/>
  <c r="DX158" i="23"/>
  <c r="DU158" i="23"/>
  <c r="DU188" i="23" s="1"/>
  <c r="DS158" i="23"/>
  <c r="DS188" i="23" s="1"/>
  <c r="DR158" i="23"/>
  <c r="DR188" i="23" s="1"/>
  <c r="DE158" i="23"/>
  <c r="DE188" i="23" s="1"/>
  <c r="BO158" i="23"/>
  <c r="BO188" i="23" s="1"/>
  <c r="BN158" i="23"/>
  <c r="BN188" i="23" s="1"/>
  <c r="BM158" i="23"/>
  <c r="BM188" i="23" s="1"/>
  <c r="BL158" i="23"/>
  <c r="BL188" i="23" s="1"/>
  <c r="BI158" i="23"/>
  <c r="BI188" i="23" s="1"/>
  <c r="BH158" i="23"/>
  <c r="BH188" i="23" s="1"/>
  <c r="BG158" i="23"/>
  <c r="BG188" i="23" s="1"/>
  <c r="A158" i="23"/>
  <c r="DU157" i="23"/>
  <c r="DU159" i="23" s="1"/>
  <c r="DS157" i="23"/>
  <c r="DS159" i="23" s="1"/>
  <c r="DR157" i="23"/>
  <c r="DG157" i="23"/>
  <c r="DG187" i="23" s="1"/>
  <c r="DF157" i="23"/>
  <c r="DE157" i="23"/>
  <c r="DD157" i="23"/>
  <c r="CU157" i="23"/>
  <c r="CU187" i="23" s="1"/>
  <c r="CS157" i="23"/>
  <c r="CS187" i="23" s="1"/>
  <c r="CR157" i="23"/>
  <c r="CR187" i="23" s="1"/>
  <c r="CQ157" i="23"/>
  <c r="CQ187" i="23" s="1"/>
  <c r="CP157" i="23"/>
  <c r="CP187" i="23" s="1"/>
  <c r="CO157" i="23"/>
  <c r="CO187" i="23" s="1"/>
  <c r="CN157" i="23"/>
  <c r="CN187" i="23" s="1"/>
  <c r="CM157" i="23"/>
  <c r="CM187" i="23" s="1"/>
  <c r="AR157" i="23"/>
  <c r="AR187" i="23" s="1"/>
  <c r="AQ157" i="23"/>
  <c r="AQ187" i="23" s="1"/>
  <c r="A157" i="23"/>
  <c r="DX157" i="23" s="1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J167" i="23" s="1"/>
  <c r="AJ197" i="23" s="1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DA140" i="23"/>
  <c r="BO140" i="23"/>
  <c r="BM140" i="23"/>
  <c r="BL140" i="23"/>
  <c r="BB140" i="23"/>
  <c r="BA140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DW139" i="23" s="1"/>
  <c r="DQ136" i="23"/>
  <c r="AR136" i="23"/>
  <c r="V134" i="23"/>
  <c r="CR132" i="23"/>
  <c r="CQ132" i="23"/>
  <c r="CR131" i="23"/>
  <c r="CQ131" i="23"/>
  <c r="N131" i="23"/>
  <c r="DV128" i="23"/>
  <c r="DU128" i="23"/>
  <c r="DS128" i="23"/>
  <c r="CZ128" i="23"/>
  <c r="CY128" i="23"/>
  <c r="CX128" i="23"/>
  <c r="CS128" i="23"/>
  <c r="CR128" i="23"/>
  <c r="CQ128" i="23"/>
  <c r="CP128" i="23"/>
  <c r="CB128" i="23"/>
  <c r="CA128" i="23"/>
  <c r="BD128" i="23"/>
  <c r="BC128" i="23"/>
  <c r="BB128" i="23"/>
  <c r="AJ128" i="23"/>
  <c r="AI128" i="23"/>
  <c r="DW127" i="23"/>
  <c r="DV126" i="23"/>
  <c r="DR126" i="23"/>
  <c r="DQ126" i="23"/>
  <c r="DP126" i="23"/>
  <c r="DO126" i="23"/>
  <c r="DN126" i="23"/>
  <c r="DM126" i="23"/>
  <c r="DL126" i="23"/>
  <c r="DK126" i="23"/>
  <c r="DF126" i="23"/>
  <c r="DE126" i="23"/>
  <c r="DD126" i="23"/>
  <c r="DC126" i="23"/>
  <c r="CV126" i="23"/>
  <c r="CR126" i="23"/>
  <c r="CA126" i="23"/>
  <c r="BW126" i="23"/>
  <c r="BS126" i="23"/>
  <c r="AE126" i="23"/>
  <c r="AD126" i="23"/>
  <c r="AC126" i="23"/>
  <c r="DV125" i="23"/>
  <c r="DR125" i="23"/>
  <c r="DR128" i="23" s="1"/>
  <c r="DQ125" i="23"/>
  <c r="DQ140" i="23" s="1"/>
  <c r="DP125" i="23"/>
  <c r="DO125" i="23"/>
  <c r="DN125" i="23"/>
  <c r="DM125" i="23"/>
  <c r="DL125" i="23"/>
  <c r="DK125" i="23"/>
  <c r="DJ125" i="23"/>
  <c r="DJ126" i="23" s="1"/>
  <c r="DI125" i="23"/>
  <c r="DI126" i="23" s="1"/>
  <c r="DH125" i="23"/>
  <c r="DH126" i="23" s="1"/>
  <c r="DG125" i="23"/>
  <c r="DG126" i="23" s="1"/>
  <c r="DF125" i="23"/>
  <c r="DE125" i="23"/>
  <c r="DD125" i="23"/>
  <c r="DC125" i="23"/>
  <c r="DB125" i="23"/>
  <c r="DB126" i="23" s="1"/>
  <c r="DA125" i="23"/>
  <c r="DA126" i="23" s="1"/>
  <c r="CZ125" i="23"/>
  <c r="CZ126" i="23" s="1"/>
  <c r="CY125" i="23"/>
  <c r="CX125" i="23"/>
  <c r="CW125" i="23"/>
  <c r="CV125" i="23"/>
  <c r="CU125" i="23"/>
  <c r="CU126" i="23" s="1"/>
  <c r="CT125" i="23"/>
  <c r="CT126" i="23" s="1"/>
  <c r="CS125" i="23"/>
  <c r="CS126" i="23" s="1"/>
  <c r="CR125" i="23"/>
  <c r="CQ125" i="23"/>
  <c r="CQ126" i="23" s="1"/>
  <c r="CP125" i="23"/>
  <c r="CP126" i="23" s="1"/>
  <c r="CO125" i="23"/>
  <c r="CO126" i="23" s="1"/>
  <c r="CN125" i="23"/>
  <c r="CN126" i="23" s="1"/>
  <c r="CM125" i="23"/>
  <c r="CM126" i="23" s="1"/>
  <c r="CL125" i="23"/>
  <c r="CL126" i="23" s="1"/>
  <c r="CK125" i="23"/>
  <c r="CK126" i="23" s="1"/>
  <c r="CJ125" i="23"/>
  <c r="CJ126" i="23" s="1"/>
  <c r="CI125" i="23"/>
  <c r="CI126" i="23" s="1"/>
  <c r="CH125" i="23"/>
  <c r="CH126" i="23" s="1"/>
  <c r="CG125" i="23"/>
  <c r="CG126" i="23" s="1"/>
  <c r="CF125" i="23"/>
  <c r="CF126" i="23" s="1"/>
  <c r="CE125" i="23"/>
  <c r="CE126" i="23" s="1"/>
  <c r="CD125" i="23"/>
  <c r="CD126" i="23" s="1"/>
  <c r="CC125" i="23"/>
  <c r="CC126" i="23" s="1"/>
  <c r="CB125" i="23"/>
  <c r="CB126" i="23" s="1"/>
  <c r="CA125" i="23"/>
  <c r="BZ125" i="23"/>
  <c r="BZ126" i="23" s="1"/>
  <c r="BY125" i="23"/>
  <c r="BY126" i="23" s="1"/>
  <c r="BX125" i="23"/>
  <c r="BX126" i="23" s="1"/>
  <c r="BW125" i="23"/>
  <c r="BV125" i="23"/>
  <c r="BV126" i="23" s="1"/>
  <c r="BU125" i="23"/>
  <c r="BU126" i="23" s="1"/>
  <c r="BT125" i="23"/>
  <c r="BT126" i="23" s="1"/>
  <c r="BS125" i="23"/>
  <c r="BR125" i="23"/>
  <c r="BR126" i="23" s="1"/>
  <c r="BQ125" i="23"/>
  <c r="BQ126" i="23" s="1"/>
  <c r="BP125" i="23"/>
  <c r="BP126" i="23" s="1"/>
  <c r="BO125" i="23"/>
  <c r="BN125" i="23"/>
  <c r="BN126" i="23" s="1"/>
  <c r="BM125" i="23"/>
  <c r="BM126" i="23" s="1"/>
  <c r="BL125" i="23"/>
  <c r="BK125" i="23"/>
  <c r="BK126" i="23" s="1"/>
  <c r="BJ125" i="23"/>
  <c r="BJ126" i="23" s="1"/>
  <c r="BI125" i="23"/>
  <c r="BI126" i="23" s="1"/>
  <c r="BH125" i="23"/>
  <c r="BH126" i="23" s="1"/>
  <c r="BG125" i="23"/>
  <c r="BG126" i="23" s="1"/>
  <c r="BF125" i="23"/>
  <c r="BF126" i="23" s="1"/>
  <c r="BE125" i="23"/>
  <c r="BE126" i="23" s="1"/>
  <c r="BD125" i="23"/>
  <c r="BD126" i="23" s="1"/>
  <c r="BC125" i="23"/>
  <c r="BC126" i="23" s="1"/>
  <c r="BB125" i="23"/>
  <c r="BB126" i="23" s="1"/>
  <c r="BA125" i="23"/>
  <c r="AZ125" i="23"/>
  <c r="AY125" i="23"/>
  <c r="AY140" i="23" s="1"/>
  <c r="AX125" i="23"/>
  <c r="AX126" i="23" s="1"/>
  <c r="AW125" i="23"/>
  <c r="AV125" i="23"/>
  <c r="AV126" i="23" s="1"/>
  <c r="AU125" i="23"/>
  <c r="AU126" i="23" s="1"/>
  <c r="AT125" i="23"/>
  <c r="AT126" i="23" s="1"/>
  <c r="AS125" i="23"/>
  <c r="AS126" i="23" s="1"/>
  <c r="AR125" i="23"/>
  <c r="AR140" i="23" s="1"/>
  <c r="AQ125" i="23"/>
  <c r="AQ126" i="23" s="1"/>
  <c r="AP125" i="23"/>
  <c r="AP126" i="23" s="1"/>
  <c r="AO125" i="23"/>
  <c r="AO126" i="23" s="1"/>
  <c r="AN125" i="23"/>
  <c r="AN126" i="23" s="1"/>
  <c r="AM125" i="23"/>
  <c r="AM126" i="23" s="1"/>
  <c r="AL125" i="23"/>
  <c r="AL140" i="23" s="1"/>
  <c r="AK125" i="23"/>
  <c r="AK126" i="23" s="1"/>
  <c r="AJ125" i="23"/>
  <c r="AJ126" i="23" s="1"/>
  <c r="AI125" i="23"/>
  <c r="AI126" i="23" s="1"/>
  <c r="AH125" i="23"/>
  <c r="AG125" i="23"/>
  <c r="AG126" i="23" s="1"/>
  <c r="AF125" i="23"/>
  <c r="AF126" i="23" s="1"/>
  <c r="AE125" i="23"/>
  <c r="AD125" i="23"/>
  <c r="AC125" i="23"/>
  <c r="AB125" i="23"/>
  <c r="AB126" i="23" s="1"/>
  <c r="AA125" i="23"/>
  <c r="AA140" i="23" s="1"/>
  <c r="Z125" i="23"/>
  <c r="Y125" i="23"/>
  <c r="Y140" i="23" s="1"/>
  <c r="X125" i="23"/>
  <c r="X126" i="23" s="1"/>
  <c r="W125" i="23"/>
  <c r="W126" i="23" s="1"/>
  <c r="V125" i="23"/>
  <c r="V126" i="23" s="1"/>
  <c r="U125" i="23"/>
  <c r="U126" i="23" s="1"/>
  <c r="T125" i="23"/>
  <c r="S125" i="23"/>
  <c r="R125" i="23"/>
  <c r="R126" i="23" s="1"/>
  <c r="Q125" i="23"/>
  <c r="P125" i="23"/>
  <c r="P126" i="23" s="1"/>
  <c r="O125" i="23"/>
  <c r="O126" i="23" s="1"/>
  <c r="N125" i="23"/>
  <c r="N132" i="23" s="1"/>
  <c r="M125" i="23"/>
  <c r="M126" i="23" s="1"/>
  <c r="L125" i="23"/>
  <c r="L126" i="23" s="1"/>
  <c r="K125" i="23"/>
  <c r="K126" i="23" s="1"/>
  <c r="J125" i="23"/>
  <c r="J126" i="23" s="1"/>
  <c r="I125" i="23"/>
  <c r="I140" i="23" s="1"/>
  <c r="H125" i="23"/>
  <c r="H126" i="23" s="1"/>
  <c r="G125" i="23"/>
  <c r="G126" i="23" s="1"/>
  <c r="F125" i="23"/>
  <c r="F126" i="23" s="1"/>
  <c r="E125" i="23"/>
  <c r="E126" i="23" s="1"/>
  <c r="D125" i="23"/>
  <c r="D126" i="23" s="1"/>
  <c r="C125" i="23"/>
  <c r="C126" i="23" s="1"/>
  <c r="B125" i="23"/>
  <c r="B132" i="23" s="1"/>
  <c r="DX124" i="23"/>
  <c r="DW124" i="23"/>
  <c r="DW123" i="23"/>
  <c r="DW122" i="23"/>
  <c r="DW121" i="23"/>
  <c r="DW120" i="23"/>
  <c r="DW119" i="23"/>
  <c r="DW118" i="23"/>
  <c r="DV115" i="23"/>
  <c r="DU115" i="23"/>
  <c r="DT115" i="23"/>
  <c r="DS115" i="23"/>
  <c r="DR115" i="23"/>
  <c r="DQ115" i="23"/>
  <c r="DP115" i="23"/>
  <c r="DO115" i="23"/>
  <c r="DN115" i="23"/>
  <c r="DM115" i="23"/>
  <c r="DL115" i="23"/>
  <c r="DK115" i="23"/>
  <c r="DK159" i="23" s="1"/>
  <c r="DK189" i="23" s="1"/>
  <c r="DJ115" i="23"/>
  <c r="DJ159" i="23" s="1"/>
  <c r="DJ189" i="23" s="1"/>
  <c r="DI115" i="23"/>
  <c r="DH115" i="23"/>
  <c r="DG115" i="23"/>
  <c r="DF115" i="23"/>
  <c r="DE115" i="23"/>
  <c r="DD115" i="23"/>
  <c r="DC115" i="23"/>
  <c r="DB115" i="23"/>
  <c r="DA115" i="23"/>
  <c r="CZ115" i="23"/>
  <c r="CZ157" i="23" s="1"/>
  <c r="CY115" i="23"/>
  <c r="CY157" i="23" s="1"/>
  <c r="CX115" i="23"/>
  <c r="CX157" i="23" s="1"/>
  <c r="CW115" i="23"/>
  <c r="CW157" i="23" s="1"/>
  <c r="CV115" i="23"/>
  <c r="CV157" i="23" s="1"/>
  <c r="CU115" i="23"/>
  <c r="CT115" i="23"/>
  <c r="CT157" i="23" s="1"/>
  <c r="CS115" i="23"/>
  <c r="CR115" i="23"/>
  <c r="CQ115" i="23"/>
  <c r="CP115" i="23"/>
  <c r="CO115" i="23"/>
  <c r="CN115" i="23"/>
  <c r="CM115" i="23"/>
  <c r="CL115" i="23"/>
  <c r="CK115" i="23"/>
  <c r="CJ115" i="23"/>
  <c r="CI115" i="23"/>
  <c r="CI160" i="23" s="1"/>
  <c r="CI190" i="23" s="1"/>
  <c r="CH115" i="23"/>
  <c r="CG115" i="23"/>
  <c r="CG157" i="23" s="1"/>
  <c r="CF115" i="23"/>
  <c r="CF157" i="23" s="1"/>
  <c r="CE115" i="23"/>
  <c r="CD115" i="23"/>
  <c r="CD157" i="23" s="1"/>
  <c r="CC115" i="23"/>
  <c r="CB115" i="23"/>
  <c r="CA115" i="23"/>
  <c r="BZ115" i="23"/>
  <c r="BY115" i="23"/>
  <c r="BX115" i="23"/>
  <c r="BW115" i="23"/>
  <c r="BW157" i="23" s="1"/>
  <c r="BV115" i="23"/>
  <c r="BU115" i="23"/>
  <c r="BT115" i="23"/>
  <c r="BS115" i="23"/>
  <c r="BR115" i="23"/>
  <c r="BQ115" i="23"/>
  <c r="BP115" i="23"/>
  <c r="BO115" i="23"/>
  <c r="BN115" i="23"/>
  <c r="BN157" i="23" s="1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J164" i="23" s="1"/>
  <c r="AJ194" i="23" s="1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X160" i="23" s="1"/>
  <c r="X190" i="23" s="1"/>
  <c r="W115" i="23"/>
  <c r="V115" i="23"/>
  <c r="U115" i="23"/>
  <c r="T115" i="23"/>
  <c r="T158" i="23" s="1"/>
  <c r="T188" i="23" s="1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H158" i="23" s="1"/>
  <c r="H188" i="23" s="1"/>
  <c r="G115" i="23"/>
  <c r="F115" i="23"/>
  <c r="E115" i="23"/>
  <c r="D115" i="23"/>
  <c r="C115" i="23"/>
  <c r="B115" i="23"/>
  <c r="DV113" i="23"/>
  <c r="DR113" i="23"/>
  <c r="DQ113" i="23"/>
  <c r="X113" i="23"/>
  <c r="DV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W111" i="23" s="1"/>
  <c r="DW229" i="23" s="1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DW110" i="23" s="1"/>
  <c r="DW228" i="23" s="1"/>
  <c r="B110" i="23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K227" i="23" s="1"/>
  <c r="DJ109" i="23"/>
  <c r="DJ227" i="23" s="1"/>
  <c r="DI109" i="23"/>
  <c r="DI227" i="23" s="1"/>
  <c r="DH109" i="23"/>
  <c r="DH227" i="23" s="1"/>
  <c r="DG109" i="23"/>
  <c r="DG227" i="23" s="1"/>
  <c r="DF109" i="23"/>
  <c r="DF227" i="23" s="1"/>
  <c r="DE109" i="23"/>
  <c r="DE227" i="23" s="1"/>
  <c r="DD109" i="23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W227" i="23" s="1"/>
  <c r="CV109" i="23"/>
  <c r="CU109" i="23"/>
  <c r="CU227" i="23" s="1"/>
  <c r="CT109" i="23"/>
  <c r="CT227" i="23" s="1"/>
  <c r="CS109" i="23"/>
  <c r="CS227" i="23" s="1"/>
  <c r="CR109" i="23"/>
  <c r="CR227" i="23" s="1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G227" i="23" s="1"/>
  <c r="CF109" i="23"/>
  <c r="CF227" i="23" s="1"/>
  <c r="CE109" i="23"/>
  <c r="CE227" i="23" s="1"/>
  <c r="CD109" i="23"/>
  <c r="CD227" i="23" s="1"/>
  <c r="CC109" i="23"/>
  <c r="CC227" i="23" s="1"/>
  <c r="CB109" i="23"/>
  <c r="CB227" i="23" s="1"/>
  <c r="CA109" i="23"/>
  <c r="CA227" i="23" s="1"/>
  <c r="BZ109" i="23"/>
  <c r="BZ227" i="23" s="1"/>
  <c r="BY109" i="23"/>
  <c r="BY227" i="23" s="1"/>
  <c r="BX109" i="23"/>
  <c r="BX227" i="23" s="1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P227" i="23" s="1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R227" i="23" s="1"/>
  <c r="AQ109" i="23"/>
  <c r="AQ227" i="23" s="1"/>
  <c r="AP109" i="23"/>
  <c r="AP227" i="23" s="1"/>
  <c r="AO109" i="23"/>
  <c r="AO227" i="23" s="1"/>
  <c r="AN109" i="23"/>
  <c r="AN227" i="23" s="1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E109" i="23"/>
  <c r="D109" i="23"/>
  <c r="C109" i="23"/>
  <c r="B109" i="23"/>
  <c r="DW109" i="23" s="1"/>
  <c r="DW227" i="23" s="1"/>
  <c r="DV108" i="23"/>
  <c r="DR108" i="23"/>
  <c r="DR226" i="23" s="1"/>
  <c r="DQ108" i="23"/>
  <c r="DQ226" i="23" s="1"/>
  <c r="DP108" i="23"/>
  <c r="DP226" i="23" s="1"/>
  <c r="DO108" i="23"/>
  <c r="DO226" i="23" s="1"/>
  <c r="DN108" i="23"/>
  <c r="DN226" i="23" s="1"/>
  <c r="DM108" i="23"/>
  <c r="DM226" i="23" s="1"/>
  <c r="DL108" i="23"/>
  <c r="DK108" i="23"/>
  <c r="DJ108" i="23"/>
  <c r="DJ226" i="23" s="1"/>
  <c r="DI108" i="23"/>
  <c r="DI226" i="23" s="1"/>
  <c r="DH108" i="23"/>
  <c r="DH226" i="23" s="1"/>
  <c r="DG108" i="23"/>
  <c r="DG226" i="23" s="1"/>
  <c r="DF108" i="23"/>
  <c r="DF226" i="23" s="1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Y226" i="23" s="1"/>
  <c r="CX108" i="23"/>
  <c r="CX226" i="23" s="1"/>
  <c r="CW108" i="23"/>
  <c r="CW226" i="23" s="1"/>
  <c r="CV108" i="23"/>
  <c r="CU108" i="23"/>
  <c r="CU226" i="23" s="1"/>
  <c r="CT108" i="23"/>
  <c r="CT226" i="23" s="1"/>
  <c r="CS108" i="23"/>
  <c r="CS226" i="23" s="1"/>
  <c r="CR108" i="23"/>
  <c r="CR226" i="23" s="1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D226" i="23" s="1"/>
  <c r="CC108" i="23"/>
  <c r="CC226" i="23" s="1"/>
  <c r="CB108" i="23"/>
  <c r="CB226" i="23" s="1"/>
  <c r="CA108" i="23"/>
  <c r="CA226" i="23" s="1"/>
  <c r="BZ108" i="23"/>
  <c r="BZ226" i="23" s="1"/>
  <c r="BY108" i="23"/>
  <c r="BY226" i="23" s="1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J226" i="23" s="1"/>
  <c r="AI108" i="23"/>
  <c r="AI226" i="23" s="1"/>
  <c r="AH108" i="23"/>
  <c r="AH226" i="23" s="1"/>
  <c r="AG108" i="23"/>
  <c r="AG226" i="23" s="1"/>
  <c r="AF108" i="23"/>
  <c r="AF226" i="23" s="1"/>
  <c r="AE108" i="23"/>
  <c r="AE226" i="23" s="1"/>
  <c r="AD108" i="23"/>
  <c r="AD226" i="23" s="1"/>
  <c r="AC108" i="23"/>
  <c r="AC226" i="23" s="1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K226" i="23" s="1"/>
  <c r="J108" i="23"/>
  <c r="J226" i="23" s="1"/>
  <c r="I108" i="23"/>
  <c r="I226" i="23" s="1"/>
  <c r="H108" i="23"/>
  <c r="H226" i="23" s="1"/>
  <c r="G108" i="23"/>
  <c r="F108" i="23"/>
  <c r="E108" i="23"/>
  <c r="D108" i="23"/>
  <c r="C108" i="23"/>
  <c r="B108" i="23"/>
  <c r="DW108" i="23" s="1"/>
  <c r="DW226" i="23" s="1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W107" i="23" s="1"/>
  <c r="DG106" i="23"/>
  <c r="DF106" i="23"/>
  <c r="DE106" i="23"/>
  <c r="DE105" i="23" s="1"/>
  <c r="DE113" i="23" s="1"/>
  <c r="DD106" i="23"/>
  <c r="DD105" i="23" s="1"/>
  <c r="DD113" i="23" s="1"/>
  <c r="DC106" i="23"/>
  <c r="DC105" i="23" s="1"/>
  <c r="DC113" i="23" s="1"/>
  <c r="BS106" i="23"/>
  <c r="BR106" i="23"/>
  <c r="BQ106" i="23"/>
  <c r="BQ105" i="23" s="1"/>
  <c r="BQ113" i="23" s="1"/>
  <c r="BP106" i="23"/>
  <c r="BP105" i="23" s="1"/>
  <c r="BP113" i="23" s="1"/>
  <c r="BO106" i="23"/>
  <c r="BO105" i="23" s="1"/>
  <c r="BO113" i="23" s="1"/>
  <c r="AE106" i="23"/>
  <c r="AD106" i="23"/>
  <c r="AC106" i="23"/>
  <c r="AC105" i="23" s="1"/>
  <c r="AC113" i="23" s="1"/>
  <c r="AB106" i="23"/>
  <c r="AB105" i="23" s="1"/>
  <c r="AB113" i="23" s="1"/>
  <c r="AA106" i="23"/>
  <c r="AA105" i="23" s="1"/>
  <c r="DG105" i="23"/>
  <c r="DG113" i="23" s="1"/>
  <c r="DF105" i="23"/>
  <c r="DF113" i="23" s="1"/>
  <c r="BS105" i="23"/>
  <c r="BS113" i="23" s="1"/>
  <c r="BR105" i="23"/>
  <c r="BR113" i="23" s="1"/>
  <c r="AE105" i="23"/>
  <c r="AE113" i="23" s="1"/>
  <c r="AD105" i="23"/>
  <c r="AD113" i="23" s="1"/>
  <c r="DW103" i="23"/>
  <c r="A103" i="23"/>
  <c r="A111" i="23" s="1"/>
  <c r="A102" i="23"/>
  <c r="DW101" i="23"/>
  <c r="A101" i="23"/>
  <c r="A109" i="23" s="1"/>
  <c r="DW100" i="23"/>
  <c r="A100" i="23"/>
  <c r="A108" i="23" s="1"/>
  <c r="DW99" i="23"/>
  <c r="A99" i="23"/>
  <c r="A107" i="23" s="1"/>
  <c r="DW98" i="23"/>
  <c r="A98" i="23"/>
  <c r="A106" i="23" s="1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DW97" i="23" s="1"/>
  <c r="DW95" i="23"/>
  <c r="A95" i="23"/>
  <c r="DW94" i="23"/>
  <c r="A94" i="23"/>
  <c r="DW93" i="23"/>
  <c r="DW92" i="23"/>
  <c r="DW91" i="23"/>
  <c r="A91" i="23"/>
  <c r="DW90" i="23"/>
  <c r="A90" i="23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DW89" i="23" s="1"/>
  <c r="B89" i="23"/>
  <c r="DX87" i="23"/>
  <c r="DU87" i="23"/>
  <c r="DS87" i="23"/>
  <c r="DR87" i="23"/>
  <c r="DR111" i="23" s="1"/>
  <c r="DX86" i="23"/>
  <c r="DW86" i="23"/>
  <c r="DW85" i="23"/>
  <c r="DW84" i="23"/>
  <c r="DX83" i="23"/>
  <c r="DW83" i="23"/>
  <c r="DX82" i="23"/>
  <c r="DV82" i="23"/>
  <c r="DV224" i="23" s="1"/>
  <c r="DU82" i="23"/>
  <c r="DU224" i="23" s="1"/>
  <c r="DT82" i="23"/>
  <c r="DT224" i="23" s="1"/>
  <c r="DS82" i="23"/>
  <c r="DS224" i="23" s="1"/>
  <c r="DR82" i="23"/>
  <c r="DR224" i="23" s="1"/>
  <c r="DQ82" i="23"/>
  <c r="DQ224" i="23" s="1"/>
  <c r="DP82" i="23"/>
  <c r="DP224" i="23" s="1"/>
  <c r="DO82" i="23"/>
  <c r="DO224" i="23" s="1"/>
  <c r="DN82" i="23"/>
  <c r="DN224" i="23" s="1"/>
  <c r="DM82" i="23"/>
  <c r="DM224" i="23" s="1"/>
  <c r="DM223" i="23" s="1"/>
  <c r="DL82" i="23"/>
  <c r="DL224" i="23" s="1"/>
  <c r="DL223" i="23" s="1"/>
  <c r="DK82" i="23"/>
  <c r="DK224" i="23" s="1"/>
  <c r="DK223" i="23" s="1"/>
  <c r="DJ82" i="23"/>
  <c r="DJ224" i="23" s="1"/>
  <c r="DJ223" i="23" s="1"/>
  <c r="DI82" i="23"/>
  <c r="DI224" i="23" s="1"/>
  <c r="DI223" i="23" s="1"/>
  <c r="DH82" i="23"/>
  <c r="DH224" i="23" s="1"/>
  <c r="DG82" i="23"/>
  <c r="DG224" i="23" s="1"/>
  <c r="DF82" i="23"/>
  <c r="DF224" i="23" s="1"/>
  <c r="DE82" i="23"/>
  <c r="DE224" i="23" s="1"/>
  <c r="DD82" i="23"/>
  <c r="DD224" i="23" s="1"/>
  <c r="DC82" i="23"/>
  <c r="DC224" i="23" s="1"/>
  <c r="DB82" i="23"/>
  <c r="DB224" i="23" s="1"/>
  <c r="DA82" i="23"/>
  <c r="DA224" i="23" s="1"/>
  <c r="CZ82" i="23"/>
  <c r="CZ224" i="23" s="1"/>
  <c r="CY82" i="23"/>
  <c r="CY224" i="23" s="1"/>
  <c r="CY223" i="23" s="1"/>
  <c r="CX82" i="23"/>
  <c r="CX224" i="23" s="1"/>
  <c r="CW82" i="23"/>
  <c r="CW224" i="23" s="1"/>
  <c r="CV82" i="23"/>
  <c r="CV106" i="23" s="1"/>
  <c r="CV105" i="23" s="1"/>
  <c r="CV113" i="23" s="1"/>
  <c r="CU82" i="23"/>
  <c r="CU224" i="23" s="1"/>
  <c r="CT82" i="23"/>
  <c r="CT224" i="23" s="1"/>
  <c r="CS82" i="23"/>
  <c r="CS224" i="23" s="1"/>
  <c r="CS223" i="23" s="1"/>
  <c r="CR82" i="23"/>
  <c r="CR224" i="23" s="1"/>
  <c r="CR223" i="23" s="1"/>
  <c r="CQ82" i="23"/>
  <c r="CQ224" i="23" s="1"/>
  <c r="CQ223" i="23" s="1"/>
  <c r="CP82" i="23"/>
  <c r="CP224" i="23" s="1"/>
  <c r="CP223" i="23" s="1"/>
  <c r="CO82" i="23"/>
  <c r="CO224" i="23" s="1"/>
  <c r="CO223" i="23" s="1"/>
  <c r="CN82" i="23"/>
  <c r="CN224" i="23" s="1"/>
  <c r="CN223" i="23" s="1"/>
  <c r="CM82" i="23"/>
  <c r="CM224" i="23" s="1"/>
  <c r="CM223" i="23" s="1"/>
  <c r="CL82" i="23"/>
  <c r="CL224" i="23" s="1"/>
  <c r="CL223" i="23" s="1"/>
  <c r="CK82" i="23"/>
  <c r="CK224" i="23" s="1"/>
  <c r="CK223" i="23" s="1"/>
  <c r="CJ82" i="23"/>
  <c r="CJ224" i="23" s="1"/>
  <c r="CJ223" i="23" s="1"/>
  <c r="CI82" i="23"/>
  <c r="CI224" i="23" s="1"/>
  <c r="CI223" i="23" s="1"/>
  <c r="CH82" i="23"/>
  <c r="CH224" i="23" s="1"/>
  <c r="CG82" i="23"/>
  <c r="CG224" i="23" s="1"/>
  <c r="CF82" i="23"/>
  <c r="CF224" i="23" s="1"/>
  <c r="CF223" i="23" s="1"/>
  <c r="CE82" i="23"/>
  <c r="CE106" i="23" s="1"/>
  <c r="CE105" i="23" s="1"/>
  <c r="CE113" i="23" s="1"/>
  <c r="CD82" i="23"/>
  <c r="CD224" i="23" s="1"/>
  <c r="CD223" i="23" s="1"/>
  <c r="CC82" i="23"/>
  <c r="CC224" i="23" s="1"/>
  <c r="CC223" i="23" s="1"/>
  <c r="CB82" i="23"/>
  <c r="CB224" i="23" s="1"/>
  <c r="CB223" i="23" s="1"/>
  <c r="CA82" i="23"/>
  <c r="CA224" i="23" s="1"/>
  <c r="CA223" i="23" s="1"/>
  <c r="BZ82" i="23"/>
  <c r="BZ224" i="23" s="1"/>
  <c r="BZ223" i="23" s="1"/>
  <c r="BY82" i="23"/>
  <c r="BY224" i="23" s="1"/>
  <c r="BY223" i="23" s="1"/>
  <c r="BX82" i="23"/>
  <c r="BX224" i="23" s="1"/>
  <c r="BX223" i="23" s="1"/>
  <c r="BW82" i="23"/>
  <c r="BW224" i="23" s="1"/>
  <c r="BW223" i="23" s="1"/>
  <c r="BV82" i="23"/>
  <c r="BV224" i="23" s="1"/>
  <c r="BV223" i="23" s="1"/>
  <c r="BU82" i="23"/>
  <c r="BU224" i="23" s="1"/>
  <c r="BU223" i="23" s="1"/>
  <c r="BT82" i="23"/>
  <c r="BT81" i="23" s="1"/>
  <c r="BS82" i="23"/>
  <c r="BS224" i="23" s="1"/>
  <c r="BS223" i="23" s="1"/>
  <c r="BR82" i="23"/>
  <c r="BR224" i="23" s="1"/>
  <c r="BQ82" i="23"/>
  <c r="BQ224" i="23" s="1"/>
  <c r="BP82" i="23"/>
  <c r="BP224" i="23" s="1"/>
  <c r="BO82" i="23"/>
  <c r="BO224" i="23" s="1"/>
  <c r="BN82" i="23"/>
  <c r="BN224" i="23" s="1"/>
  <c r="BM82" i="23"/>
  <c r="BM224" i="23" s="1"/>
  <c r="BL82" i="23"/>
  <c r="BL224" i="23" s="1"/>
  <c r="BK82" i="23"/>
  <c r="BK224" i="23" s="1"/>
  <c r="BJ82" i="23"/>
  <c r="BJ224" i="23" s="1"/>
  <c r="BJ223" i="23" s="1"/>
  <c r="BI82" i="23"/>
  <c r="BI224" i="23" s="1"/>
  <c r="BI223" i="23" s="1"/>
  <c r="BH82" i="23"/>
  <c r="BH106" i="23" s="1"/>
  <c r="BH105" i="23" s="1"/>
  <c r="BH113" i="23" s="1"/>
  <c r="BG82" i="23"/>
  <c r="BG106" i="23" s="1"/>
  <c r="BG105" i="23" s="1"/>
  <c r="BG113" i="23" s="1"/>
  <c r="BF82" i="23"/>
  <c r="BF106" i="23" s="1"/>
  <c r="BF105" i="23" s="1"/>
  <c r="BF113" i="23" s="1"/>
  <c r="BE82" i="23"/>
  <c r="BE106" i="23" s="1"/>
  <c r="BE105" i="23" s="1"/>
  <c r="BE113" i="23" s="1"/>
  <c r="BD82" i="23"/>
  <c r="BD106" i="23" s="1"/>
  <c r="BD105" i="23" s="1"/>
  <c r="BD113" i="23" s="1"/>
  <c r="BC82" i="23"/>
  <c r="BC106" i="23" s="1"/>
  <c r="BC105" i="23" s="1"/>
  <c r="BC113" i="23" s="1"/>
  <c r="BB82" i="23"/>
  <c r="BB106" i="23" s="1"/>
  <c r="BB105" i="23" s="1"/>
  <c r="BB113" i="23" s="1"/>
  <c r="BA82" i="23"/>
  <c r="BA106" i="23" s="1"/>
  <c r="BA105" i="23" s="1"/>
  <c r="BA113" i="23" s="1"/>
  <c r="AZ82" i="23"/>
  <c r="AZ106" i="23" s="1"/>
  <c r="AZ105" i="23" s="1"/>
  <c r="AZ113" i="23" s="1"/>
  <c r="AY82" i="23"/>
  <c r="AY106" i="23" s="1"/>
  <c r="AY105" i="23" s="1"/>
  <c r="AY113" i="23" s="1"/>
  <c r="AX82" i="23"/>
  <c r="AX106" i="23" s="1"/>
  <c r="AX105" i="23" s="1"/>
  <c r="AX113" i="23" s="1"/>
  <c r="AW82" i="23"/>
  <c r="AW106" i="23" s="1"/>
  <c r="AW105" i="23" s="1"/>
  <c r="AW113" i="23" s="1"/>
  <c r="AV82" i="23"/>
  <c r="AV106" i="23" s="1"/>
  <c r="AV105" i="23" s="1"/>
  <c r="AV113" i="23" s="1"/>
  <c r="AU82" i="23"/>
  <c r="AU224" i="23" s="1"/>
  <c r="AT82" i="23"/>
  <c r="AT224" i="23" s="1"/>
  <c r="AS82" i="23"/>
  <c r="AS224" i="23" s="1"/>
  <c r="AR82" i="23"/>
  <c r="AR224" i="23" s="1"/>
  <c r="AQ82" i="23"/>
  <c r="AQ224" i="23" s="1"/>
  <c r="AP82" i="23"/>
  <c r="AP224" i="23" s="1"/>
  <c r="AO82" i="23"/>
  <c r="AO224" i="23" s="1"/>
  <c r="AN82" i="23"/>
  <c r="AN224" i="23" s="1"/>
  <c r="AM82" i="23"/>
  <c r="AM224" i="23" s="1"/>
  <c r="AL82" i="23"/>
  <c r="AL224" i="23" s="1"/>
  <c r="AL223" i="23" s="1"/>
  <c r="AK82" i="23"/>
  <c r="AK224" i="23" s="1"/>
  <c r="AK223" i="23" s="1"/>
  <c r="AJ82" i="23"/>
  <c r="AJ224" i="23" s="1"/>
  <c r="AJ223" i="23" s="1"/>
  <c r="AI82" i="23"/>
  <c r="AI224" i="23" s="1"/>
  <c r="AI223" i="23" s="1"/>
  <c r="AH82" i="23"/>
  <c r="AH224" i="23" s="1"/>
  <c r="AH223" i="23" s="1"/>
  <c r="AG82" i="23"/>
  <c r="AG224" i="23" s="1"/>
  <c r="AG223" i="23" s="1"/>
  <c r="AF82" i="23"/>
  <c r="AF224" i="23" s="1"/>
  <c r="AF223" i="23" s="1"/>
  <c r="AE82" i="23"/>
  <c r="AE224" i="23" s="1"/>
  <c r="AD82" i="23"/>
  <c r="AD224" i="23" s="1"/>
  <c r="AC82" i="23"/>
  <c r="AC224" i="23" s="1"/>
  <c r="AB82" i="23"/>
  <c r="AB224" i="23" s="1"/>
  <c r="AA82" i="23"/>
  <c r="AA224" i="23" s="1"/>
  <c r="Z82" i="23"/>
  <c r="Z224" i="23" s="1"/>
  <c r="Y82" i="23"/>
  <c r="Y224" i="23" s="1"/>
  <c r="X82" i="23"/>
  <c r="X224" i="23" s="1"/>
  <c r="W82" i="23"/>
  <c r="W224" i="23" s="1"/>
  <c r="V82" i="23"/>
  <c r="V224" i="23" s="1"/>
  <c r="U82" i="23"/>
  <c r="U224" i="23" s="1"/>
  <c r="T82" i="23"/>
  <c r="T224" i="23" s="1"/>
  <c r="S82" i="23"/>
  <c r="S224" i="23" s="1"/>
  <c r="R82" i="23"/>
  <c r="R224" i="23" s="1"/>
  <c r="Q82" i="23"/>
  <c r="Q224" i="23" s="1"/>
  <c r="P82" i="23"/>
  <c r="P224" i="23" s="1"/>
  <c r="P223" i="23" s="1"/>
  <c r="O82" i="23"/>
  <c r="O106" i="23" s="1"/>
  <c r="O105" i="23" s="1"/>
  <c r="O113" i="23" s="1"/>
  <c r="N82" i="23"/>
  <c r="N106" i="23" s="1"/>
  <c r="N105" i="23" s="1"/>
  <c r="N113" i="23" s="1"/>
  <c r="M82" i="23"/>
  <c r="M106" i="23" s="1"/>
  <c r="M105" i="23" s="1"/>
  <c r="M113" i="23" s="1"/>
  <c r="L82" i="23"/>
  <c r="L106" i="23" s="1"/>
  <c r="L105" i="23" s="1"/>
  <c r="L113" i="23" s="1"/>
  <c r="K82" i="23"/>
  <c r="K224" i="23" s="1"/>
  <c r="K223" i="23" s="1"/>
  <c r="J82" i="23"/>
  <c r="J224" i="23" s="1"/>
  <c r="J223" i="23" s="1"/>
  <c r="I82" i="23"/>
  <c r="I224" i="23" s="1"/>
  <c r="I223" i="23" s="1"/>
  <c r="H82" i="23"/>
  <c r="H224" i="23" s="1"/>
  <c r="H223" i="23" s="1"/>
  <c r="G82" i="23"/>
  <c r="G224" i="23" s="1"/>
  <c r="F82" i="23"/>
  <c r="F224" i="23" s="1"/>
  <c r="F223" i="23" s="1"/>
  <c r="E82" i="23"/>
  <c r="E224" i="23" s="1"/>
  <c r="E223" i="23" s="1"/>
  <c r="D82" i="23"/>
  <c r="D224" i="23" s="1"/>
  <c r="D223" i="23" s="1"/>
  <c r="C82" i="23"/>
  <c r="C224" i="23" s="1"/>
  <c r="C223" i="23" s="1"/>
  <c r="B82" i="23"/>
  <c r="B224" i="23" s="1"/>
  <c r="B223" i="23" s="1"/>
  <c r="DQ81" i="23"/>
  <c r="DQ128" i="23" s="1"/>
  <c r="DP81" i="23"/>
  <c r="DP128" i="23" s="1"/>
  <c r="DO81" i="23"/>
  <c r="DO128" i="23" s="1"/>
  <c r="DN81" i="23"/>
  <c r="DN128" i="23" s="1"/>
  <c r="DM81" i="23"/>
  <c r="DM128" i="23" s="1"/>
  <c r="DL81" i="23"/>
  <c r="DL128" i="23" s="1"/>
  <c r="DK81" i="23"/>
  <c r="DK128" i="23" s="1"/>
  <c r="DJ81" i="23"/>
  <c r="DJ158" i="23" s="1"/>
  <c r="DJ188" i="23" s="1"/>
  <c r="DI81" i="23"/>
  <c r="DI128" i="23" s="1"/>
  <c r="DG81" i="23"/>
  <c r="DG128" i="23" s="1"/>
  <c r="DF81" i="23"/>
  <c r="DF128" i="23" s="1"/>
  <c r="DE81" i="23"/>
  <c r="DE128" i="23" s="1"/>
  <c r="DD81" i="23"/>
  <c r="DD128" i="23" s="1"/>
  <c r="DC81" i="23"/>
  <c r="DC128" i="23" s="1"/>
  <c r="DB81" i="23"/>
  <c r="DB128" i="23" s="1"/>
  <c r="DA81" i="23"/>
  <c r="CZ81" i="23"/>
  <c r="CY81" i="23"/>
  <c r="CX81" i="23"/>
  <c r="CW81" i="23"/>
  <c r="CW128" i="23" s="1"/>
  <c r="CV81" i="23"/>
  <c r="CV128" i="23" s="1"/>
  <c r="CU81" i="23"/>
  <c r="CU128" i="23" s="1"/>
  <c r="CT81" i="23"/>
  <c r="CT128" i="23" s="1"/>
  <c r="CS81" i="23"/>
  <c r="CR81" i="23"/>
  <c r="CQ81" i="23"/>
  <c r="CP81" i="23"/>
  <c r="CO81" i="23"/>
  <c r="CO128" i="23" s="1"/>
  <c r="CN81" i="23"/>
  <c r="CN128" i="23" s="1"/>
  <c r="CM81" i="23"/>
  <c r="CM128" i="23" s="1"/>
  <c r="CL81" i="23"/>
  <c r="CL128" i="23" s="1"/>
  <c r="CK81" i="23"/>
  <c r="CK128" i="23" s="1"/>
  <c r="CJ81" i="23"/>
  <c r="CJ128" i="23" s="1"/>
  <c r="CI81" i="23"/>
  <c r="CI128" i="23" s="1"/>
  <c r="CH81" i="23"/>
  <c r="CH128" i="23" s="1"/>
  <c r="CG81" i="23"/>
  <c r="CF81" i="23"/>
  <c r="CF161" i="23" s="1"/>
  <c r="CF191" i="23" s="1"/>
  <c r="CE81" i="23"/>
  <c r="CD81" i="23"/>
  <c r="CC81" i="23"/>
  <c r="CC157" i="23" s="1"/>
  <c r="CB81" i="23"/>
  <c r="CB157" i="23" s="1"/>
  <c r="CA81" i="23"/>
  <c r="CA157" i="23" s="1"/>
  <c r="BZ81" i="23"/>
  <c r="BZ128" i="23" s="1"/>
  <c r="BY81" i="23"/>
  <c r="BY128" i="23" s="1"/>
  <c r="BW81" i="23"/>
  <c r="BW128" i="23" s="1"/>
  <c r="BV81" i="23"/>
  <c r="BV128" i="23" s="1"/>
  <c r="BU81" i="23"/>
  <c r="BU128" i="23" s="1"/>
  <c r="BS81" i="23"/>
  <c r="BS128" i="23" s="1"/>
  <c r="BR81" i="23"/>
  <c r="BR128" i="23" s="1"/>
  <c r="BQ81" i="23"/>
  <c r="BQ128" i="23" s="1"/>
  <c r="BP81" i="23"/>
  <c r="BP128" i="23" s="1"/>
  <c r="BO81" i="23"/>
  <c r="BO128" i="23" s="1"/>
  <c r="BN81" i="23"/>
  <c r="BN128" i="23" s="1"/>
  <c r="BM81" i="23"/>
  <c r="BM128" i="23" s="1"/>
  <c r="BL81" i="23"/>
  <c r="BL128" i="23" s="1"/>
  <c r="BK81" i="23"/>
  <c r="BK128" i="23" s="1"/>
  <c r="BJ81" i="23"/>
  <c r="BJ128" i="23" s="1"/>
  <c r="BI81" i="23"/>
  <c r="BI128" i="23" s="1"/>
  <c r="BH81" i="23"/>
  <c r="BH128" i="23" s="1"/>
  <c r="BG81" i="23"/>
  <c r="BG128" i="23" s="1"/>
  <c r="BF81" i="23"/>
  <c r="BF128" i="23" s="1"/>
  <c r="BE81" i="23"/>
  <c r="BE128" i="23" s="1"/>
  <c r="BD81" i="23"/>
  <c r="BC81" i="23"/>
  <c r="BB81" i="23"/>
  <c r="BA81" i="23"/>
  <c r="BA128" i="23" s="1"/>
  <c r="AZ81" i="23"/>
  <c r="AZ128" i="23" s="1"/>
  <c r="AY81" i="23"/>
  <c r="AY128" i="23" s="1"/>
  <c r="AX81" i="23"/>
  <c r="AX128" i="23" s="1"/>
  <c r="AW81" i="23"/>
  <c r="AW128" i="23" s="1"/>
  <c r="AU81" i="23"/>
  <c r="AU128" i="23" s="1"/>
  <c r="AT81" i="23"/>
  <c r="AT128" i="23" s="1"/>
  <c r="AS81" i="23"/>
  <c r="AR81" i="23"/>
  <c r="AR134" i="23" s="1"/>
  <c r="AR138" i="23" s="1"/>
  <c r="AQ81" i="23"/>
  <c r="AP81" i="23"/>
  <c r="AO81" i="23"/>
  <c r="AN81" i="23"/>
  <c r="AM81" i="23"/>
  <c r="AL81" i="23"/>
  <c r="AK81" i="23"/>
  <c r="AJ81" i="23"/>
  <c r="AJ158" i="23" s="1"/>
  <c r="AJ188" i="23" s="1"/>
  <c r="AI81" i="23"/>
  <c r="AH81" i="23"/>
  <c r="AH128" i="23" s="1"/>
  <c r="AG81" i="23"/>
  <c r="AG128" i="23" s="1"/>
  <c r="AE81" i="23"/>
  <c r="AE128" i="23" s="1"/>
  <c r="AD81" i="23"/>
  <c r="AD128" i="23" s="1"/>
  <c r="AC81" i="23"/>
  <c r="AC128" i="23" s="1"/>
  <c r="AB81" i="23"/>
  <c r="AB128" i="23" s="1"/>
  <c r="AA81" i="23"/>
  <c r="AA128" i="23" s="1"/>
  <c r="Z81" i="23"/>
  <c r="Z128" i="23" s="1"/>
  <c r="Y81" i="23"/>
  <c r="Y128" i="23" s="1"/>
  <c r="X81" i="23"/>
  <c r="X128" i="23" s="1"/>
  <c r="W81" i="23"/>
  <c r="W128" i="23" s="1"/>
  <c r="V81" i="23"/>
  <c r="V128" i="23" s="1"/>
  <c r="U81" i="23"/>
  <c r="U128" i="23" s="1"/>
  <c r="T81" i="23"/>
  <c r="T128" i="23" s="1"/>
  <c r="S81" i="23"/>
  <c r="S128" i="23" s="1"/>
  <c r="R81" i="23"/>
  <c r="R128" i="23" s="1"/>
  <c r="Q81" i="23"/>
  <c r="Q128" i="23" s="1"/>
  <c r="P81" i="23"/>
  <c r="P128" i="23" s="1"/>
  <c r="O81" i="23"/>
  <c r="O128" i="23" s="1"/>
  <c r="N81" i="23"/>
  <c r="N128" i="23" s="1"/>
  <c r="M81" i="23"/>
  <c r="M128" i="23" s="1"/>
  <c r="L81" i="23"/>
  <c r="L128" i="23" s="1"/>
  <c r="K81" i="23"/>
  <c r="K128" i="23" s="1"/>
  <c r="J81" i="23"/>
  <c r="J128" i="23" s="1"/>
  <c r="I81" i="23"/>
  <c r="I128" i="23" s="1"/>
  <c r="H81" i="23"/>
  <c r="H128" i="23" s="1"/>
  <c r="G81" i="23"/>
  <c r="G128" i="23" s="1"/>
  <c r="F81" i="23"/>
  <c r="F128" i="23" s="1"/>
  <c r="E81" i="23"/>
  <c r="D81" i="23"/>
  <c r="C81" i="23"/>
  <c r="B81" i="23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W82" i="23" s="1"/>
  <c r="DW224" i="23" s="1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CY7" i="23"/>
  <c r="CX7" i="23"/>
  <c r="CX126" i="23" s="1"/>
  <c r="CW7" i="23"/>
  <c r="CW126" i="23" s="1"/>
  <c r="CA7" i="23"/>
  <c r="BO7" i="23"/>
  <c r="BO212" i="23" s="1"/>
  <c r="BL7" i="23"/>
  <c r="BL126" i="23" s="1"/>
  <c r="BA7" i="23"/>
  <c r="BA212" i="23" s="1"/>
  <c r="AZ7" i="23"/>
  <c r="AZ212" i="23" s="1"/>
  <c r="AW7" i="23"/>
  <c r="AW126" i="23" s="1"/>
  <c r="AR7" i="23"/>
  <c r="AL7" i="23"/>
  <c r="AH7" i="23"/>
  <c r="AG7" i="23"/>
  <c r="AA7" i="23"/>
  <c r="AA126" i="23" s="1"/>
  <c r="Z7" i="23"/>
  <c r="Z212" i="23" s="1"/>
  <c r="Y7" i="23"/>
  <c r="Y212" i="23" s="1"/>
  <c r="T7" i="23"/>
  <c r="T126" i="23" s="1"/>
  <c r="S7" i="23"/>
  <c r="S126" i="23" s="1"/>
  <c r="BW187" i="23" l="1"/>
  <c r="CD187" i="23"/>
  <c r="CF187" i="23"/>
  <c r="CF186" i="23" s="1"/>
  <c r="CF156" i="23"/>
  <c r="CF167" i="23" s="1"/>
  <c r="CF197" i="23" s="1"/>
  <c r="BT128" i="23"/>
  <c r="DQ223" i="23"/>
  <c r="DS189" i="23"/>
  <c r="DS160" i="23"/>
  <c r="DS190" i="23" s="1"/>
  <c r="DU189" i="23"/>
  <c r="DU160" i="23"/>
  <c r="DU190" i="23" s="1"/>
  <c r="DP223" i="23"/>
  <c r="DV223" i="23"/>
  <c r="CC187" i="23"/>
  <c r="G223" i="23"/>
  <c r="CT187" i="23"/>
  <c r="CV187" i="23"/>
  <c r="CA187" i="23"/>
  <c r="CW187" i="23"/>
  <c r="V138" i="23"/>
  <c r="CX187" i="23"/>
  <c r="CY187" i="23"/>
  <c r="CZ187" i="23"/>
  <c r="AH113" i="23"/>
  <c r="BN187" i="23"/>
  <c r="CG187" i="23"/>
  <c r="AL113" i="23"/>
  <c r="AR113" i="23"/>
  <c r="DW223" i="23"/>
  <c r="CB187" i="23"/>
  <c r="C158" i="23"/>
  <c r="C188" i="23" s="1"/>
  <c r="DV212" i="23"/>
  <c r="DV203" i="23"/>
  <c r="AK128" i="23"/>
  <c r="CC128" i="23"/>
  <c r="AS157" i="23"/>
  <c r="DK158" i="23"/>
  <c r="DK188" i="23" s="1"/>
  <c r="G212" i="23"/>
  <c r="G203" i="23"/>
  <c r="BX81" i="23"/>
  <c r="BW132" i="23"/>
  <c r="AL128" i="23"/>
  <c r="CD128" i="23"/>
  <c r="AT157" i="23"/>
  <c r="DO158" i="23"/>
  <c r="DO188" i="23" s="1"/>
  <c r="CI159" i="23"/>
  <c r="CI189" i="23" s="1"/>
  <c r="H212" i="23"/>
  <c r="H203" i="23"/>
  <c r="AM128" i="23"/>
  <c r="CE128" i="23"/>
  <c r="B131" i="23"/>
  <c r="AU157" i="23"/>
  <c r="DP158" i="23"/>
  <c r="DP188" i="23" s="1"/>
  <c r="AM159" i="23"/>
  <c r="AM189" i="23" s="1"/>
  <c r="CJ159" i="23"/>
  <c r="CJ189" i="23" s="1"/>
  <c r="AW212" i="23"/>
  <c r="AS203" i="23"/>
  <c r="AV224" i="23"/>
  <c r="AV223" i="23" s="1"/>
  <c r="AF106" i="23"/>
  <c r="AF105" i="23" s="1"/>
  <c r="AF113" i="23" s="1"/>
  <c r="BT106" i="23"/>
  <c r="BT105" i="23" s="1"/>
  <c r="BT113" i="23" s="1"/>
  <c r="DH106" i="23"/>
  <c r="DH105" i="23" s="1"/>
  <c r="DH113" i="23" s="1"/>
  <c r="AH126" i="23"/>
  <c r="AN128" i="23"/>
  <c r="CF128" i="23"/>
  <c r="B157" i="23"/>
  <c r="CK159" i="23"/>
  <c r="CK189" i="23" s="1"/>
  <c r="AY161" i="23"/>
  <c r="AY191" i="23" s="1"/>
  <c r="AT203" i="23"/>
  <c r="AW224" i="23"/>
  <c r="AW223" i="23" s="1"/>
  <c r="DN223" i="23"/>
  <c r="AG106" i="23"/>
  <c r="AG105" i="23" s="1"/>
  <c r="AG113" i="23" s="1"/>
  <c r="BU106" i="23"/>
  <c r="BU105" i="23" s="1"/>
  <c r="BU113" i="23" s="1"/>
  <c r="DI106" i="23"/>
  <c r="DI105" i="23" s="1"/>
  <c r="DI113" i="23" s="1"/>
  <c r="AO128" i="23"/>
  <c r="CG128" i="23"/>
  <c r="C157" i="23"/>
  <c r="AW157" i="23"/>
  <c r="BV160" i="23"/>
  <c r="BV190" i="23" s="1"/>
  <c r="AU203" i="23"/>
  <c r="CK212" i="23"/>
  <c r="AX224" i="23"/>
  <c r="AX223" i="23" s="1"/>
  <c r="AM223" i="23"/>
  <c r="DO223" i="23"/>
  <c r="AH106" i="23"/>
  <c r="AH105" i="23" s="1"/>
  <c r="BV106" i="23"/>
  <c r="BV105" i="23" s="1"/>
  <c r="BV113" i="23" s="1"/>
  <c r="DJ106" i="23"/>
  <c r="DJ105" i="23" s="1"/>
  <c r="DJ113" i="23" s="1"/>
  <c r="AP128" i="23"/>
  <c r="AY131" i="23"/>
  <c r="D157" i="23"/>
  <c r="AX157" i="23"/>
  <c r="AV203" i="23"/>
  <c r="CL212" i="23"/>
  <c r="AY224" i="23"/>
  <c r="AY223" i="23" s="1"/>
  <c r="E212" i="23"/>
  <c r="E203" i="23"/>
  <c r="DW203" i="23" s="1"/>
  <c r="AN223" i="23"/>
  <c r="AI106" i="23"/>
  <c r="AI105" i="23" s="1"/>
  <c r="AI113" i="23" s="1"/>
  <c r="BW106" i="23"/>
  <c r="BW105" i="23" s="1"/>
  <c r="BW113" i="23" s="1"/>
  <c r="DK106" i="23"/>
  <c r="DK105" i="23" s="1"/>
  <c r="DK113" i="23" s="1"/>
  <c r="AQ128" i="23"/>
  <c r="E157" i="23"/>
  <c r="AY157" i="23"/>
  <c r="BV158" i="23"/>
  <c r="BV188" i="23" s="1"/>
  <c r="AW203" i="23"/>
  <c r="AZ224" i="23"/>
  <c r="AZ223" i="23" s="1"/>
  <c r="AO223" i="23"/>
  <c r="AJ106" i="23"/>
  <c r="AJ105" i="23" s="1"/>
  <c r="AJ113" i="23" s="1"/>
  <c r="BX106" i="23"/>
  <c r="BX105" i="23" s="1"/>
  <c r="BX113" i="23" s="1"/>
  <c r="DL106" i="23"/>
  <c r="DL105" i="23" s="1"/>
  <c r="DL113" i="23" s="1"/>
  <c r="AL126" i="23"/>
  <c r="AR128" i="23"/>
  <c r="F157" i="23"/>
  <c r="F158" i="23" s="1"/>
  <c r="AZ157" i="23"/>
  <c r="X158" i="23"/>
  <c r="X188" i="23" s="1"/>
  <c r="BW158" i="23"/>
  <c r="BW188" i="23" s="1"/>
  <c r="AR159" i="23"/>
  <c r="AR189" i="23" s="1"/>
  <c r="CO159" i="23"/>
  <c r="CO189" i="23" s="1"/>
  <c r="AJ165" i="23"/>
  <c r="AJ195" i="23" s="1"/>
  <c r="AX203" i="23"/>
  <c r="I212" i="23"/>
  <c r="BA224" i="23"/>
  <c r="BA223" i="23" s="1"/>
  <c r="AK106" i="23"/>
  <c r="AK105" i="23" s="1"/>
  <c r="AK113" i="23" s="1"/>
  <c r="BY106" i="23"/>
  <c r="BY105" i="23" s="1"/>
  <c r="BY113" i="23" s="1"/>
  <c r="DM106" i="23"/>
  <c r="DM105" i="23" s="1"/>
  <c r="DM113" i="23" s="1"/>
  <c r="S113" i="23"/>
  <c r="AS128" i="23"/>
  <c r="G157" i="23"/>
  <c r="BA157" i="23"/>
  <c r="Y158" i="23"/>
  <c r="Y188" i="23" s="1"/>
  <c r="AR162" i="23"/>
  <c r="AR192" i="23" s="1"/>
  <c r="J212" i="23"/>
  <c r="BB224" i="23"/>
  <c r="BB223" i="23" s="1"/>
  <c r="AL106" i="23"/>
  <c r="AL105" i="23" s="1"/>
  <c r="BZ106" i="23"/>
  <c r="BZ105" i="23" s="1"/>
  <c r="BZ113" i="23" s="1"/>
  <c r="DN106" i="23"/>
  <c r="DN105" i="23" s="1"/>
  <c r="DN113" i="23" s="1"/>
  <c r="T113" i="23"/>
  <c r="B128" i="23"/>
  <c r="H157" i="23"/>
  <c r="BB157" i="23"/>
  <c r="CQ159" i="23"/>
  <c r="CQ189" i="23" s="1"/>
  <c r="CB160" i="23"/>
  <c r="CB190" i="23" s="1"/>
  <c r="BE161" i="23"/>
  <c r="BE191" i="23" s="1"/>
  <c r="DJ162" i="23"/>
  <c r="DJ192" i="23" s="1"/>
  <c r="BC224" i="23"/>
  <c r="BC223" i="23" s="1"/>
  <c r="AM106" i="23"/>
  <c r="AM105" i="23" s="1"/>
  <c r="AM113" i="23" s="1"/>
  <c r="CA106" i="23"/>
  <c r="CA105" i="23" s="1"/>
  <c r="CA113" i="23" s="1"/>
  <c r="DO106" i="23"/>
  <c r="DO105" i="23" s="1"/>
  <c r="DO113" i="23" s="1"/>
  <c r="DW125" i="23"/>
  <c r="C128" i="23"/>
  <c r="DJ131" i="23"/>
  <c r="AQ140" i="23"/>
  <c r="DW140" i="23" s="1"/>
  <c r="I157" i="23"/>
  <c r="I158" i="23" s="1"/>
  <c r="BC157" i="23"/>
  <c r="CA158" i="23"/>
  <c r="CA188" i="23" s="1"/>
  <c r="BF161" i="23"/>
  <c r="BF191" i="23" s="1"/>
  <c r="DP161" i="23"/>
  <c r="DP191" i="23" s="1"/>
  <c r="BD224" i="23"/>
  <c r="BD223" i="23" s="1"/>
  <c r="AN106" i="23"/>
  <c r="AN105" i="23" s="1"/>
  <c r="AN113" i="23" s="1"/>
  <c r="CB106" i="23"/>
  <c r="CB105" i="23" s="1"/>
  <c r="CB113" i="23" s="1"/>
  <c r="DP106" i="23"/>
  <c r="DP105" i="23" s="1"/>
  <c r="DP113" i="23" s="1"/>
  <c r="BG162" i="23"/>
  <c r="BG192" i="23" s="1"/>
  <c r="B126" i="23"/>
  <c r="D128" i="23"/>
  <c r="J157" i="23"/>
  <c r="BD157" i="23"/>
  <c r="CB158" i="23"/>
  <c r="CB188" i="23" s="1"/>
  <c r="CS159" i="23"/>
  <c r="CS189" i="23" s="1"/>
  <c r="H161" i="23"/>
  <c r="H191" i="23" s="1"/>
  <c r="BG161" i="23"/>
  <c r="BG191" i="23" s="1"/>
  <c r="DD187" i="23"/>
  <c r="BE224" i="23"/>
  <c r="BE223" i="23" s="1"/>
  <c r="AO106" i="23"/>
  <c r="AO105" i="23" s="1"/>
  <c r="AO113" i="23" s="1"/>
  <c r="CC106" i="23"/>
  <c r="CC105" i="23" s="1"/>
  <c r="CC113" i="23" s="1"/>
  <c r="DQ106" i="23"/>
  <c r="DQ105" i="23" s="1"/>
  <c r="T160" i="23"/>
  <c r="T190" i="23" s="1"/>
  <c r="T159" i="23"/>
  <c r="T189" i="23" s="1"/>
  <c r="BH159" i="23"/>
  <c r="BH189" i="23" s="1"/>
  <c r="E128" i="23"/>
  <c r="K157" i="23"/>
  <c r="BE157" i="23"/>
  <c r="DA157" i="23"/>
  <c r="AG158" i="23"/>
  <c r="AG188" i="23" s="1"/>
  <c r="CC158" i="23"/>
  <c r="CC188" i="23" s="1"/>
  <c r="AW159" i="23"/>
  <c r="AW189" i="23" s="1"/>
  <c r="BH161" i="23"/>
  <c r="BH191" i="23" s="1"/>
  <c r="CU203" i="23"/>
  <c r="CU212" i="23"/>
  <c r="DE187" i="23"/>
  <c r="BF224" i="23"/>
  <c r="BF223" i="23" s="1"/>
  <c r="AP106" i="23"/>
  <c r="AP105" i="23" s="1"/>
  <c r="AP113" i="23" s="1"/>
  <c r="CD106" i="23"/>
  <c r="CD105" i="23" s="1"/>
  <c r="CD113" i="23" s="1"/>
  <c r="DR106" i="23"/>
  <c r="DR105" i="23" s="1"/>
  <c r="BI159" i="23"/>
  <c r="BI189" i="23" s="1"/>
  <c r="AR126" i="23"/>
  <c r="L157" i="23"/>
  <c r="BF157" i="23"/>
  <c r="AH158" i="23"/>
  <c r="AH188" i="23" s="1"/>
  <c r="CD158" i="23"/>
  <c r="CD188" i="23" s="1"/>
  <c r="CF160" i="23"/>
  <c r="CF190" i="23" s="1"/>
  <c r="BI161" i="23"/>
  <c r="BI191" i="23" s="1"/>
  <c r="CV203" i="23"/>
  <c r="CV212" i="23"/>
  <c r="DF187" i="23"/>
  <c r="BG224" i="23"/>
  <c r="BG223" i="23" s="1"/>
  <c r="CG223" i="23"/>
  <c r="B106" i="23"/>
  <c r="BJ159" i="23"/>
  <c r="BJ189" i="23" s="1"/>
  <c r="BJ160" i="23"/>
  <c r="BJ190" i="23" s="1"/>
  <c r="BJ158" i="23"/>
  <c r="BJ188" i="23" s="1"/>
  <c r="M157" i="23"/>
  <c r="BG157" i="23"/>
  <c r="AY159" i="23"/>
  <c r="AY189" i="23" s="1"/>
  <c r="BJ161" i="23"/>
  <c r="BJ191" i="23" s="1"/>
  <c r="DU161" i="23"/>
  <c r="DU191" i="23" s="1"/>
  <c r="DU162" i="23"/>
  <c r="DU192" i="23" s="1"/>
  <c r="CW212" i="23"/>
  <c r="BH224" i="23"/>
  <c r="BH223" i="23" s="1"/>
  <c r="Z113" i="23"/>
  <c r="W160" i="23"/>
  <c r="W190" i="23" s="1"/>
  <c r="W161" i="23"/>
  <c r="W191" i="23" s="1"/>
  <c r="W158" i="23"/>
  <c r="W188" i="23" s="1"/>
  <c r="BK158" i="23"/>
  <c r="BK188" i="23" s="1"/>
  <c r="DA132" i="23"/>
  <c r="N157" i="23"/>
  <c r="BH157" i="23"/>
  <c r="CF158" i="23"/>
  <c r="CF188" i="23" s="1"/>
  <c r="CX212" i="23"/>
  <c r="AS106" i="23"/>
  <c r="AS105" i="23" s="1"/>
  <c r="AS113" i="23" s="1"/>
  <c r="X161" i="23"/>
  <c r="X191" i="23" s="1"/>
  <c r="X157" i="23"/>
  <c r="BL160" i="23"/>
  <c r="BL190" i="23" s="1"/>
  <c r="BL157" i="23"/>
  <c r="CZ158" i="23"/>
  <c r="CZ188" i="23" s="1"/>
  <c r="DJ132" i="23"/>
  <c r="O157" i="23"/>
  <c r="BI157" i="23"/>
  <c r="CG158" i="23"/>
  <c r="CG188" i="23" s="1"/>
  <c r="AH160" i="23"/>
  <c r="AH190" i="23" s="1"/>
  <c r="BL161" i="23"/>
  <c r="BL191" i="23" s="1"/>
  <c r="CG203" i="23"/>
  <c r="BT224" i="23"/>
  <c r="BT223" i="23" s="1"/>
  <c r="AY132" i="23"/>
  <c r="P157" i="23"/>
  <c r="BJ157" i="23"/>
  <c r="DO157" i="23"/>
  <c r="CH158" i="23"/>
  <c r="CH188" i="23" s="1"/>
  <c r="H159" i="23"/>
  <c r="H189" i="23" s="1"/>
  <c r="CJ160" i="23"/>
  <c r="CJ190" i="23" s="1"/>
  <c r="AJ168" i="23"/>
  <c r="AJ198" i="23" s="1"/>
  <c r="X203" i="23"/>
  <c r="X212" i="23"/>
  <c r="CH203" i="23"/>
  <c r="CH205" i="23" s="1"/>
  <c r="DW205" i="23" s="1"/>
  <c r="S212" i="23"/>
  <c r="DR229" i="23"/>
  <c r="DR223" i="23" s="1"/>
  <c r="DV106" i="23"/>
  <c r="DV105" i="23" s="1"/>
  <c r="Q157" i="23"/>
  <c r="BK157" i="23"/>
  <c r="DP157" i="23"/>
  <c r="AM158" i="23"/>
  <c r="AM188" i="23" s="1"/>
  <c r="CI158" i="23"/>
  <c r="CI188" i="23" s="1"/>
  <c r="CK160" i="23"/>
  <c r="CK190" i="23" s="1"/>
  <c r="CI203" i="23"/>
  <c r="CI205" i="23" s="1"/>
  <c r="T212" i="23"/>
  <c r="CJ203" i="23"/>
  <c r="CJ205" i="23" s="1"/>
  <c r="U212" i="23"/>
  <c r="DA158" i="23"/>
  <c r="DA188" i="23" s="1"/>
  <c r="DJ140" i="23"/>
  <c r="CJ158" i="23"/>
  <c r="CJ188" i="23" s="1"/>
  <c r="H106" i="23"/>
  <c r="H105" i="23" s="1"/>
  <c r="H113" i="23" s="1"/>
  <c r="CK106" i="23"/>
  <c r="CK105" i="23" s="1"/>
  <c r="CK113" i="23" s="1"/>
  <c r="AY126" i="23"/>
  <c r="DA128" i="23"/>
  <c r="S157" i="23"/>
  <c r="S158" i="23" s="1"/>
  <c r="BO157" i="23"/>
  <c r="AO158" i="23"/>
  <c r="AO188" i="23" s="1"/>
  <c r="CK158" i="23"/>
  <c r="CK188" i="23" s="1"/>
  <c r="BE159" i="23"/>
  <c r="BE189" i="23" s="1"/>
  <c r="V212" i="23"/>
  <c r="DU212" i="23"/>
  <c r="DW115" i="23"/>
  <c r="AV81" i="23"/>
  <c r="AV128" i="23" s="1"/>
  <c r="AU106" i="23"/>
  <c r="AU105" i="23" s="1"/>
  <c r="AU113" i="23" s="1"/>
  <c r="I106" i="23"/>
  <c r="I105" i="23" s="1"/>
  <c r="I113" i="23" s="1"/>
  <c r="CL106" i="23"/>
  <c r="CL105" i="23" s="1"/>
  <c r="CL113" i="23" s="1"/>
  <c r="BQ159" i="23"/>
  <c r="BQ189" i="23" s="1"/>
  <c r="BQ160" i="23"/>
  <c r="BQ190" i="23" s="1"/>
  <c r="BQ158" i="23"/>
  <c r="BQ188" i="23" s="1"/>
  <c r="DE159" i="23"/>
  <c r="DE189" i="23" s="1"/>
  <c r="DE161" i="23"/>
  <c r="DE191" i="23" s="1"/>
  <c r="AZ126" i="23"/>
  <c r="DJ134" i="23"/>
  <c r="T157" i="23"/>
  <c r="BQ157" i="23"/>
  <c r="BF159" i="23"/>
  <c r="BF189" i="23" s="1"/>
  <c r="BE162" i="23"/>
  <c r="BE192" i="23" s="1"/>
  <c r="D106" i="23"/>
  <c r="D105" i="23" s="1"/>
  <c r="D113" i="23" s="1"/>
  <c r="I126" i="23"/>
  <c r="J106" i="23"/>
  <c r="J105" i="23" s="1"/>
  <c r="J113" i="23" s="1"/>
  <c r="CM106" i="23"/>
  <c r="CM105" i="23" s="1"/>
  <c r="CM113" i="23" s="1"/>
  <c r="AD161" i="23"/>
  <c r="AD191" i="23" s="1"/>
  <c r="AD158" i="23"/>
  <c r="AD188" i="23" s="1"/>
  <c r="AD157" i="23"/>
  <c r="DF158" i="23"/>
  <c r="BA126" i="23"/>
  <c r="DQ134" i="23"/>
  <c r="DQ138" i="23" s="1"/>
  <c r="U157" i="23"/>
  <c r="U158" i="23" s="1"/>
  <c r="BR157" i="23"/>
  <c r="AQ158" i="23"/>
  <c r="AQ188" i="23" s="1"/>
  <c r="CM158" i="23"/>
  <c r="CM188" i="23" s="1"/>
  <c r="BG159" i="23"/>
  <c r="BG189" i="23" s="1"/>
  <c r="CO160" i="23"/>
  <c r="CO190" i="23" s="1"/>
  <c r="CB161" i="23"/>
  <c r="CB191" i="23" s="1"/>
  <c r="BF162" i="23"/>
  <c r="BF192" i="23" s="1"/>
  <c r="CK163" i="23"/>
  <c r="CK193" i="23" s="1"/>
  <c r="DR187" i="23"/>
  <c r="AU223" i="23"/>
  <c r="C106" i="23"/>
  <c r="C105" i="23" s="1"/>
  <c r="C113" i="23" s="1"/>
  <c r="Q223" i="23"/>
  <c r="K106" i="23"/>
  <c r="K105" i="23" s="1"/>
  <c r="K113" i="23" s="1"/>
  <c r="CN106" i="23"/>
  <c r="CN105" i="23" s="1"/>
  <c r="CN113" i="23" s="1"/>
  <c r="AE161" i="23"/>
  <c r="AE191" i="23" s="1"/>
  <c r="AE158" i="23"/>
  <c r="AE188" i="23" s="1"/>
  <c r="AE157" i="23"/>
  <c r="BS160" i="23"/>
  <c r="BS190" i="23" s="1"/>
  <c r="BS158" i="23"/>
  <c r="BS188" i="23" s="1"/>
  <c r="BS157" i="23"/>
  <c r="DG159" i="23"/>
  <c r="DG189" i="23" s="1"/>
  <c r="DG160" i="23"/>
  <c r="DG190" i="23" s="1"/>
  <c r="DG158" i="23"/>
  <c r="DG161" i="23"/>
  <c r="DG191" i="23" s="1"/>
  <c r="Q132" i="23"/>
  <c r="DW132" i="23" s="1"/>
  <c r="N126" i="23"/>
  <c r="V157" i="23"/>
  <c r="DV157" i="23"/>
  <c r="AR158" i="23"/>
  <c r="AR188" i="23" s="1"/>
  <c r="CN158" i="23"/>
  <c r="CN188" i="23" s="1"/>
  <c r="DO159" i="23"/>
  <c r="DO189" i="23" s="1"/>
  <c r="AR160" i="23"/>
  <c r="AR190" i="23" s="1"/>
  <c r="T161" i="23"/>
  <c r="T191" i="23" s="1"/>
  <c r="DS187" i="23"/>
  <c r="CE224" i="23"/>
  <c r="CE223" i="23" s="1"/>
  <c r="AQ106" i="23"/>
  <c r="AQ105" i="23" s="1"/>
  <c r="AQ113" i="23" s="1"/>
  <c r="R223" i="23"/>
  <c r="CT223" i="23"/>
  <c r="DW87" i="23"/>
  <c r="CO106" i="23"/>
  <c r="CO105" i="23" s="1"/>
  <c r="CO113" i="23" s="1"/>
  <c r="AF157" i="23"/>
  <c r="BT160" i="23"/>
  <c r="BT190" i="23" s="1"/>
  <c r="BT158" i="23"/>
  <c r="BT188" i="23" s="1"/>
  <c r="BT157" i="23"/>
  <c r="BT161" i="23"/>
  <c r="BT191" i="23" s="1"/>
  <c r="V136" i="23"/>
  <c r="W157" i="23"/>
  <c r="AS158" i="23"/>
  <c r="AS188" i="23" s="1"/>
  <c r="CO158" i="23"/>
  <c r="CO188" i="23" s="1"/>
  <c r="BL159" i="23"/>
  <c r="BL189" i="23" s="1"/>
  <c r="DP159" i="23"/>
  <c r="DP189" i="23" s="1"/>
  <c r="CQ160" i="23"/>
  <c r="CQ190" i="23" s="1"/>
  <c r="BN162" i="23"/>
  <c r="BN192" i="23" s="1"/>
  <c r="DU187" i="23"/>
  <c r="CW203" i="23"/>
  <c r="AP223" i="23"/>
  <c r="AS223" i="23"/>
  <c r="DQ157" i="23"/>
  <c r="S223" i="23"/>
  <c r="CU223" i="23"/>
  <c r="CP106" i="23"/>
  <c r="CP105" i="23" s="1"/>
  <c r="CP113" i="23" s="1"/>
  <c r="AG157" i="23"/>
  <c r="BU157" i="23"/>
  <c r="BU158" i="23" s="1"/>
  <c r="DI158" i="23"/>
  <c r="DI188" i="23" s="1"/>
  <c r="DI157" i="23"/>
  <c r="Z157" i="23"/>
  <c r="BZ157" i="23"/>
  <c r="AT158" i="23"/>
  <c r="AT188" i="23" s="1"/>
  <c r="CP158" i="23"/>
  <c r="CX203" i="23"/>
  <c r="AT223" i="23"/>
  <c r="E106" i="23"/>
  <c r="E105" i="23" s="1"/>
  <c r="E113" i="23" s="1"/>
  <c r="CI106" i="23"/>
  <c r="CI105" i="23" s="1"/>
  <c r="CI113" i="23" s="1"/>
  <c r="CJ106" i="23"/>
  <c r="CJ105" i="23" s="1"/>
  <c r="CJ113" i="23" s="1"/>
  <c r="T223" i="23"/>
  <c r="CQ106" i="23"/>
  <c r="CQ105" i="23" s="1"/>
  <c r="CQ113" i="23" s="1"/>
  <c r="BV157" i="23"/>
  <c r="BV161" i="23"/>
  <c r="BV191" i="23" s="1"/>
  <c r="DJ163" i="23"/>
  <c r="DJ193" i="23" s="1"/>
  <c r="DJ157" i="23"/>
  <c r="DJ164" i="23" s="1"/>
  <c r="DJ161" i="23"/>
  <c r="DJ191" i="23" s="1"/>
  <c r="Q126" i="23"/>
  <c r="DA136" i="23"/>
  <c r="DW141" i="23"/>
  <c r="AA157" i="23"/>
  <c r="AU158" i="23"/>
  <c r="AU188" i="23" s="1"/>
  <c r="CQ158" i="23"/>
  <c r="BS159" i="23"/>
  <c r="BS189" i="23" s="1"/>
  <c r="DR159" i="23"/>
  <c r="CS160" i="23"/>
  <c r="CS190" i="23" s="1"/>
  <c r="BQ162" i="23"/>
  <c r="BQ192" i="23" s="1"/>
  <c r="U223" i="23"/>
  <c r="CW223" i="23"/>
  <c r="CR106" i="23"/>
  <c r="CR105" i="23" s="1"/>
  <c r="CR113" i="23" s="1"/>
  <c r="DK162" i="23"/>
  <c r="DK192" i="23" s="1"/>
  <c r="DK157" i="23"/>
  <c r="DK163" i="23" s="1"/>
  <c r="DK193" i="23" s="1"/>
  <c r="DK161" i="23"/>
  <c r="DK191" i="23" s="1"/>
  <c r="DJ136" i="23"/>
  <c r="AB157" i="23"/>
  <c r="CR158" i="23"/>
  <c r="BT159" i="23"/>
  <c r="BT189" i="23" s="1"/>
  <c r="AF161" i="23"/>
  <c r="AF191" i="23" s="1"/>
  <c r="CZ203" i="23"/>
  <c r="V223" i="23"/>
  <c r="CX223" i="23"/>
  <c r="P106" i="23"/>
  <c r="P105" i="23" s="1"/>
  <c r="P113" i="23" s="1"/>
  <c r="CS106" i="23"/>
  <c r="CS105" i="23" s="1"/>
  <c r="CS113" i="23" s="1"/>
  <c r="AJ162" i="23"/>
  <c r="AJ192" i="23" s="1"/>
  <c r="AJ166" i="23"/>
  <c r="AJ196" i="23" s="1"/>
  <c r="AC157" i="23"/>
  <c r="AW158" i="23"/>
  <c r="AW188" i="23" s="1"/>
  <c r="CS158" i="23"/>
  <c r="AW160" i="23"/>
  <c r="AW190" i="23" s="1"/>
  <c r="BG212" i="23"/>
  <c r="BM157" i="23"/>
  <c r="W223" i="23"/>
  <c r="BK223" i="23"/>
  <c r="Q106" i="23"/>
  <c r="Q105" i="23" s="1"/>
  <c r="Q113" i="23" s="1"/>
  <c r="CT106" i="23"/>
  <c r="CT105" i="23" s="1"/>
  <c r="CT113" i="23" s="1"/>
  <c r="DJ128" i="23"/>
  <c r="AH157" i="23"/>
  <c r="D158" i="23"/>
  <c r="D188" i="23" s="1"/>
  <c r="AX158" i="23"/>
  <c r="AX188" i="23" s="1"/>
  <c r="CT158" i="23"/>
  <c r="CT188" i="23" s="1"/>
  <c r="BV159" i="23"/>
  <c r="BV189" i="23" s="1"/>
  <c r="AH161" i="23"/>
  <c r="AH191" i="23" s="1"/>
  <c r="CI161" i="23"/>
  <c r="CI191" i="23" s="1"/>
  <c r="BH212" i="23"/>
  <c r="AR223" i="23"/>
  <c r="G106" i="23"/>
  <c r="G105" i="23" s="1"/>
  <c r="G113" i="23" s="1"/>
  <c r="CY126" i="23"/>
  <c r="CY212" i="23"/>
  <c r="X223" i="23"/>
  <c r="BL223" i="23"/>
  <c r="CZ223" i="23"/>
  <c r="R106" i="23"/>
  <c r="R105" i="23" s="1"/>
  <c r="R113" i="23" s="1"/>
  <c r="CU106" i="23"/>
  <c r="CU105" i="23" s="1"/>
  <c r="CU113" i="23" s="1"/>
  <c r="AI157" i="23"/>
  <c r="CE157" i="23"/>
  <c r="E158" i="23"/>
  <c r="E188" i="23" s="1"/>
  <c r="AY158" i="23"/>
  <c r="AY188" i="23" s="1"/>
  <c r="CU158" i="23"/>
  <c r="W159" i="23"/>
  <c r="W189" i="23" s="1"/>
  <c r="BW159" i="23"/>
  <c r="BW189" i="23" s="1"/>
  <c r="AY160" i="23"/>
  <c r="AY190" i="23" s="1"/>
  <c r="CJ161" i="23"/>
  <c r="CJ191" i="23" s="1"/>
  <c r="BI212" i="23"/>
  <c r="AQ223" i="23"/>
  <c r="Y157" i="23"/>
  <c r="Y223" i="23"/>
  <c r="BM223" i="23"/>
  <c r="DA223" i="23"/>
  <c r="S106" i="23"/>
  <c r="S105" i="23" s="1"/>
  <c r="DO162" i="23"/>
  <c r="DO192" i="23" s="1"/>
  <c r="DO161" i="23"/>
  <c r="DO191" i="23" s="1"/>
  <c r="AJ157" i="23"/>
  <c r="AZ158" i="23"/>
  <c r="AZ188" i="23" s="1"/>
  <c r="CV158" i="23"/>
  <c r="CV188" i="23" s="1"/>
  <c r="X159" i="23"/>
  <c r="X189" i="23" s="1"/>
  <c r="BX159" i="23"/>
  <c r="BX189" i="23" s="1"/>
  <c r="CK161" i="23"/>
  <c r="CK191" i="23" s="1"/>
  <c r="BJ212" i="23"/>
  <c r="F212" i="23"/>
  <c r="F203" i="23"/>
  <c r="CG106" i="23"/>
  <c r="CG105" i="23" s="1"/>
  <c r="CG113" i="23" s="1"/>
  <c r="AT106" i="23"/>
  <c r="AT105" i="23" s="1"/>
  <c r="AT113" i="23" s="1"/>
  <c r="F106" i="23"/>
  <c r="F105" i="23" s="1"/>
  <c r="F113" i="23" s="1"/>
  <c r="Z223" i="23"/>
  <c r="BN223" i="23"/>
  <c r="DB223" i="23"/>
  <c r="T106" i="23"/>
  <c r="T105" i="23" s="1"/>
  <c r="BI106" i="23"/>
  <c r="BI105" i="23" s="1"/>
  <c r="BI113" i="23" s="1"/>
  <c r="CW106" i="23"/>
  <c r="CW105" i="23" s="1"/>
  <c r="CW113" i="23" s="1"/>
  <c r="AK157" i="23"/>
  <c r="G158" i="23"/>
  <c r="G188" i="23" s="1"/>
  <c r="BA158" i="23"/>
  <c r="BA188" i="23" s="1"/>
  <c r="CW158" i="23"/>
  <c r="CW188" i="23" s="1"/>
  <c r="Y159" i="23"/>
  <c r="Y189" i="23" s="1"/>
  <c r="AJ163" i="23"/>
  <c r="AJ193" i="23" s="1"/>
  <c r="CF106" i="23"/>
  <c r="CF105" i="23" s="1"/>
  <c r="CF113" i="23" s="1"/>
  <c r="AA223" i="23"/>
  <c r="BO223" i="23"/>
  <c r="DC223" i="23"/>
  <c r="U106" i="23"/>
  <c r="U105" i="23" s="1"/>
  <c r="U113" i="23" s="1"/>
  <c r="BJ106" i="23"/>
  <c r="BJ105" i="23" s="1"/>
  <c r="BJ113" i="23" s="1"/>
  <c r="CX106" i="23"/>
  <c r="CX105" i="23" s="1"/>
  <c r="CX113" i="23" s="1"/>
  <c r="AL157" i="23"/>
  <c r="AL158" i="23" s="1"/>
  <c r="CH157" i="23"/>
  <c r="CH159" i="23" s="1"/>
  <c r="BB158" i="23"/>
  <c r="BB188" i="23" s="1"/>
  <c r="CX158" i="23"/>
  <c r="CX188" i="23" s="1"/>
  <c r="AD159" i="23"/>
  <c r="AD189" i="23" s="1"/>
  <c r="CA159" i="23"/>
  <c r="CA189" i="23" s="1"/>
  <c r="CK162" i="23"/>
  <c r="CK192" i="23" s="1"/>
  <c r="CB212" i="23"/>
  <c r="CB203" i="23"/>
  <c r="DP212" i="23"/>
  <c r="DP203" i="23"/>
  <c r="BL212" i="23"/>
  <c r="CH106" i="23"/>
  <c r="CH105" i="23" s="1"/>
  <c r="CH113" i="23" s="1"/>
  <c r="R157" i="23"/>
  <c r="AB223" i="23"/>
  <c r="BP223" i="23"/>
  <c r="DD223" i="23"/>
  <c r="V106" i="23"/>
  <c r="V105" i="23" s="1"/>
  <c r="V113" i="23" s="1"/>
  <c r="BK106" i="23"/>
  <c r="BK105" i="23" s="1"/>
  <c r="BK113" i="23" s="1"/>
  <c r="CY106" i="23"/>
  <c r="CY105" i="23" s="1"/>
  <c r="CY113" i="23" s="1"/>
  <c r="Y126" i="23"/>
  <c r="BO126" i="23"/>
  <c r="AM157" i="23"/>
  <c r="CI157" i="23"/>
  <c r="BC158" i="23"/>
  <c r="BC188" i="23" s="1"/>
  <c r="CY158" i="23"/>
  <c r="CY188" i="23" s="1"/>
  <c r="AE159" i="23"/>
  <c r="AE189" i="23" s="1"/>
  <c r="CB159" i="23"/>
  <c r="CB189" i="23" s="1"/>
  <c r="DE160" i="23"/>
  <c r="DE190" i="23" s="1"/>
  <c r="DH223" i="23"/>
  <c r="AA113" i="23"/>
  <c r="DB157" i="23"/>
  <c r="AC223" i="23"/>
  <c r="BQ223" i="23"/>
  <c r="DE223" i="23"/>
  <c r="W106" i="23"/>
  <c r="W105" i="23" s="1"/>
  <c r="W113" i="23" s="1"/>
  <c r="BL106" i="23"/>
  <c r="BL105" i="23" s="1"/>
  <c r="BL113" i="23" s="1"/>
  <c r="CZ106" i="23"/>
  <c r="CZ105" i="23" s="1"/>
  <c r="CZ113" i="23" s="1"/>
  <c r="Z126" i="23"/>
  <c r="AN157" i="23"/>
  <c r="CJ157" i="23"/>
  <c r="J158" i="23"/>
  <c r="J188" i="23" s="1"/>
  <c r="BD158" i="23"/>
  <c r="BD188" i="23" s="1"/>
  <c r="DJ160" i="23"/>
  <c r="DJ190" i="23" s="1"/>
  <c r="CO161" i="23"/>
  <c r="CO191" i="23" s="1"/>
  <c r="DC157" i="23"/>
  <c r="AD223" i="23"/>
  <c r="BR223" i="23"/>
  <c r="DF223" i="23"/>
  <c r="Y106" i="23"/>
  <c r="Y105" i="23" s="1"/>
  <c r="Y113" i="23" s="1"/>
  <c r="BM106" i="23"/>
  <c r="BM105" i="23" s="1"/>
  <c r="BM113" i="23" s="1"/>
  <c r="DA106" i="23"/>
  <c r="DA105" i="23" s="1"/>
  <c r="DA113" i="23" s="1"/>
  <c r="CF162" i="23"/>
  <c r="CF192" i="23" s="1"/>
  <c r="AO157" i="23"/>
  <c r="CK157" i="23"/>
  <c r="BE158" i="23"/>
  <c r="BE188" i="23" s="1"/>
  <c r="BE160" i="23"/>
  <c r="BE190" i="23" s="1"/>
  <c r="DK160" i="23"/>
  <c r="DK190" i="23" s="1"/>
  <c r="AR161" i="23"/>
  <c r="AR191" i="23" s="1"/>
  <c r="AR186" i="23" s="1"/>
  <c r="DJ167" i="23"/>
  <c r="DJ197" i="23" s="1"/>
  <c r="CH223" i="23"/>
  <c r="AR106" i="23"/>
  <c r="AR105" i="23" s="1"/>
  <c r="BN159" i="23"/>
  <c r="BN189" i="23" s="1"/>
  <c r="BN160" i="23"/>
  <c r="BN190" i="23" s="1"/>
  <c r="BN161" i="23"/>
  <c r="BN191" i="23" s="1"/>
  <c r="AF81" i="23"/>
  <c r="AF159" i="23" s="1"/>
  <c r="AF189" i="23" s="1"/>
  <c r="DH81" i="23"/>
  <c r="AE223" i="23"/>
  <c r="DG223" i="23"/>
  <c r="Z106" i="23"/>
  <c r="Z105" i="23" s="1"/>
  <c r="BN106" i="23"/>
  <c r="BN105" i="23" s="1"/>
  <c r="BN113" i="23" s="1"/>
  <c r="DB106" i="23"/>
  <c r="DB105" i="23" s="1"/>
  <c r="DB113" i="23" s="1"/>
  <c r="AP157" i="23"/>
  <c r="CL157" i="23"/>
  <c r="L158" i="23"/>
  <c r="L188" i="23" s="1"/>
  <c r="BF158" i="23"/>
  <c r="BF188" i="23" s="1"/>
  <c r="DD158" i="23"/>
  <c r="DD188" i="23" s="1"/>
  <c r="AH159" i="23"/>
  <c r="AH189" i="23" s="1"/>
  <c r="BF160" i="23"/>
  <c r="BF190" i="23" s="1"/>
  <c r="DO160" i="23"/>
  <c r="DO190" i="23" s="1"/>
  <c r="CQ161" i="23"/>
  <c r="CQ191" i="23" s="1"/>
  <c r="X162" i="23"/>
  <c r="X192" i="23" s="1"/>
  <c r="AR212" i="23"/>
  <c r="AN203" i="23"/>
  <c r="AA212" i="23"/>
  <c r="AB212" i="23"/>
  <c r="BS203" i="23"/>
  <c r="BT203" i="23"/>
  <c r="BU203" i="23"/>
  <c r="DW215" i="23"/>
  <c r="AG212" i="23"/>
  <c r="BV203" i="23"/>
  <c r="AH212" i="23"/>
  <c r="BW203" i="23"/>
  <c r="DW204" i="23"/>
  <c r="BY203" i="23"/>
  <c r="BZ203" i="23"/>
  <c r="DC212" i="23"/>
  <c r="AL212" i="23"/>
  <c r="DD212" i="23"/>
  <c r="CA212" i="23"/>
  <c r="S188" i="23" l="1"/>
  <c r="DJ194" i="23"/>
  <c r="F188" i="23"/>
  <c r="F159" i="23"/>
  <c r="F189" i="23" s="1"/>
  <c r="DR161" i="23"/>
  <c r="DR191" i="23" s="1"/>
  <c r="CQ163" i="23"/>
  <c r="CQ193" i="23" s="1"/>
  <c r="V159" i="23"/>
  <c r="V189" i="23" s="1"/>
  <c r="Z159" i="23"/>
  <c r="Z189" i="23" s="1"/>
  <c r="BU188" i="23"/>
  <c r="BU159" i="23"/>
  <c r="BU189" i="23" s="1"/>
  <c r="BU160" i="23"/>
  <c r="BU190" i="23" s="1"/>
  <c r="AL188" i="23"/>
  <c r="I188" i="23"/>
  <c r="U188" i="23"/>
  <c r="CH189" i="23"/>
  <c r="CH161" i="23"/>
  <c r="CH191" i="23" s="1"/>
  <c r="CH162" i="23"/>
  <c r="CH192" i="23" s="1"/>
  <c r="DP156" i="23"/>
  <c r="DP163" i="23"/>
  <c r="DP193" i="23" s="1"/>
  <c r="DP187" i="23"/>
  <c r="BF187" i="23"/>
  <c r="BF186" i="23" s="1"/>
  <c r="BF156" i="23"/>
  <c r="BK187" i="23"/>
  <c r="L187" i="23"/>
  <c r="L160" i="23"/>
  <c r="L190" i="23" s="1"/>
  <c r="BF163" i="23"/>
  <c r="BF193" i="23" s="1"/>
  <c r="AU187" i="23"/>
  <c r="CB186" i="23"/>
  <c r="BT162" i="23"/>
  <c r="BT192" i="23" s="1"/>
  <c r="Q187" i="23"/>
  <c r="Q158" i="23"/>
  <c r="BJ162" i="23"/>
  <c r="BJ192" i="23" s="1"/>
  <c r="CQ156" i="23"/>
  <c r="BF164" i="23"/>
  <c r="BF194" i="23" s="1"/>
  <c r="DV160" i="23"/>
  <c r="DV190" i="23" s="1"/>
  <c r="W163" i="23"/>
  <c r="W193" i="23" s="1"/>
  <c r="BJ163" i="23"/>
  <c r="BJ193" i="23" s="1"/>
  <c r="BF165" i="23"/>
  <c r="BF195" i="23" s="1"/>
  <c r="BE163" i="23"/>
  <c r="BE193" i="23" s="1"/>
  <c r="CJ163" i="23"/>
  <c r="CJ193" i="23" s="1"/>
  <c r="BX161" i="23"/>
  <c r="BX191" i="23" s="1"/>
  <c r="BX128" i="23"/>
  <c r="BX158" i="23"/>
  <c r="BX188" i="23" s="1"/>
  <c r="BX160" i="23"/>
  <c r="BX190" i="23" s="1"/>
  <c r="DU186" i="23"/>
  <c r="AF187" i="23"/>
  <c r="DQ158" i="23"/>
  <c r="DQ188" i="23" s="1"/>
  <c r="AF163" i="23"/>
  <c r="AF193" i="23" s="1"/>
  <c r="CI163" i="23"/>
  <c r="CI193" i="23" s="1"/>
  <c r="V158" i="23"/>
  <c r="CT159" i="23"/>
  <c r="DV187" i="23"/>
  <c r="AE163" i="23"/>
  <c r="AE193" i="23" s="1"/>
  <c r="AA187" i="23"/>
  <c r="AA158" i="23"/>
  <c r="DG188" i="23"/>
  <c r="DG162" i="23"/>
  <c r="AV157" i="23"/>
  <c r="BT156" i="23"/>
  <c r="BT187" i="23"/>
  <c r="BT186" i="23" s="1"/>
  <c r="CR188" i="23"/>
  <c r="AT160" i="23"/>
  <c r="AT190" i="23" s="1"/>
  <c r="BR187" i="23"/>
  <c r="C159" i="23"/>
  <c r="C189" i="23" s="1"/>
  <c r="B187" i="23"/>
  <c r="DR189" i="23"/>
  <c r="DR160" i="23"/>
  <c r="DR190" i="23" s="1"/>
  <c r="U187" i="23"/>
  <c r="AB187" i="23"/>
  <c r="CG159" i="23"/>
  <c r="AM187" i="23"/>
  <c r="CP188" i="23"/>
  <c r="L159" i="23"/>
  <c r="BA159" i="23"/>
  <c r="AY162" i="23"/>
  <c r="DA187" i="23"/>
  <c r="CL158" i="23"/>
  <c r="CF169" i="23"/>
  <c r="CF199" i="23" s="1"/>
  <c r="G159" i="23"/>
  <c r="BE187" i="23"/>
  <c r="BE186" i="23" s="1"/>
  <c r="BE156" i="23"/>
  <c r="CL159" i="23"/>
  <c r="CL189" i="23" s="1"/>
  <c r="BZ187" i="23"/>
  <c r="BS187" i="23"/>
  <c r="AP158" i="23"/>
  <c r="AP188" i="23" s="1"/>
  <c r="BI162" i="23"/>
  <c r="BI192" i="23" s="1"/>
  <c r="K187" i="23"/>
  <c r="CK164" i="23"/>
  <c r="CK194" i="23" s="1"/>
  <c r="DE162" i="23"/>
  <c r="AO159" i="23"/>
  <c r="AR163" i="23"/>
  <c r="AR164" i="23" s="1"/>
  <c r="AP160" i="23"/>
  <c r="AP190" i="23" s="1"/>
  <c r="BQ156" i="23"/>
  <c r="BQ187" i="23"/>
  <c r="BQ186" i="23" s="1"/>
  <c r="BQ163" i="23"/>
  <c r="BQ193" i="23" s="1"/>
  <c r="DK166" i="23"/>
  <c r="DK196" i="23" s="1"/>
  <c r="AK158" i="23"/>
  <c r="AK159" i="23" s="1"/>
  <c r="L161" i="23"/>
  <c r="L191" i="23" s="1"/>
  <c r="DW106" i="23"/>
  <c r="B105" i="23"/>
  <c r="BI163" i="23"/>
  <c r="BI193" i="23" s="1"/>
  <c r="AM160" i="23"/>
  <c r="AM190" i="23" s="1"/>
  <c r="AW187" i="23"/>
  <c r="BN156" i="23"/>
  <c r="BI187" i="23"/>
  <c r="BI186" i="23" s="1"/>
  <c r="BI156" i="23"/>
  <c r="CW159" i="23"/>
  <c r="CW189" i="23" s="1"/>
  <c r="DP162" i="23"/>
  <c r="DP192" i="23" s="1"/>
  <c r="C187" i="23"/>
  <c r="BN186" i="23"/>
  <c r="AY163" i="23"/>
  <c r="AY193" i="23" s="1"/>
  <c r="BW160" i="23"/>
  <c r="BW190" i="23" s="1"/>
  <c r="AS187" i="23"/>
  <c r="O187" i="23"/>
  <c r="O158" i="23"/>
  <c r="DF160" i="23"/>
  <c r="DF190" i="23" s="1"/>
  <c r="CF163" i="23"/>
  <c r="B159" i="23"/>
  <c r="CN159" i="23"/>
  <c r="CM159" i="23"/>
  <c r="CM160" i="23" s="1"/>
  <c r="DA159" i="23"/>
  <c r="CJ162" i="23"/>
  <c r="CJ192" i="23" s="1"/>
  <c r="AH163" i="23"/>
  <c r="AH193" i="23" s="1"/>
  <c r="CD159" i="23"/>
  <c r="CD189" i="23" s="1"/>
  <c r="AG159" i="23"/>
  <c r="CE187" i="23"/>
  <c r="BV156" i="23"/>
  <c r="BV187" i="23"/>
  <c r="AE162" i="23"/>
  <c r="AE192" i="23" s="1"/>
  <c r="DF159" i="23"/>
  <c r="AQ159" i="23"/>
  <c r="AP159" i="23"/>
  <c r="AP189" i="23" s="1"/>
  <c r="BM159" i="23"/>
  <c r="BM189" i="23" s="1"/>
  <c r="BS162" i="23"/>
  <c r="BS192" i="23" s="1"/>
  <c r="DJ138" i="23"/>
  <c r="AI187" i="23"/>
  <c r="AI159" i="23"/>
  <c r="AI189" i="23" s="1"/>
  <c r="AC187" i="23"/>
  <c r="BV162" i="23"/>
  <c r="W156" i="23"/>
  <c r="W187" i="23"/>
  <c r="W186" i="23" s="1"/>
  <c r="AE156" i="23"/>
  <c r="AE187" i="23"/>
  <c r="AE186" i="23" s="1"/>
  <c r="BH187" i="23"/>
  <c r="BH186" i="23" s="1"/>
  <c r="BH156" i="23"/>
  <c r="CV159" i="23"/>
  <c r="BD187" i="23"/>
  <c r="W162" i="23"/>
  <c r="W192" i="23" s="1"/>
  <c r="T187" i="23"/>
  <c r="CK165" i="23"/>
  <c r="CK195" i="23" s="1"/>
  <c r="S187" i="23"/>
  <c r="DK156" i="23"/>
  <c r="DK187" i="23"/>
  <c r="DK186" i="23" s="1"/>
  <c r="CS188" i="23"/>
  <c r="CS162" i="23"/>
  <c r="CS192" i="23" s="1"/>
  <c r="CK187" i="23"/>
  <c r="CK186" i="23" s="1"/>
  <c r="CK156" i="23"/>
  <c r="BW161" i="23"/>
  <c r="BW191" i="23" s="1"/>
  <c r="DI187" i="23"/>
  <c r="CZ160" i="23"/>
  <c r="CZ190" i="23" s="1"/>
  <c r="N187" i="23"/>
  <c r="N158" i="23"/>
  <c r="J187" i="23"/>
  <c r="CR159" i="23"/>
  <c r="CR160" i="23" s="1"/>
  <c r="AX187" i="23"/>
  <c r="DJ165" i="23"/>
  <c r="DJ195" i="23" s="1"/>
  <c r="AJ156" i="23"/>
  <c r="AJ187" i="23"/>
  <c r="AJ186" i="23" s="1"/>
  <c r="CB162" i="23"/>
  <c r="CB192" i="23" s="1"/>
  <c r="CZ159" i="23"/>
  <c r="CS156" i="23"/>
  <c r="E159" i="23"/>
  <c r="AU159" i="23"/>
  <c r="AY187" i="23"/>
  <c r="AY156" i="23"/>
  <c r="D187" i="23"/>
  <c r="AW161" i="23"/>
  <c r="AQ160" i="23"/>
  <c r="AQ190" i="23" s="1"/>
  <c r="CQ188" i="23"/>
  <c r="CQ186" i="23" s="1"/>
  <c r="CQ162" i="23"/>
  <c r="CQ192" i="23" s="1"/>
  <c r="AK187" i="23"/>
  <c r="BO187" i="23"/>
  <c r="AH162" i="23"/>
  <c r="AH192" i="23" s="1"/>
  <c r="AE164" i="23"/>
  <c r="AE194" i="23" s="1"/>
  <c r="BR158" i="23"/>
  <c r="CE158" i="23"/>
  <c r="E187" i="23"/>
  <c r="CL187" i="23"/>
  <c r="AI162" i="23"/>
  <c r="AI192" i="23" s="1"/>
  <c r="AE165" i="23"/>
  <c r="AE195" i="23" s="1"/>
  <c r="BR160" i="23"/>
  <c r="BR190" i="23" s="1"/>
  <c r="BB159" i="23"/>
  <c r="AI158" i="23"/>
  <c r="BH162" i="23"/>
  <c r="BH192" i="23" s="1"/>
  <c r="BC187" i="23"/>
  <c r="DV158" i="23"/>
  <c r="DV188" i="23" s="1"/>
  <c r="V187" i="23"/>
  <c r="BS163" i="23"/>
  <c r="BS193" i="23" s="1"/>
  <c r="DF188" i="23"/>
  <c r="DF161" i="23"/>
  <c r="DF191" i="23" s="1"/>
  <c r="DF162" i="23"/>
  <c r="DF192" i="23" s="1"/>
  <c r="BR159" i="23"/>
  <c r="BR189" i="23" s="1"/>
  <c r="DD159" i="23"/>
  <c r="DD189" i="23" s="1"/>
  <c r="BG187" i="23"/>
  <c r="BG186" i="23" s="1"/>
  <c r="BG156" i="23"/>
  <c r="BH163" i="23"/>
  <c r="BH193" i="23" s="1"/>
  <c r="I187" i="23"/>
  <c r="AL159" i="23"/>
  <c r="AL189" i="23" s="1"/>
  <c r="AZ159" i="23"/>
  <c r="J159" i="23"/>
  <c r="H162" i="23"/>
  <c r="M187" i="23"/>
  <c r="M158" i="23"/>
  <c r="CB163" i="23"/>
  <c r="CB193" i="23" s="1"/>
  <c r="AT159" i="23"/>
  <c r="CA160" i="23"/>
  <c r="CA190" i="23" s="1"/>
  <c r="BW131" i="23"/>
  <c r="CF168" i="23"/>
  <c r="CF198" i="23" s="1"/>
  <c r="DC187" i="23"/>
  <c r="CU188" i="23"/>
  <c r="DF163" i="23"/>
  <c r="DF193" i="23" s="1"/>
  <c r="CC159" i="23"/>
  <c r="DW136" i="23"/>
  <c r="CY159" i="23"/>
  <c r="CY189" i="23" s="1"/>
  <c r="BZ158" i="23"/>
  <c r="CP159" i="23"/>
  <c r="AZ187" i="23"/>
  <c r="AT187" i="23"/>
  <c r="BX157" i="23"/>
  <c r="AL187" i="23"/>
  <c r="DH128" i="23"/>
  <c r="DA131" i="23"/>
  <c r="BD159" i="23"/>
  <c r="AA159" i="23"/>
  <c r="AA189" i="23" s="1"/>
  <c r="AD187" i="23"/>
  <c r="AD162" i="23"/>
  <c r="AD192" i="23" s="1"/>
  <c r="AC158" i="23"/>
  <c r="DO156" i="23"/>
  <c r="DO163" i="23"/>
  <c r="DO193" i="23" s="1"/>
  <c r="DO187" i="23"/>
  <c r="DO186" i="23" s="1"/>
  <c r="BL187" i="23"/>
  <c r="BL156" i="23"/>
  <c r="DW126" i="23"/>
  <c r="Z158" i="23"/>
  <c r="AS159" i="23"/>
  <c r="F187" i="23"/>
  <c r="B158" i="23"/>
  <c r="CH187" i="23"/>
  <c r="AO187" i="23"/>
  <c r="AF128" i="23"/>
  <c r="DW128" i="23" s="1"/>
  <c r="AF160" i="23"/>
  <c r="AF190" i="23" s="1"/>
  <c r="AF158" i="23"/>
  <c r="AF164" i="23" s="1"/>
  <c r="AF194" i="23" s="1"/>
  <c r="Q131" i="23"/>
  <c r="DW131" i="23" s="1"/>
  <c r="AF162" i="23"/>
  <c r="AF192" i="23" s="1"/>
  <c r="DB158" i="23"/>
  <c r="DB188" i="23" s="1"/>
  <c r="DE163" i="23"/>
  <c r="DE193" i="23" s="1"/>
  <c r="H163" i="23"/>
  <c r="H193" i="23" s="1"/>
  <c r="AA160" i="23"/>
  <c r="AA190" i="23" s="1"/>
  <c r="BU187" i="23"/>
  <c r="DH157" i="23"/>
  <c r="CP160" i="23"/>
  <c r="CP190" i="23" s="1"/>
  <c r="AB158" i="23"/>
  <c r="BJ187" i="23"/>
  <c r="BJ186" i="23" s="1"/>
  <c r="BJ156" i="23"/>
  <c r="DS161" i="23"/>
  <c r="DS162" i="23" s="1"/>
  <c r="BB187" i="23"/>
  <c r="AR156" i="23"/>
  <c r="K158" i="23"/>
  <c r="S159" i="23"/>
  <c r="S189" i="23" s="1"/>
  <c r="DK165" i="23"/>
  <c r="DK195" i="23" s="1"/>
  <c r="P187" i="23"/>
  <c r="P158" i="23"/>
  <c r="BL162" i="23"/>
  <c r="H156" i="23"/>
  <c r="H187" i="23"/>
  <c r="BA187" i="23"/>
  <c r="E160" i="23"/>
  <c r="E190" i="23" s="1"/>
  <c r="B160" i="23"/>
  <c r="BM187" i="23"/>
  <c r="DK164" i="23"/>
  <c r="DK194" i="23" s="1"/>
  <c r="T162" i="23"/>
  <c r="T192" i="23" s="1"/>
  <c r="R187" i="23"/>
  <c r="R158" i="23"/>
  <c r="BN163" i="23"/>
  <c r="BN193" i="23" s="1"/>
  <c r="CX159" i="23"/>
  <c r="J161" i="23"/>
  <c r="J191" i="23" s="1"/>
  <c r="T163" i="23"/>
  <c r="T193" i="23" s="1"/>
  <c r="G187" i="23"/>
  <c r="DA134" i="23"/>
  <c r="CS163" i="23"/>
  <c r="CS193" i="23" s="1"/>
  <c r="U159" i="23"/>
  <c r="U189" i="23" s="1"/>
  <c r="CJ187" i="23"/>
  <c r="BK159" i="23"/>
  <c r="BK160" i="23" s="1"/>
  <c r="DV159" i="23"/>
  <c r="DV189" i="23" s="1"/>
  <c r="DQ187" i="23"/>
  <c r="AN187" i="23"/>
  <c r="Y187" i="23"/>
  <c r="BO159" i="23"/>
  <c r="X187" i="23"/>
  <c r="X186" i="23" s="1"/>
  <c r="X156" i="23"/>
  <c r="CU159" i="23"/>
  <c r="BG163" i="23"/>
  <c r="BG165" i="23" s="1"/>
  <c r="BG195" i="23" s="1"/>
  <c r="J160" i="23"/>
  <c r="J190" i="23" s="1"/>
  <c r="CH160" i="23"/>
  <c r="CH190" i="23" s="1"/>
  <c r="CI187" i="23"/>
  <c r="CI186" i="23" s="1"/>
  <c r="CI156" i="23"/>
  <c r="AP187" i="23"/>
  <c r="DB187" i="23"/>
  <c r="Z187" i="23"/>
  <c r="DU163" i="23"/>
  <c r="DU164" i="23"/>
  <c r="DU194" i="23" s="1"/>
  <c r="DC158" i="23"/>
  <c r="BN164" i="23"/>
  <c r="BN194" i="23" s="1"/>
  <c r="AP161" i="23"/>
  <c r="AP191" i="23" s="1"/>
  <c r="AN158" i="23"/>
  <c r="AG187" i="23"/>
  <c r="BC159" i="23"/>
  <c r="CI162" i="23"/>
  <c r="CI192" i="23" s="1"/>
  <c r="AX159" i="23"/>
  <c r="BG164" i="23"/>
  <c r="BG194" i="23" s="1"/>
  <c r="DI159" i="23"/>
  <c r="DJ156" i="23"/>
  <c r="DJ187" i="23"/>
  <c r="DJ186" i="23" s="1"/>
  <c r="O159" i="23"/>
  <c r="O189" i="23" s="1"/>
  <c r="AH187" i="23"/>
  <c r="AH186" i="23" s="1"/>
  <c r="AH156" i="23"/>
  <c r="CO162" i="23"/>
  <c r="CO192" i="23" s="1"/>
  <c r="CO186" i="23" s="1"/>
  <c r="Y160" i="23"/>
  <c r="DW81" i="23"/>
  <c r="BT163" i="23"/>
  <c r="BT193" i="23" s="1"/>
  <c r="I159" i="23"/>
  <c r="I189" i="23" s="1"/>
  <c r="X163" i="23"/>
  <c r="X193" i="23" s="1"/>
  <c r="D159" i="23"/>
  <c r="AS160" i="23"/>
  <c r="AS190" i="23" s="1"/>
  <c r="F161" i="24"/>
  <c r="F147" i="24"/>
  <c r="EH87" i="14"/>
  <c r="ET87" i="14" s="1"/>
  <c r="FF87" i="14" s="1"/>
  <c r="FR87" i="14" s="1"/>
  <c r="GD87" i="14" s="1"/>
  <c r="GP87" i="14" s="1"/>
  <c r="HB87" i="14" s="1"/>
  <c r="HN87" i="14" s="1"/>
  <c r="HZ87" i="14" s="1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s="1"/>
  <c r="NZ87" i="14" s="1"/>
  <c r="OL87" i="14" s="1"/>
  <c r="OX87" i="14" s="1"/>
  <c r="PJ87" i="14" s="1"/>
  <c r="PV87" i="14" s="1"/>
  <c r="QH87" i="14" s="1"/>
  <c r="QT87" i="14" s="1"/>
  <c r="AD87" i="14"/>
  <c r="AP87" i="14" s="1"/>
  <c r="BB87" i="14" s="1"/>
  <c r="BN87" i="14" s="1"/>
  <c r="BZ87" i="14" s="1"/>
  <c r="CL87" i="14" s="1"/>
  <c r="CX87" i="14" s="1"/>
  <c r="CM190" i="23" l="1"/>
  <c r="DS192" i="23"/>
  <c r="BK190" i="23"/>
  <c r="AK189" i="23"/>
  <c r="AR194" i="23"/>
  <c r="AR165" i="23"/>
  <c r="AR195" i="23" s="1"/>
  <c r="CR190" i="23"/>
  <c r="CR161" i="23"/>
  <c r="CR191" i="23" s="1"/>
  <c r="CR162" i="23"/>
  <c r="CR192" i="23" s="1"/>
  <c r="AW156" i="23"/>
  <c r="DP167" i="23"/>
  <c r="DP197" i="23" s="1"/>
  <c r="DP168" i="23"/>
  <c r="DP198" i="23" s="1"/>
  <c r="DP169" i="23"/>
  <c r="DP199" i="23" s="1"/>
  <c r="CG189" i="23"/>
  <c r="BL167" i="23"/>
  <c r="BL197" i="23" s="1"/>
  <c r="AB188" i="23"/>
  <c r="DH187" i="23"/>
  <c r="DA138" i="23"/>
  <c r="DW134" i="23"/>
  <c r="BE167" i="23"/>
  <c r="BE197" i="23" s="1"/>
  <c r="AH164" i="23"/>
  <c r="AH194" i="23" s="1"/>
  <c r="BO189" i="23"/>
  <c r="BR161" i="23"/>
  <c r="BR191" i="23" s="1"/>
  <c r="W168" i="23"/>
  <c r="W198" i="23" s="1"/>
  <c r="W167" i="23"/>
  <c r="W197" i="23" s="1"/>
  <c r="B113" i="23"/>
  <c r="DW113" i="23" s="1"/>
  <c r="DW105" i="23"/>
  <c r="CT189" i="23"/>
  <c r="CT160" i="23"/>
  <c r="CT190" i="23" s="1"/>
  <c r="BG167" i="23"/>
  <c r="BG197" i="23" s="1"/>
  <c r="BG168" i="23"/>
  <c r="BG198" i="23" s="1"/>
  <c r="AU189" i="23"/>
  <c r="AU160" i="23"/>
  <c r="BV192" i="23"/>
  <c r="BV164" i="23"/>
  <c r="BV194" i="23" s="1"/>
  <c r="AT162" i="23"/>
  <c r="AT192" i="23" s="1"/>
  <c r="BT167" i="23"/>
  <c r="BT197" i="23" s="1"/>
  <c r="CQ164" i="23"/>
  <c r="CQ194" i="23" s="1"/>
  <c r="V188" i="23"/>
  <c r="V160" i="23"/>
  <c r="V190" i="23" s="1"/>
  <c r="AP165" i="23"/>
  <c r="AP195" i="23" s="1"/>
  <c r="AD156" i="23"/>
  <c r="G189" i="23"/>
  <c r="G160" i="23"/>
  <c r="CQ167" i="23"/>
  <c r="CQ197" i="23" s="1"/>
  <c r="F160" i="23"/>
  <c r="BN165" i="23"/>
  <c r="CH163" i="23"/>
  <c r="AC188" i="23"/>
  <c r="CL188" i="23"/>
  <c r="CL160" i="23"/>
  <c r="CL156" i="23" s="1"/>
  <c r="CL161" i="23"/>
  <c r="CL191" i="23" s="1"/>
  <c r="AV187" i="23"/>
  <c r="AF156" i="23"/>
  <c r="Q188" i="23"/>
  <c r="Q159" i="23"/>
  <c r="BQ167" i="23"/>
  <c r="BQ197" i="23" s="1"/>
  <c r="BQ168" i="23"/>
  <c r="BQ198" i="23" s="1"/>
  <c r="AF186" i="23"/>
  <c r="CS168" i="23"/>
  <c r="CS198" i="23" s="1"/>
  <c r="CS167" i="23"/>
  <c r="CS197" i="23" s="1"/>
  <c r="I160" i="23"/>
  <c r="I190" i="23" s="1"/>
  <c r="BE165" i="23"/>
  <c r="BE195" i="23" s="1"/>
  <c r="BT165" i="23"/>
  <c r="BT195" i="23" s="1"/>
  <c r="CV189" i="23"/>
  <c r="CV160" i="23"/>
  <c r="CV190" i="23" s="1"/>
  <c r="BI164" i="23"/>
  <c r="BI194" i="23" s="1"/>
  <c r="B190" i="23"/>
  <c r="AO189" i="23"/>
  <c r="AH165" i="23"/>
  <c r="AH195" i="23" s="1"/>
  <c r="CA161" i="23"/>
  <c r="W165" i="23"/>
  <c r="W195" i="23" s="1"/>
  <c r="CK166" i="23"/>
  <c r="CK196" i="23" s="1"/>
  <c r="I161" i="23"/>
  <c r="I191" i="23" s="1"/>
  <c r="DC188" i="23"/>
  <c r="DA189" i="23"/>
  <c r="DA160" i="23"/>
  <c r="DA161" i="23"/>
  <c r="DA191" i="23" s="1"/>
  <c r="CE188" i="23"/>
  <c r="CE159" i="23"/>
  <c r="DB159" i="23"/>
  <c r="DK167" i="23"/>
  <c r="DK197" i="23" s="1"/>
  <c r="DK168" i="23"/>
  <c r="DK198" i="23" s="1"/>
  <c r="CF193" i="23"/>
  <c r="CF164" i="23"/>
  <c r="CF194" i="23" s="1"/>
  <c r="CD160" i="23"/>
  <c r="DE192" i="23"/>
  <c r="DE186" i="23" s="1"/>
  <c r="DE164" i="23"/>
  <c r="DG192" i="23"/>
  <c r="DG186" i="23" s="1"/>
  <c r="DG163" i="23"/>
  <c r="DG164" i="23" s="1"/>
  <c r="DG194" i="23" s="1"/>
  <c r="AN188" i="23"/>
  <c r="AN161" i="23"/>
  <c r="AN191" i="23" s="1"/>
  <c r="AN159" i="23"/>
  <c r="AN189" i="23" s="1"/>
  <c r="AQ161" i="23"/>
  <c r="AQ191" i="23" s="1"/>
  <c r="CX189" i="23"/>
  <c r="CX160" i="23"/>
  <c r="CX190" i="23" s="1"/>
  <c r="AB159" i="23"/>
  <c r="T164" i="23"/>
  <c r="T194" i="23" s="1"/>
  <c r="DD161" i="23"/>
  <c r="DD191" i="23" s="1"/>
  <c r="AM162" i="23"/>
  <c r="AM192" i="23" s="1"/>
  <c r="AE167" i="23"/>
  <c r="AE197" i="23" s="1"/>
  <c r="AK188" i="23"/>
  <c r="AK186" i="23" s="1"/>
  <c r="AK163" i="23"/>
  <c r="AK193" i="23" s="1"/>
  <c r="CS164" i="23"/>
  <c r="CS194" i="23" s="1"/>
  <c r="AT189" i="23"/>
  <c r="AT161" i="23"/>
  <c r="BR188" i="23"/>
  <c r="BW162" i="23"/>
  <c r="AE166" i="23"/>
  <c r="AE196" i="23" s="1"/>
  <c r="CS165" i="23"/>
  <c r="CS195" i="23" s="1"/>
  <c r="DV161" i="23"/>
  <c r="DV191" i="23" s="1"/>
  <c r="P188" i="23"/>
  <c r="P159" i="23"/>
  <c r="O161" i="23"/>
  <c r="O191" i="23" s="1"/>
  <c r="CK167" i="23"/>
  <c r="CK197" i="23" s="1"/>
  <c r="AP156" i="23"/>
  <c r="U160" i="23"/>
  <c r="U190" i="23" s="1"/>
  <c r="CB164" i="23"/>
  <c r="DJ166" i="23"/>
  <c r="DJ196" i="23" s="1"/>
  <c r="BQ164" i="23"/>
  <c r="BQ194" i="23" s="1"/>
  <c r="DJ169" i="23"/>
  <c r="DJ199" i="23" s="1"/>
  <c r="DI189" i="23"/>
  <c r="CY160" i="23"/>
  <c r="BX187" i="23"/>
  <c r="BX162" i="23"/>
  <c r="DI160" i="23"/>
  <c r="T186" i="23"/>
  <c r="O188" i="23"/>
  <c r="BI167" i="23"/>
  <c r="BI197" i="23" s="1"/>
  <c r="BI168" i="23"/>
  <c r="BI198" i="23" s="1"/>
  <c r="DR162" i="23"/>
  <c r="AD186" i="23"/>
  <c r="CO156" i="23"/>
  <c r="CS186" i="23"/>
  <c r="BT164" i="23"/>
  <c r="M188" i="23"/>
  <c r="M159" i="23"/>
  <c r="T156" i="23"/>
  <c r="AQ189" i="23"/>
  <c r="AY192" i="23"/>
  <c r="AY186" i="23" s="1"/>
  <c r="AA188" i="23"/>
  <c r="AA161" i="23"/>
  <c r="CC189" i="23"/>
  <c r="DQ160" i="23"/>
  <c r="DQ190" i="23" s="1"/>
  <c r="BD189" i="23"/>
  <c r="BD160" i="23"/>
  <c r="BD190" i="23" s="1"/>
  <c r="BA189" i="23"/>
  <c r="BA160" i="23"/>
  <c r="DQ159" i="23"/>
  <c r="DO165" i="23"/>
  <c r="DO195" i="23" s="1"/>
  <c r="Y190" i="23"/>
  <c r="Y161" i="23"/>
  <c r="Y162" i="23" s="1"/>
  <c r="AN160" i="23"/>
  <c r="AN190" i="23" s="1"/>
  <c r="BL163" i="23"/>
  <c r="BL193" i="23" s="1"/>
  <c r="CI168" i="23"/>
  <c r="CI198" i="23" s="1"/>
  <c r="CI167" i="23"/>
  <c r="CI197" i="23" s="1"/>
  <c r="CL162" i="23"/>
  <c r="CL192" i="23" s="1"/>
  <c r="CQ165" i="23"/>
  <c r="CQ195" i="23" s="1"/>
  <c r="AT156" i="23"/>
  <c r="BX163" i="23"/>
  <c r="BX193" i="23" s="1"/>
  <c r="BS165" i="23"/>
  <c r="BS195" i="23" s="1"/>
  <c r="BN167" i="23"/>
  <c r="BN197" i="23" s="1"/>
  <c r="DJ168" i="23"/>
  <c r="DJ198" i="23" s="1"/>
  <c r="AV158" i="23"/>
  <c r="AG189" i="23"/>
  <c r="AG160" i="23"/>
  <c r="DU193" i="23"/>
  <c r="C162" i="23"/>
  <c r="C192" i="23" s="1"/>
  <c r="AC159" i="23"/>
  <c r="DE156" i="23"/>
  <c r="CO164" i="23"/>
  <c r="CO194" i="23" s="1"/>
  <c r="DP165" i="23"/>
  <c r="DP195" i="23" s="1"/>
  <c r="AW191" i="23"/>
  <c r="AY167" i="23"/>
  <c r="AY197" i="23" s="1"/>
  <c r="CT161" i="23"/>
  <c r="CT191" i="23" s="1"/>
  <c r="E189" i="23"/>
  <c r="Z160" i="23"/>
  <c r="Z190" i="23" s="1"/>
  <c r="BQ165" i="23"/>
  <c r="BQ195" i="23" s="1"/>
  <c r="AZ160" i="23"/>
  <c r="AZ190" i="23" s="1"/>
  <c r="G161" i="23"/>
  <c r="G191" i="23" s="1"/>
  <c r="AL160" i="23"/>
  <c r="AL190" i="23" s="1"/>
  <c r="BK161" i="23"/>
  <c r="BK191" i="23" s="1"/>
  <c r="L189" i="23"/>
  <c r="L162" i="23"/>
  <c r="AO160" i="23"/>
  <c r="AO161" i="23" s="1"/>
  <c r="AO191" i="23" s="1"/>
  <c r="S160" i="23"/>
  <c r="S162" i="23" s="1"/>
  <c r="BV186" i="23"/>
  <c r="BJ167" i="23"/>
  <c r="BJ197" i="23" s="1"/>
  <c r="N188" i="23"/>
  <c r="N159" i="23"/>
  <c r="N189" i="23" s="1"/>
  <c r="B161" i="23"/>
  <c r="BV163" i="23"/>
  <c r="AH167" i="23"/>
  <c r="AH197" i="23" s="1"/>
  <c r="AH168" i="23"/>
  <c r="AH198" i="23" s="1"/>
  <c r="DP164" i="23"/>
  <c r="DP194" i="23" s="1"/>
  <c r="CH156" i="23"/>
  <c r="O160" i="23"/>
  <c r="BS164" i="23"/>
  <c r="CY161" i="23"/>
  <c r="CY191" i="23" s="1"/>
  <c r="S161" i="23"/>
  <c r="S191" i="23" s="1"/>
  <c r="CM189" i="23"/>
  <c r="CM161" i="23"/>
  <c r="CM191" i="23" s="1"/>
  <c r="AF188" i="23"/>
  <c r="CZ189" i="23"/>
  <c r="CZ161" i="23"/>
  <c r="X164" i="23"/>
  <c r="X194" i="23" s="1"/>
  <c r="BC189" i="23"/>
  <c r="BC160" i="23"/>
  <c r="AS189" i="23"/>
  <c r="AS161" i="23"/>
  <c r="AS191" i="23" s="1"/>
  <c r="H192" i="23"/>
  <c r="H186" i="23" s="1"/>
  <c r="H164" i="23"/>
  <c r="H194" i="23" s="1"/>
  <c r="BO160" i="23"/>
  <c r="CI164" i="23"/>
  <c r="AS186" i="23"/>
  <c r="AP162" i="23"/>
  <c r="AP192" i="23" s="1"/>
  <c r="AP186" i="23" s="1"/>
  <c r="BS186" i="23"/>
  <c r="AP164" i="23"/>
  <c r="AP194" i="23" s="1"/>
  <c r="CN189" i="23"/>
  <c r="CN160" i="23"/>
  <c r="DO164" i="23"/>
  <c r="DO194" i="23" s="1"/>
  <c r="CZ162" i="23"/>
  <c r="CZ192" i="23" s="1"/>
  <c r="CH186" i="23"/>
  <c r="BK189" i="23"/>
  <c r="AR167" i="23"/>
  <c r="AR197" i="23" s="1"/>
  <c r="Z188" i="23"/>
  <c r="Z161" i="23"/>
  <c r="Z191" i="23" s="1"/>
  <c r="CP189" i="23"/>
  <c r="CP161" i="23"/>
  <c r="CP191" i="23" s="1"/>
  <c r="AI188" i="23"/>
  <c r="AI186" i="23" s="1"/>
  <c r="AI163" i="23"/>
  <c r="AI193" i="23" s="1"/>
  <c r="AI164" i="23"/>
  <c r="AI194" i="23" s="1"/>
  <c r="CC160" i="23"/>
  <c r="CG160" i="23"/>
  <c r="AY164" i="23"/>
  <c r="BS156" i="23"/>
  <c r="C160" i="23"/>
  <c r="C190" i="23" s="1"/>
  <c r="C186" i="23" s="1"/>
  <c r="CB156" i="23"/>
  <c r="AZ189" i="23"/>
  <c r="DO167" i="23"/>
  <c r="DO197" i="23" s="1"/>
  <c r="DO168" i="23"/>
  <c r="DO198" i="23" s="1"/>
  <c r="H167" i="23"/>
  <c r="H197" i="23" s="1"/>
  <c r="H168" i="23"/>
  <c r="H198" i="23" s="1"/>
  <c r="H169" i="23"/>
  <c r="H199" i="23" s="1"/>
  <c r="B189" i="23"/>
  <c r="AD163" i="23"/>
  <c r="DU165" i="23"/>
  <c r="X165" i="23"/>
  <c r="X195" i="23" s="1"/>
  <c r="CW160" i="23"/>
  <c r="BZ188" i="23"/>
  <c r="BZ159" i="23"/>
  <c r="J189" i="23"/>
  <c r="J162" i="23"/>
  <c r="DF156" i="23"/>
  <c r="BE164" i="23"/>
  <c r="BE194" i="23" s="1"/>
  <c r="BU161" i="23"/>
  <c r="BU162" i="23" s="1"/>
  <c r="BU192" i="23" s="1"/>
  <c r="BV167" i="23"/>
  <c r="BV197" i="23" s="1"/>
  <c r="AR193" i="23"/>
  <c r="AR166" i="23"/>
  <c r="AR196" i="23" s="1"/>
  <c r="DH158" i="23"/>
  <c r="Q160" i="23"/>
  <c r="Q190" i="23" s="1"/>
  <c r="B188" i="23"/>
  <c r="DW158" i="23"/>
  <c r="CU189" i="23"/>
  <c r="CU160" i="23"/>
  <c r="X167" i="23"/>
  <c r="X197" i="23" s="1"/>
  <c r="CJ156" i="23"/>
  <c r="BB189" i="23"/>
  <c r="BB160" i="23"/>
  <c r="C161" i="23"/>
  <c r="C191" i="23" s="1"/>
  <c r="AM161" i="23"/>
  <c r="AM191" i="23" s="1"/>
  <c r="DW157" i="23"/>
  <c r="BF166" i="23"/>
  <c r="BF196" i="23" s="1"/>
  <c r="BF167" i="23"/>
  <c r="BF197" i="23" s="1"/>
  <c r="BH167" i="23"/>
  <c r="BH197" i="23" s="1"/>
  <c r="B162" i="23"/>
  <c r="E161" i="23"/>
  <c r="E191" i="23" s="1"/>
  <c r="BL192" i="23"/>
  <c r="BL186" i="23" s="1"/>
  <c r="AI156" i="23"/>
  <c r="AP163" i="23"/>
  <c r="AP193" i="23" s="1"/>
  <c r="J163" i="23"/>
  <c r="J193" i="23" s="1"/>
  <c r="R188" i="23"/>
  <c r="R159" i="23"/>
  <c r="R189" i="23" s="1"/>
  <c r="BG193" i="23"/>
  <c r="BG166" i="23"/>
  <c r="BG196" i="23" s="1"/>
  <c r="K188" i="23"/>
  <c r="K159" i="23"/>
  <c r="D189" i="23"/>
  <c r="D160" i="23"/>
  <c r="CJ186" i="23"/>
  <c r="AS162" i="23"/>
  <c r="AS192" i="23" s="1"/>
  <c r="DF189" i="23"/>
  <c r="DF186" i="23" s="1"/>
  <c r="DF164" i="23"/>
  <c r="DF194" i="23" s="1"/>
  <c r="AQ162" i="23"/>
  <c r="AQ192" i="23" s="1"/>
  <c r="DG156" i="23"/>
  <c r="AM186" i="23"/>
  <c r="BJ164" i="23"/>
  <c r="BJ194" i="23" s="1"/>
  <c r="R160" i="23"/>
  <c r="R190" i="23" s="1"/>
  <c r="AF165" i="23"/>
  <c r="AF195" i="23" s="1"/>
  <c r="BH164" i="23"/>
  <c r="BH194" i="23" s="1"/>
  <c r="AX189" i="23"/>
  <c r="AX160" i="23"/>
  <c r="CO163" i="23"/>
  <c r="DC159" i="23"/>
  <c r="DC189" i="23" s="1"/>
  <c r="BM160" i="23"/>
  <c r="DS191" i="23"/>
  <c r="DS186" i="23" s="1"/>
  <c r="DS163" i="23"/>
  <c r="DS193" i="23" s="1"/>
  <c r="AW162" i="23"/>
  <c r="DD160" i="23"/>
  <c r="CR189" i="23"/>
  <c r="CR186" i="23" s="1"/>
  <c r="CR163" i="23"/>
  <c r="CR193" i="23" s="1"/>
  <c r="CJ164" i="23"/>
  <c r="CJ194" i="23" s="1"/>
  <c r="AM156" i="23"/>
  <c r="W164" i="23"/>
  <c r="W194" i="23" s="1"/>
  <c r="DP186" i="23"/>
  <c r="AK162" i="23"/>
  <c r="AK192" i="23" s="1"/>
  <c r="I90" i="3"/>
  <c r="I65" i="3"/>
  <c r="I55" i="3"/>
  <c r="Y192" i="23" l="1"/>
  <c r="S192" i="23"/>
  <c r="M162" i="23"/>
  <c r="M192" i="23" s="1"/>
  <c r="CL167" i="23"/>
  <c r="CL197" i="23" s="1"/>
  <c r="CA191" i="23"/>
  <c r="AW167" i="23"/>
  <c r="AW197" i="23" s="1"/>
  <c r="CG190" i="23"/>
  <c r="CK168" i="23"/>
  <c r="BT168" i="23"/>
  <c r="BI169" i="23"/>
  <c r="BI199" i="23" s="1"/>
  <c r="BQ169" i="23"/>
  <c r="BQ199" i="23" s="1"/>
  <c r="S163" i="23"/>
  <c r="S193" i="23" s="1"/>
  <c r="DQ162" i="23"/>
  <c r="DQ192" i="23" s="1"/>
  <c r="AP166" i="23"/>
  <c r="AP196" i="23" s="1"/>
  <c r="BE168" i="23"/>
  <c r="CR164" i="23"/>
  <c r="CR194" i="23" s="1"/>
  <c r="BZ189" i="23"/>
  <c r="DE194" i="23"/>
  <c r="DE165" i="23"/>
  <c r="DE195" i="23" s="1"/>
  <c r="BO190" i="23"/>
  <c r="P189" i="23"/>
  <c r="P160" i="23"/>
  <c r="CR156" i="23"/>
  <c r="W169" i="23"/>
  <c r="W199" i="23" s="1"/>
  <c r="DQ161" i="23"/>
  <c r="DQ191" i="23" s="1"/>
  <c r="DG167" i="23"/>
  <c r="DG197" i="23" s="1"/>
  <c r="DG168" i="23"/>
  <c r="DG198" i="23" s="1"/>
  <c r="AA191" i="23"/>
  <c r="AA162" i="23"/>
  <c r="AA156" i="23" s="1"/>
  <c r="AA163" i="23"/>
  <c r="AA193" i="23" s="1"/>
  <c r="O162" i="23"/>
  <c r="O192" i="23" s="1"/>
  <c r="CD190" i="23"/>
  <c r="CD161" i="23"/>
  <c r="DF165" i="23"/>
  <c r="AO190" i="23"/>
  <c r="AO162" i="23"/>
  <c r="AO192" i="23" s="1"/>
  <c r="AO186" i="23" s="1"/>
  <c r="AO163" i="23"/>
  <c r="AO193" i="23" s="1"/>
  <c r="H165" i="23"/>
  <c r="H195" i="23" s="1"/>
  <c r="CI169" i="23"/>
  <c r="CI199" i="23" s="1"/>
  <c r="Q189" i="23"/>
  <c r="Q161" i="23"/>
  <c r="AM163" i="23"/>
  <c r="AM193" i="23" s="1"/>
  <c r="DG165" i="23"/>
  <c r="DG195" i="23" s="1"/>
  <c r="CF165" i="23"/>
  <c r="CF195" i="23" s="1"/>
  <c r="BJ165" i="23"/>
  <c r="BJ195" i="23" s="1"/>
  <c r="Q162" i="23"/>
  <c r="Q192" i="23" s="1"/>
  <c r="BD161" i="23"/>
  <c r="P161" i="23"/>
  <c r="P191" i="23" s="1"/>
  <c r="AF167" i="23"/>
  <c r="AF197" i="23" s="1"/>
  <c r="AF168" i="23"/>
  <c r="AF198" i="23" s="1"/>
  <c r="AU190" i="23"/>
  <c r="AU161" i="23"/>
  <c r="AN164" i="23"/>
  <c r="AN194" i="23" s="1"/>
  <c r="BS194" i="23"/>
  <c r="BS166" i="23"/>
  <c r="BS196" i="23" s="1"/>
  <c r="L192" i="23"/>
  <c r="L186" i="23" s="1"/>
  <c r="L165" i="23"/>
  <c r="L195" i="23" s="1"/>
  <c r="AQ164" i="23"/>
  <c r="AQ194" i="23" s="1"/>
  <c r="AQ163" i="23"/>
  <c r="AQ193" i="23" s="1"/>
  <c r="BX164" i="23"/>
  <c r="BX194" i="23" s="1"/>
  <c r="DB189" i="23"/>
  <c r="DB160" i="23"/>
  <c r="AZ161" i="23"/>
  <c r="DU195" i="23"/>
  <c r="DU166" i="23"/>
  <c r="DU196" i="23" s="1"/>
  <c r="V161" i="23"/>
  <c r="CL190" i="23"/>
  <c r="CL186" i="23" s="1"/>
  <c r="CJ166" i="23"/>
  <c r="CJ196" i="23" s="1"/>
  <c r="AT164" i="23"/>
  <c r="AT194" i="23" s="1"/>
  <c r="BG169" i="23"/>
  <c r="BG199" i="23" s="1"/>
  <c r="BK163" i="23"/>
  <c r="BK193" i="23" s="1"/>
  <c r="AK156" i="23"/>
  <c r="BX192" i="23"/>
  <c r="BX165" i="23"/>
  <c r="BX195" i="23" s="1"/>
  <c r="W166" i="23"/>
  <c r="W196" i="23" s="1"/>
  <c r="CW190" i="23"/>
  <c r="CW161" i="23"/>
  <c r="CW191" i="23" s="1"/>
  <c r="AI167" i="23"/>
  <c r="AI197" i="23" s="1"/>
  <c r="AI168" i="23"/>
  <c r="AI198" i="23" s="1"/>
  <c r="DE167" i="23"/>
  <c r="DE197" i="23" s="1"/>
  <c r="AH166" i="23"/>
  <c r="AH196" i="23" s="1"/>
  <c r="AT163" i="23"/>
  <c r="AT193" i="23" s="1"/>
  <c r="M160" i="23"/>
  <c r="CQ166" i="23"/>
  <c r="CQ196" i="23" s="1"/>
  <c r="AB189" i="23"/>
  <c r="BL168" i="23"/>
  <c r="BK162" i="23"/>
  <c r="S190" i="23"/>
  <c r="S186" i="23" s="1"/>
  <c r="S156" i="23"/>
  <c r="C156" i="23"/>
  <c r="BC190" i="23"/>
  <c r="BC161" i="23"/>
  <c r="BC162" i="23"/>
  <c r="BC192" i="23" s="1"/>
  <c r="M161" i="23"/>
  <c r="M191" i="23" s="1"/>
  <c r="BR163" i="23"/>
  <c r="BR193" i="23" s="1"/>
  <c r="CE189" i="23"/>
  <c r="U161" i="23"/>
  <c r="U191" i="23" s="1"/>
  <c r="DP166" i="23"/>
  <c r="DP196" i="23" s="1"/>
  <c r="B163" i="23"/>
  <c r="CL163" i="23"/>
  <c r="CL193" i="23" s="1"/>
  <c r="CE160" i="23"/>
  <c r="G163" i="23"/>
  <c r="G193" i="23" s="1"/>
  <c r="CH193" i="23"/>
  <c r="V162" i="23"/>
  <c r="V192" i="23" s="1"/>
  <c r="CH167" i="23"/>
  <c r="CH197" i="23" s="1"/>
  <c r="CH168" i="23"/>
  <c r="CH198" i="23" s="1"/>
  <c r="AG190" i="23"/>
  <c r="L156" i="23"/>
  <c r="DV162" i="23"/>
  <c r="CV161" i="23"/>
  <c r="AM167" i="23"/>
  <c r="AM197" i="23" s="1"/>
  <c r="AM169" i="23"/>
  <c r="AM199" i="23" s="1"/>
  <c r="AM168" i="23"/>
  <c r="AM198" i="23" s="1"/>
  <c r="L163" i="23"/>
  <c r="L193" i="23" s="1"/>
  <c r="BX186" i="23"/>
  <c r="CY190" i="23"/>
  <c r="CY162" i="23"/>
  <c r="E162" i="23"/>
  <c r="DC160" i="23"/>
  <c r="BL164" i="23"/>
  <c r="AS164" i="23"/>
  <c r="AS194" i="23" s="1"/>
  <c r="O190" i="23"/>
  <c r="O186" i="23" s="1"/>
  <c r="DS164" i="23"/>
  <c r="BV168" i="23"/>
  <c r="AH169" i="23"/>
  <c r="AH199" i="23" s="1"/>
  <c r="AG161" i="23"/>
  <c r="AY194" i="23"/>
  <c r="AY165" i="23"/>
  <c r="AY195" i="23" s="1"/>
  <c r="DG193" i="23"/>
  <c r="DG166" i="23"/>
  <c r="DG196" i="23" s="1"/>
  <c r="BW192" i="23"/>
  <c r="BW186" i="23" s="1"/>
  <c r="BW163" i="23"/>
  <c r="BW156" i="23"/>
  <c r="BN195" i="23"/>
  <c r="BN166" i="23"/>
  <c r="BN196" i="23" s="1"/>
  <c r="AK165" i="23"/>
  <c r="AK195" i="23" s="1"/>
  <c r="B192" i="23"/>
  <c r="CF166" i="23"/>
  <c r="CF196" i="23" s="1"/>
  <c r="DD190" i="23"/>
  <c r="DD162" i="23"/>
  <c r="Y191" i="23"/>
  <c r="Y186" i="23" s="1"/>
  <c r="Y156" i="23"/>
  <c r="AM165" i="23"/>
  <c r="AM195" i="23" s="1"/>
  <c r="K189" i="23"/>
  <c r="K160" i="23"/>
  <c r="BZ160" i="23"/>
  <c r="BZ190" i="23" s="1"/>
  <c r="BV193" i="23"/>
  <c r="BT194" i="23"/>
  <c r="BT166" i="23"/>
  <c r="BT196" i="23" s="1"/>
  <c r="BR162" i="23"/>
  <c r="BR164" i="23" s="1"/>
  <c r="BR194" i="23" s="1"/>
  <c r="F190" i="23"/>
  <c r="F161" i="23"/>
  <c r="F162" i="23"/>
  <c r="F192" i="23" s="1"/>
  <c r="AD167" i="23"/>
  <c r="AD197" i="23" s="1"/>
  <c r="AD168" i="23"/>
  <c r="AD198" i="23" s="1"/>
  <c r="CC190" i="23"/>
  <c r="CC161" i="23"/>
  <c r="CC191" i="23" s="1"/>
  <c r="AI165" i="23"/>
  <c r="AI195" i="23" s="1"/>
  <c r="AD193" i="23"/>
  <c r="AD164" i="23"/>
  <c r="AI166" i="23"/>
  <c r="AI196" i="23" s="1"/>
  <c r="Y163" i="23"/>
  <c r="Y193" i="23" s="1"/>
  <c r="BO161" i="23"/>
  <c r="DU156" i="23"/>
  <c r="AM164" i="23"/>
  <c r="AM194" i="23" s="1"/>
  <c r="DE166" i="23"/>
  <c r="DE196" i="23" s="1"/>
  <c r="B191" i="23"/>
  <c r="AL161" i="23"/>
  <c r="AB160" i="23"/>
  <c r="BV165" i="23"/>
  <c r="BV195" i="23" s="1"/>
  <c r="X166" i="23"/>
  <c r="X196" i="23" s="1"/>
  <c r="BI165" i="23"/>
  <c r="BI195" i="23" s="1"/>
  <c r="DH188" i="23"/>
  <c r="AR168" i="23"/>
  <c r="BI166" i="23"/>
  <c r="BI196" i="23" s="1"/>
  <c r="BM190" i="23"/>
  <c r="BM161" i="23"/>
  <c r="BM162" i="23" s="1"/>
  <c r="T165" i="23"/>
  <c r="T195" i="23" s="1"/>
  <c r="DF167" i="23"/>
  <c r="DF197" i="23" s="1"/>
  <c r="N160" i="23"/>
  <c r="AN156" i="23"/>
  <c r="BA190" i="23"/>
  <c r="BA161" i="23"/>
  <c r="CQ168" i="23"/>
  <c r="BJ168" i="23"/>
  <c r="CI194" i="23"/>
  <c r="CI165" i="23"/>
  <c r="L166" i="23"/>
  <c r="L196" i="23" s="1"/>
  <c r="AY166" i="23"/>
  <c r="AY196" i="23" s="1"/>
  <c r="DR163" i="23"/>
  <c r="DR193" i="23" s="1"/>
  <c r="AC189" i="23"/>
  <c r="CJ165" i="23"/>
  <c r="CJ195" i="23" s="1"/>
  <c r="BX156" i="23"/>
  <c r="DO169" i="23"/>
  <c r="DO199" i="23" s="1"/>
  <c r="CB167" i="23"/>
  <c r="CB197" i="23" s="1"/>
  <c r="CZ191" i="23"/>
  <c r="CZ156" i="23"/>
  <c r="AT191" i="23"/>
  <c r="AT186" i="23" s="1"/>
  <c r="AT165" i="23"/>
  <c r="AT195" i="23" s="1"/>
  <c r="DA190" i="23"/>
  <c r="DA162" i="23"/>
  <c r="AA164" i="23"/>
  <c r="AA194" i="23" s="1"/>
  <c r="DK169" i="23"/>
  <c r="DK199" i="23" s="1"/>
  <c r="AT166" i="23"/>
  <c r="AT196" i="23" s="1"/>
  <c r="AQ156" i="23"/>
  <c r="DH159" i="23"/>
  <c r="BH165" i="23"/>
  <c r="BH195" i="23" s="1"/>
  <c r="CN190" i="23"/>
  <c r="CZ164" i="23"/>
  <c r="CZ194" i="23" s="1"/>
  <c r="AO164" i="23"/>
  <c r="AO194" i="23" s="1"/>
  <c r="CT162" i="23"/>
  <c r="CS166" i="23"/>
  <c r="CS196" i="23" s="1"/>
  <c r="AS156" i="23"/>
  <c r="BH168" i="23"/>
  <c r="BF168" i="23"/>
  <c r="BU191" i="23"/>
  <c r="BU186" i="23" s="1"/>
  <c r="BU156" i="23"/>
  <c r="BU163" i="23"/>
  <c r="BU193" i="23" s="1"/>
  <c r="AX190" i="23"/>
  <c r="AX161" i="23"/>
  <c r="AX191" i="23" s="1"/>
  <c r="DW187" i="23"/>
  <c r="CZ186" i="23"/>
  <c r="N161" i="23"/>
  <c r="N191" i="23" s="1"/>
  <c r="AY168" i="23"/>
  <c r="AV188" i="23"/>
  <c r="DW188" i="23" s="1"/>
  <c r="AV159" i="23"/>
  <c r="AV160" i="23"/>
  <c r="AV190" i="23" s="1"/>
  <c r="I162" i="23"/>
  <c r="I192" i="23" s="1"/>
  <c r="I186" i="23" s="1"/>
  <c r="CG161" i="23"/>
  <c r="CG191" i="23" s="1"/>
  <c r="BE166" i="23"/>
  <c r="BE196" i="23" s="1"/>
  <c r="B156" i="23"/>
  <c r="AP167" i="23"/>
  <c r="AP197" i="23" s="1"/>
  <c r="CU190" i="23"/>
  <c r="CU161" i="23"/>
  <c r="CU162" i="23" s="1"/>
  <c r="AT167" i="23"/>
  <c r="AT197" i="23" s="1"/>
  <c r="AS163" i="23"/>
  <c r="AS193" i="23" s="1"/>
  <c r="DI190" i="23"/>
  <c r="DI161" i="23"/>
  <c r="CA162" i="23"/>
  <c r="CA163" i="23" s="1"/>
  <c r="CA193" i="23" s="1"/>
  <c r="C163" i="23"/>
  <c r="C164" i="23" s="1"/>
  <c r="C194" i="23" s="1"/>
  <c r="D190" i="23"/>
  <c r="Z156" i="23"/>
  <c r="M189" i="23"/>
  <c r="DQ189" i="23"/>
  <c r="DQ186" i="23" s="1"/>
  <c r="DQ163" i="23"/>
  <c r="DQ193" i="23" s="1"/>
  <c r="R161" i="23"/>
  <c r="R191" i="23" s="1"/>
  <c r="CZ163" i="23"/>
  <c r="AF166" i="23"/>
  <c r="AF196" i="23" s="1"/>
  <c r="CM162" i="23"/>
  <c r="AN162" i="23"/>
  <c r="AN192" i="23" s="1"/>
  <c r="AN186" i="23" s="1"/>
  <c r="G162" i="23"/>
  <c r="AK164" i="23"/>
  <c r="AK194" i="23" s="1"/>
  <c r="BB190" i="23"/>
  <c r="BB161" i="23"/>
  <c r="DD163" i="23"/>
  <c r="DD193" i="23" s="1"/>
  <c r="J192" i="23"/>
  <c r="J186" i="23" s="1"/>
  <c r="J156" i="23"/>
  <c r="CP162" i="23"/>
  <c r="CN161" i="23"/>
  <c r="CX161" i="23"/>
  <c r="CO169" i="23"/>
  <c r="CO199" i="23" s="1"/>
  <c r="CO167" i="23"/>
  <c r="CO197" i="23" s="1"/>
  <c r="CO168" i="23"/>
  <c r="CO198" i="23" s="1"/>
  <c r="BQ166" i="23"/>
  <c r="BQ196" i="23" s="1"/>
  <c r="G190" i="23"/>
  <c r="CM156" i="23"/>
  <c r="AW192" i="23"/>
  <c r="AW186" i="23" s="1"/>
  <c r="AW163" i="23"/>
  <c r="AW193" i="23" s="1"/>
  <c r="T167" i="23"/>
  <c r="T197" i="23" s="1"/>
  <c r="DO166" i="23"/>
  <c r="DO196" i="23" s="1"/>
  <c r="AN163" i="23"/>
  <c r="AN193" i="23" s="1"/>
  <c r="CS169" i="23"/>
  <c r="CS199" i="23" s="1"/>
  <c r="DR192" i="23"/>
  <c r="DR186" i="23" s="1"/>
  <c r="AE168" i="23"/>
  <c r="AQ186" i="23"/>
  <c r="AC160" i="23"/>
  <c r="L164" i="23"/>
  <c r="L194" i="23" s="1"/>
  <c r="CO193" i="23"/>
  <c r="CO165" i="23"/>
  <c r="CO195" i="23" s="1"/>
  <c r="CJ167" i="23"/>
  <c r="CJ197" i="23" s="1"/>
  <c r="BS167" i="23"/>
  <c r="BS197" i="23" s="1"/>
  <c r="X168" i="23"/>
  <c r="J164" i="23"/>
  <c r="CH164" i="23"/>
  <c r="BN168" i="23"/>
  <c r="CB194" i="23"/>
  <c r="CB165" i="23"/>
  <c r="CB195" i="23" s="1"/>
  <c r="Z162" i="23"/>
  <c r="D161" i="23"/>
  <c r="K191" i="3"/>
  <c r="D64" i="24"/>
  <c r="E64" i="24"/>
  <c r="AA167" i="23" l="1"/>
  <c r="AA197" i="23" s="1"/>
  <c r="CU192" i="23"/>
  <c r="BM192" i="23"/>
  <c r="BM156" i="23"/>
  <c r="CG186" i="23"/>
  <c r="AG163" i="23"/>
  <c r="AG193" i="23" s="1"/>
  <c r="CL168" i="23"/>
  <c r="BZ163" i="23"/>
  <c r="BZ193" i="23" s="1"/>
  <c r="J167" i="23"/>
  <c r="J197" i="23" s="1"/>
  <c r="CP156" i="23"/>
  <c r="R163" i="23"/>
  <c r="R193" i="23" s="1"/>
  <c r="AO156" i="23"/>
  <c r="DD192" i="23"/>
  <c r="AO165" i="23"/>
  <c r="AO195" i="23" s="1"/>
  <c r="CO166" i="23"/>
  <c r="CO196" i="23" s="1"/>
  <c r="AL191" i="23"/>
  <c r="AL162" i="23"/>
  <c r="AL192" i="23" s="1"/>
  <c r="AL156" i="23"/>
  <c r="DC190" i="23"/>
  <c r="B193" i="23"/>
  <c r="B164" i="23"/>
  <c r="B165" i="23" s="1"/>
  <c r="CW162" i="23"/>
  <c r="DF195" i="23"/>
  <c r="DF166" i="23"/>
  <c r="DF196" i="23" s="1"/>
  <c r="DR164" i="23"/>
  <c r="DR194" i="23" s="1"/>
  <c r="E192" i="23"/>
  <c r="E186" i="23" s="1"/>
  <c r="BJ198" i="23"/>
  <c r="BJ169" i="23"/>
  <c r="BJ199" i="23" s="1"/>
  <c r="R162" i="23"/>
  <c r="R192" i="23" s="1"/>
  <c r="R186" i="23" s="1"/>
  <c r="AY198" i="23"/>
  <c r="AY169" i="23"/>
  <c r="AY199" i="23" s="1"/>
  <c r="AL163" i="23"/>
  <c r="AL193" i="23" s="1"/>
  <c r="CY192" i="23"/>
  <c r="CY186" i="23" s="1"/>
  <c r="AM166" i="23"/>
  <c r="AM196" i="23" s="1"/>
  <c r="CD191" i="23"/>
  <c r="AD194" i="23"/>
  <c r="AD165" i="23"/>
  <c r="AD195" i="23" s="1"/>
  <c r="AU191" i="23"/>
  <c r="BT198" i="23"/>
  <c r="BT169" i="23"/>
  <c r="BT199" i="23" s="1"/>
  <c r="CX191" i="23"/>
  <c r="CJ168" i="23"/>
  <c r="Y167" i="23"/>
  <c r="Y197" i="23" s="1"/>
  <c r="Y168" i="23"/>
  <c r="Y198" i="23" s="1"/>
  <c r="Y169" i="23"/>
  <c r="Y199" i="23" s="1"/>
  <c r="I156" i="23"/>
  <c r="AE198" i="23"/>
  <c r="AE169" i="23"/>
  <c r="AE199" i="23" s="1"/>
  <c r="AU162" i="23"/>
  <c r="AU163" i="23" s="1"/>
  <c r="AU193" i="23" s="1"/>
  <c r="CK198" i="23"/>
  <c r="CK169" i="23"/>
  <c r="CK199" i="23" s="1"/>
  <c r="CI195" i="23"/>
  <c r="CI166" i="23"/>
  <c r="CI196" i="23" s="1"/>
  <c r="M186" i="23"/>
  <c r="CT192" i="23"/>
  <c r="CT186" i="23" s="1"/>
  <c r="CT164" i="23"/>
  <c r="CT194" i="23" s="1"/>
  <c r="CT156" i="23"/>
  <c r="AV161" i="23"/>
  <c r="CN165" i="23"/>
  <c r="CN195" i="23" s="1"/>
  <c r="AB190" i="23"/>
  <c r="AB162" i="23"/>
  <c r="AB192" i="23" s="1"/>
  <c r="AB161" i="23"/>
  <c r="AB191" i="23" s="1"/>
  <c r="BL194" i="23"/>
  <c r="DH189" i="23"/>
  <c r="AW168" i="23"/>
  <c r="AQ167" i="23"/>
  <c r="AQ197" i="23" s="1"/>
  <c r="BR165" i="23"/>
  <c r="BR195" i="23" s="1"/>
  <c r="DE168" i="23"/>
  <c r="BB191" i="23"/>
  <c r="DD156" i="23"/>
  <c r="DA192" i="23"/>
  <c r="DA186" i="23" s="1"/>
  <c r="DA156" i="23"/>
  <c r="DA163" i="23"/>
  <c r="AK167" i="23"/>
  <c r="AK197" i="23" s="1"/>
  <c r="CA166" i="23"/>
  <c r="CA196" i="23" s="1"/>
  <c r="BH166" i="23"/>
  <c r="BH196" i="23" s="1"/>
  <c r="AF169" i="23"/>
  <c r="AF199" i="23" s="1"/>
  <c r="DG169" i="23"/>
  <c r="DG199" i="23" s="1"/>
  <c r="D191" i="23"/>
  <c r="D162" i="23"/>
  <c r="BC191" i="23"/>
  <c r="BC186" i="23" s="1"/>
  <c r="BC163" i="23"/>
  <c r="BC193" i="23" s="1"/>
  <c r="CA156" i="23"/>
  <c r="BW193" i="23"/>
  <c r="BW164" i="23"/>
  <c r="BW194" i="23" s="1"/>
  <c r="CC162" i="23"/>
  <c r="BD191" i="23"/>
  <c r="CR167" i="23"/>
  <c r="CR197" i="23" s="1"/>
  <c r="CR168" i="23"/>
  <c r="CR198" i="23" s="1"/>
  <c r="CA164" i="23"/>
  <c r="CA194" i="23" s="1"/>
  <c r="K161" i="23"/>
  <c r="CQ198" i="23"/>
  <c r="CQ169" i="23"/>
  <c r="CQ199" i="23" s="1"/>
  <c r="C167" i="23"/>
  <c r="C197" i="23" s="1"/>
  <c r="E156" i="23"/>
  <c r="AO166" i="23"/>
  <c r="AO196" i="23" s="1"/>
  <c r="BC156" i="23"/>
  <c r="AX162" i="23"/>
  <c r="S167" i="23"/>
  <c r="S197" i="23" s="1"/>
  <c r="CL164" i="23"/>
  <c r="CL194" i="23" s="1"/>
  <c r="P190" i="23"/>
  <c r="CN191" i="23"/>
  <c r="CN162" i="23"/>
  <c r="CN163" i="23"/>
  <c r="CN193" i="23" s="1"/>
  <c r="AV189" i="23"/>
  <c r="BW168" i="23"/>
  <c r="BW198" i="23" s="1"/>
  <c r="BW169" i="23"/>
  <c r="BW199" i="23" s="1"/>
  <c r="BW167" i="23"/>
  <c r="BW197" i="23" s="1"/>
  <c r="DI191" i="23"/>
  <c r="AD169" i="23"/>
  <c r="AD199" i="23" s="1"/>
  <c r="AI169" i="23"/>
  <c r="AI199" i="23" s="1"/>
  <c r="AC190" i="23"/>
  <c r="AN166" i="23"/>
  <c r="AN196" i="23" s="1"/>
  <c r="CB166" i="23"/>
  <c r="CB196" i="23" s="1"/>
  <c r="U165" i="23"/>
  <c r="U195" i="23" s="1"/>
  <c r="I164" i="23"/>
  <c r="I194" i="23" s="1"/>
  <c r="V191" i="23"/>
  <c r="V186" i="23" s="1"/>
  <c r="K190" i="23"/>
  <c r="H166" i="23"/>
  <c r="H196" i="23" s="1"/>
  <c r="U163" i="23"/>
  <c r="U193" i="23" s="1"/>
  <c r="L167" i="23"/>
  <c r="L197" i="23" s="1"/>
  <c r="L168" i="23"/>
  <c r="L198" i="23" s="1"/>
  <c r="BK192" i="23"/>
  <c r="BK186" i="23" s="1"/>
  <c r="BK156" i="23"/>
  <c r="P162" i="23"/>
  <c r="S164" i="23"/>
  <c r="S194" i="23" s="1"/>
  <c r="DH160" i="23"/>
  <c r="CZ167" i="23"/>
  <c r="CZ197" i="23" s="1"/>
  <c r="CZ168" i="23"/>
  <c r="CZ198" i="23" s="1"/>
  <c r="DC161" i="23"/>
  <c r="BU167" i="23"/>
  <c r="BU197" i="23" s="1"/>
  <c r="CB168" i="23"/>
  <c r="F191" i="23"/>
  <c r="F186" i="23" s="1"/>
  <c r="F156" i="23"/>
  <c r="F163" i="23"/>
  <c r="F193" i="23" s="1"/>
  <c r="BL198" i="23"/>
  <c r="BL169" i="23"/>
  <c r="BL199" i="23" s="1"/>
  <c r="BE198" i="23"/>
  <c r="BE169" i="23"/>
  <c r="BE199" i="23" s="1"/>
  <c r="DD186" i="23"/>
  <c r="CG164" i="23"/>
  <c r="CG194" i="23" s="1"/>
  <c r="AA192" i="23"/>
  <c r="AA186" i="23" s="1"/>
  <c r="AA165" i="23"/>
  <c r="AN168" i="23"/>
  <c r="AN198" i="23" s="1"/>
  <c r="AN167" i="23"/>
  <c r="AN197" i="23" s="1"/>
  <c r="C193" i="23"/>
  <c r="C165" i="23"/>
  <c r="C195" i="23" s="1"/>
  <c r="C166" i="23"/>
  <c r="C196" i="23" s="1"/>
  <c r="BL165" i="23"/>
  <c r="BL195" i="23" s="1"/>
  <c r="AR198" i="23"/>
  <c r="AR169" i="23"/>
  <c r="AR199" i="23" s="1"/>
  <c r="AG191" i="23"/>
  <c r="AG162" i="23"/>
  <c r="AG192" i="23" s="1"/>
  <c r="AK166" i="23"/>
  <c r="AK196" i="23" s="1"/>
  <c r="CE190" i="23"/>
  <c r="CE161" i="23"/>
  <c r="CE191" i="23" s="1"/>
  <c r="DU167" i="23"/>
  <c r="DU197" i="23" s="1"/>
  <c r="DU168" i="23"/>
  <c r="DU198" i="23" s="1"/>
  <c r="Z192" i="23"/>
  <c r="Z186" i="23" s="1"/>
  <c r="Z163" i="23"/>
  <c r="BO162" i="23"/>
  <c r="BO192" i="23" s="1"/>
  <c r="BO186" i="23" s="1"/>
  <c r="AG186" i="23"/>
  <c r="AZ191" i="23"/>
  <c r="AZ162" i="23"/>
  <c r="CR165" i="23"/>
  <c r="CR195" i="23" s="1"/>
  <c r="M163" i="23"/>
  <c r="M193" i="23" s="1"/>
  <c r="CH194" i="23"/>
  <c r="CH165" i="23"/>
  <c r="DW159" i="23"/>
  <c r="E163" i="23"/>
  <c r="E193" i="23" s="1"/>
  <c r="DB190" i="23"/>
  <c r="DB161" i="23"/>
  <c r="DB191" i="23" s="1"/>
  <c r="DB186" i="23" s="1"/>
  <c r="BJ166" i="23"/>
  <c r="BJ196" i="23" s="1"/>
  <c r="M156" i="23"/>
  <c r="G165" i="23"/>
  <c r="G195" i="23" s="1"/>
  <c r="AD166" i="23"/>
  <c r="AD196" i="23" s="1"/>
  <c r="BW165" i="23"/>
  <c r="BW195" i="23" s="1"/>
  <c r="DV192" i="23"/>
  <c r="DV186" i="23" s="1"/>
  <c r="DV163" i="23"/>
  <c r="DV193" i="23" s="1"/>
  <c r="CC156" i="23"/>
  <c r="G192" i="23"/>
  <c r="G166" i="23"/>
  <c r="G196" i="23" s="1"/>
  <c r="CU156" i="23"/>
  <c r="G186" i="23"/>
  <c r="CX162" i="23"/>
  <c r="CX192" i="23" s="1"/>
  <c r="BH198" i="23"/>
  <c r="BH169" i="23"/>
  <c r="BH199" i="23" s="1"/>
  <c r="V156" i="23"/>
  <c r="BR192" i="23"/>
  <c r="BR186" i="23" s="1"/>
  <c r="BR166" i="23"/>
  <c r="BR196" i="23" s="1"/>
  <c r="BK164" i="23"/>
  <c r="U162" i="23"/>
  <c r="CY156" i="23"/>
  <c r="O156" i="23"/>
  <c r="AT168" i="23"/>
  <c r="X198" i="23"/>
  <c r="X169" i="23"/>
  <c r="X199" i="23" s="1"/>
  <c r="AW164" i="23"/>
  <c r="T166" i="23"/>
  <c r="T196" i="23" s="1"/>
  <c r="CG162" i="23"/>
  <c r="CG192" i="23" s="1"/>
  <c r="DB162" i="23"/>
  <c r="DB192" i="23" s="1"/>
  <c r="CN164" i="23"/>
  <c r="CN194" i="23" s="1"/>
  <c r="CT163" i="23"/>
  <c r="CT193" i="23" s="1"/>
  <c r="CA192" i="23"/>
  <c r="CA186" i="23" s="1"/>
  <c r="CA165" i="23"/>
  <c r="CA195" i="23" s="1"/>
  <c r="CV191" i="23"/>
  <c r="CV162" i="23"/>
  <c r="DF168" i="23"/>
  <c r="T168" i="23"/>
  <c r="BM191" i="23"/>
  <c r="BM186" i="23" s="1"/>
  <c r="BM163" i="23"/>
  <c r="BM193" i="23" s="1"/>
  <c r="BM164" i="23"/>
  <c r="BM194" i="23" s="1"/>
  <c r="CU191" i="23"/>
  <c r="CU163" i="23"/>
  <c r="CU193" i="23" s="1"/>
  <c r="AX156" i="23"/>
  <c r="AN165" i="23"/>
  <c r="AN195" i="23" s="1"/>
  <c r="AP168" i="23"/>
  <c r="AS167" i="23"/>
  <c r="AS197" i="23" s="1"/>
  <c r="BX167" i="23"/>
  <c r="BX197" i="23" s="1"/>
  <c r="BV198" i="23"/>
  <c r="BV169" i="23"/>
  <c r="BV199" i="23" s="1"/>
  <c r="M190" i="23"/>
  <c r="M164" i="23"/>
  <c r="M194" i="23" s="1"/>
  <c r="Q191" i="23"/>
  <c r="Q186" i="23" s="1"/>
  <c r="Q164" i="23"/>
  <c r="Q194" i="23" s="1"/>
  <c r="Q163" i="23"/>
  <c r="Q156" i="23"/>
  <c r="O163" i="23"/>
  <c r="DD164" i="23"/>
  <c r="DD194" i="23" s="1"/>
  <c r="BO191" i="23"/>
  <c r="BB162" i="23"/>
  <c r="BB192" i="23" s="1"/>
  <c r="BB186" i="23" s="1"/>
  <c r="N190" i="23"/>
  <c r="DI162" i="23"/>
  <c r="DI156" i="23" s="1"/>
  <c r="K162" i="23"/>
  <c r="K192" i="23" s="1"/>
  <c r="N162" i="23"/>
  <c r="BD162" i="23"/>
  <c r="CM192" i="23"/>
  <c r="CM186" i="23" s="1"/>
  <c r="CM164" i="23"/>
  <c r="CM194" i="23" s="1"/>
  <c r="J194" i="23"/>
  <c r="J165" i="23"/>
  <c r="DQ164" i="23"/>
  <c r="DQ194" i="23" s="1"/>
  <c r="CC163" i="23"/>
  <c r="CC193" i="23" s="1"/>
  <c r="CP192" i="23"/>
  <c r="CP186" i="23" s="1"/>
  <c r="CP163" i="23"/>
  <c r="CP193" i="23" s="1"/>
  <c r="Z167" i="23"/>
  <c r="Z197" i="23" s="1"/>
  <c r="Z168" i="23"/>
  <c r="Z198" i="23" s="1"/>
  <c r="BA191" i="23"/>
  <c r="BA162" i="23"/>
  <c r="BA163" i="23"/>
  <c r="BA193" i="23" s="1"/>
  <c r="CG163" i="23"/>
  <c r="CG193" i="23" s="1"/>
  <c r="BX166" i="23"/>
  <c r="BX196" i="23" s="1"/>
  <c r="CZ166" i="23"/>
  <c r="CZ196" i="23" s="1"/>
  <c r="BU164" i="23"/>
  <c r="BU194" i="23" s="1"/>
  <c r="BN198" i="23"/>
  <c r="BN169" i="23"/>
  <c r="BN199" i="23" s="1"/>
  <c r="BF198" i="23"/>
  <c r="BF169" i="23"/>
  <c r="BF199" i="23" s="1"/>
  <c r="G156" i="23"/>
  <c r="B186" i="23"/>
  <c r="CM163" i="23"/>
  <c r="DA164" i="23"/>
  <c r="DA194" i="23" s="1"/>
  <c r="AC162" i="23"/>
  <c r="AC192" i="23" s="1"/>
  <c r="AC186" i="23" s="1"/>
  <c r="CD162" i="23"/>
  <c r="BV166" i="23"/>
  <c r="BV196" i="23" s="1"/>
  <c r="DS194" i="23"/>
  <c r="DS165" i="23"/>
  <c r="CH169" i="23"/>
  <c r="CH199" i="23" s="1"/>
  <c r="BR156" i="23"/>
  <c r="I163" i="23"/>
  <c r="I193" i="23" s="1"/>
  <c r="BZ161" i="23"/>
  <c r="CY163" i="23"/>
  <c r="Y164" i="23"/>
  <c r="DQ165" i="23"/>
  <c r="DQ195" i="23" s="1"/>
  <c r="U164" i="23"/>
  <c r="U194" i="23" s="1"/>
  <c r="CM167" i="23"/>
  <c r="CM197" i="23" s="1"/>
  <c r="G164" i="23"/>
  <c r="G194" i="23" s="1"/>
  <c r="BS168" i="23"/>
  <c r="CZ193" i="23"/>
  <c r="CZ165" i="23"/>
  <c r="CZ195" i="23" s="1"/>
  <c r="B167" i="23"/>
  <c r="B168" i="23"/>
  <c r="B169" i="23" s="1"/>
  <c r="AC161" i="23"/>
  <c r="AC191" i="23" s="1"/>
  <c r="AS165" i="23"/>
  <c r="AS195" i="23" s="1"/>
  <c r="AQ165" i="23"/>
  <c r="AQ195" i="23" s="1"/>
  <c r="V163" i="23"/>
  <c r="V193" i="23" s="1"/>
  <c r="BZ162" i="23"/>
  <c r="BZ192" i="23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DI167" i="23" l="1"/>
  <c r="DI197" i="23" s="1"/>
  <c r="DI168" i="23"/>
  <c r="DI198" i="23" s="1"/>
  <c r="B195" i="23"/>
  <c r="B199" i="23"/>
  <c r="CD192" i="23"/>
  <c r="CD186" i="23" s="1"/>
  <c r="CD156" i="23"/>
  <c r="Z193" i="23"/>
  <c r="Z165" i="23"/>
  <c r="Z195" i="23" s="1"/>
  <c r="K163" i="23"/>
  <c r="AB186" i="23"/>
  <c r="AX192" i="23"/>
  <c r="AX186" i="23" s="1"/>
  <c r="AX163" i="23"/>
  <c r="AX193" i="23" s="1"/>
  <c r="CM193" i="23"/>
  <c r="AZ186" i="23"/>
  <c r="D186" i="23"/>
  <c r="CV163" i="23"/>
  <c r="CV193" i="23" s="1"/>
  <c r="AC156" i="23"/>
  <c r="AK168" i="23"/>
  <c r="P186" i="23"/>
  <c r="N186" i="23"/>
  <c r="DV156" i="23"/>
  <c r="CB198" i="23"/>
  <c r="CB169" i="23"/>
  <c r="CB199" i="23" s="1"/>
  <c r="C168" i="23"/>
  <c r="AX167" i="23"/>
  <c r="AX197" i="23" s="1"/>
  <c r="D192" i="23"/>
  <c r="D156" i="23"/>
  <c r="D163" i="23"/>
  <c r="DI192" i="23"/>
  <c r="DI186" i="23" s="1"/>
  <c r="BO163" i="23"/>
  <c r="BO193" i="23" s="1"/>
  <c r="F164" i="23"/>
  <c r="F194" i="23" s="1"/>
  <c r="DA193" i="23"/>
  <c r="DA165" i="23"/>
  <c r="DA195" i="23" s="1"/>
  <c r="DA166" i="23"/>
  <c r="DA196" i="23" s="1"/>
  <c r="AN169" i="23"/>
  <c r="AN199" i="23" s="1"/>
  <c r="CV192" i="23"/>
  <c r="CV186" i="23" s="1"/>
  <c r="CV156" i="23"/>
  <c r="S168" i="23"/>
  <c r="AZ192" i="23"/>
  <c r="AZ164" i="23"/>
  <c r="AZ194" i="23" s="1"/>
  <c r="AZ156" i="23"/>
  <c r="BO165" i="23"/>
  <c r="BO195" i="23" s="1"/>
  <c r="CL198" i="23"/>
  <c r="CL169" i="23"/>
  <c r="CL199" i="23" s="1"/>
  <c r="Z166" i="23"/>
  <c r="Z196" i="23" s="1"/>
  <c r="AV191" i="23"/>
  <c r="AV186" i="23" s="1"/>
  <c r="DF198" i="23"/>
  <c r="DF169" i="23"/>
  <c r="DF199" i="23" s="1"/>
  <c r="DE198" i="23"/>
  <c r="DE169" i="23"/>
  <c r="DE199" i="23" s="1"/>
  <c r="V167" i="23"/>
  <c r="V197" i="23" s="1"/>
  <c r="BU168" i="23"/>
  <c r="DC191" i="23"/>
  <c r="CN166" i="23"/>
  <c r="CN196" i="23" s="1"/>
  <c r="BM165" i="23"/>
  <c r="BM195" i="23" s="1"/>
  <c r="T198" i="23"/>
  <c r="T169" i="23"/>
  <c r="T199" i="23" s="1"/>
  <c r="DV164" i="23"/>
  <c r="DV194" i="23" s="1"/>
  <c r="BO156" i="23"/>
  <c r="DU169" i="23"/>
  <c r="DU199" i="23" s="1"/>
  <c r="R156" i="23"/>
  <c r="DI163" i="23"/>
  <c r="DI193" i="23" s="1"/>
  <c r="DB163" i="23"/>
  <c r="CX164" i="23"/>
  <c r="CX194" i="23" s="1"/>
  <c r="DV165" i="23"/>
  <c r="DV195" i="23" s="1"/>
  <c r="BO164" i="23"/>
  <c r="BO194" i="23" s="1"/>
  <c r="BB163" i="23"/>
  <c r="BB164" i="23" s="1"/>
  <c r="BB194" i="23" s="1"/>
  <c r="BD163" i="23"/>
  <c r="BD193" i="23" s="1"/>
  <c r="BD164" i="23"/>
  <c r="BD194" i="23" s="1"/>
  <c r="CX156" i="23"/>
  <c r="DC156" i="23"/>
  <c r="DS195" i="23"/>
  <c r="DS166" i="23"/>
  <c r="DS196" i="23" s="1"/>
  <c r="DH190" i="23"/>
  <c r="DH162" i="23"/>
  <c r="DH192" i="23" s="1"/>
  <c r="AW194" i="23"/>
  <c r="CX163" i="23"/>
  <c r="CX193" i="23" s="1"/>
  <c r="BM167" i="23"/>
  <c r="BM197" i="23" s="1"/>
  <c r="BM168" i="23"/>
  <c r="BM198" i="23" s="1"/>
  <c r="G167" i="23"/>
  <c r="G197" i="23" s="1"/>
  <c r="G168" i="23"/>
  <c r="G198" i="23" s="1"/>
  <c r="DD167" i="23"/>
  <c r="DD197" i="23" s="1"/>
  <c r="Q167" i="23"/>
  <c r="Q197" i="23" s="1"/>
  <c r="AQ168" i="23"/>
  <c r="AL167" i="23"/>
  <c r="AL197" i="23" s="1"/>
  <c r="AL168" i="23"/>
  <c r="AL198" i="23" s="1"/>
  <c r="AL169" i="23"/>
  <c r="AL199" i="23" s="1"/>
  <c r="BM166" i="23"/>
  <c r="BM196" i="23" s="1"/>
  <c r="N192" i="23"/>
  <c r="N164" i="23"/>
  <c r="N194" i="23" s="1"/>
  <c r="DI164" i="23"/>
  <c r="DI194" i="23" s="1"/>
  <c r="BS198" i="23"/>
  <c r="BS169" i="23"/>
  <c r="BS199" i="23" s="1"/>
  <c r="DB156" i="23"/>
  <c r="CM168" i="23"/>
  <c r="R165" i="23"/>
  <c r="R195" i="23" s="1"/>
  <c r="AV156" i="23"/>
  <c r="DQ166" i="23"/>
  <c r="CX186" i="23"/>
  <c r="AL165" i="23"/>
  <c r="AL195" i="23" s="1"/>
  <c r="CT166" i="23"/>
  <c r="CT196" i="23" s="1"/>
  <c r="CG156" i="23"/>
  <c r="AW198" i="23"/>
  <c r="AW169" i="23"/>
  <c r="AW199" i="23" s="1"/>
  <c r="CE163" i="23"/>
  <c r="CE193" i="23" s="1"/>
  <c r="AZ163" i="23"/>
  <c r="AZ193" i="23" s="1"/>
  <c r="N163" i="23"/>
  <c r="N193" i="23" s="1"/>
  <c r="B194" i="23"/>
  <c r="DH161" i="23"/>
  <c r="Z169" i="23"/>
  <c r="Z199" i="23" s="1"/>
  <c r="AV162" i="23"/>
  <c r="AV192" i="23" s="1"/>
  <c r="L169" i="23"/>
  <c r="L199" i="23" s="1"/>
  <c r="CC192" i="23"/>
  <c r="CC186" i="23" s="1"/>
  <c r="AL164" i="23"/>
  <c r="AL194" i="23" s="1"/>
  <c r="AL186" i="23"/>
  <c r="BD192" i="23"/>
  <c r="BD186" i="23" s="1"/>
  <c r="I165" i="23"/>
  <c r="I195" i="23" s="1"/>
  <c r="R164" i="23"/>
  <c r="R194" i="23" s="1"/>
  <c r="CZ169" i="23"/>
  <c r="CZ199" i="23" s="1"/>
  <c r="BZ156" i="23"/>
  <c r="Q193" i="23"/>
  <c r="Q165" i="23"/>
  <c r="Q195" i="23" s="1"/>
  <c r="CG165" i="23"/>
  <c r="CG195" i="23" s="1"/>
  <c r="AV163" i="23"/>
  <c r="AV193" i="23" s="1"/>
  <c r="BW166" i="23"/>
  <c r="BW196" i="23" s="1"/>
  <c r="DC162" i="23"/>
  <c r="CC167" i="23"/>
  <c r="CC197" i="23" s="1"/>
  <c r="DA167" i="23"/>
  <c r="DA197" i="23" s="1"/>
  <c r="DA168" i="23"/>
  <c r="DA198" i="23" s="1"/>
  <c r="DA169" i="23"/>
  <c r="DA199" i="23" s="1"/>
  <c r="M167" i="23"/>
  <c r="M197" i="23" s="1"/>
  <c r="CR169" i="23"/>
  <c r="CR199" i="23" s="1"/>
  <c r="CY167" i="23"/>
  <c r="CY197" i="23" s="1"/>
  <c r="BU165" i="23"/>
  <c r="CP167" i="23"/>
  <c r="CP197" i="23" s="1"/>
  <c r="CP168" i="23"/>
  <c r="CP198" i="23" s="1"/>
  <c r="CU167" i="23"/>
  <c r="CU197" i="23" s="1"/>
  <c r="AU192" i="23"/>
  <c r="AU186" i="23" s="1"/>
  <c r="AU164" i="23"/>
  <c r="AU194" i="23" s="1"/>
  <c r="AU165" i="23"/>
  <c r="AU195" i="23" s="1"/>
  <c r="AU156" i="23"/>
  <c r="I166" i="23"/>
  <c r="I196" i="23" s="1"/>
  <c r="CU186" i="23"/>
  <c r="F167" i="23"/>
  <c r="F197" i="23" s="1"/>
  <c r="F168" i="23"/>
  <c r="F198" i="23" s="1"/>
  <c r="CW192" i="23"/>
  <c r="CW186" i="23" s="1"/>
  <c r="CW163" i="23"/>
  <c r="CW156" i="23"/>
  <c r="AG165" i="23"/>
  <c r="AG195" i="23" s="1"/>
  <c r="BB156" i="23"/>
  <c r="BX168" i="23"/>
  <c r="AC164" i="23"/>
  <c r="AC194" i="23" s="1"/>
  <c r="U166" i="23"/>
  <c r="U196" i="23" s="1"/>
  <c r="BC165" i="23"/>
  <c r="BC195" i="23" s="1"/>
  <c r="CN192" i="23"/>
  <c r="CN186" i="23" s="1"/>
  <c r="CN156" i="23"/>
  <c r="BC164" i="23"/>
  <c r="BC194" i="23" s="1"/>
  <c r="CT167" i="23"/>
  <c r="CT197" i="23" s="1"/>
  <c r="I167" i="23"/>
  <c r="I197" i="23" s="1"/>
  <c r="AG156" i="23"/>
  <c r="S165" i="23"/>
  <c r="AS168" i="23"/>
  <c r="U192" i="23"/>
  <c r="U186" i="23" s="1"/>
  <c r="U156" i="23"/>
  <c r="CC164" i="23"/>
  <c r="BL166" i="23"/>
  <c r="BL196" i="23" s="1"/>
  <c r="DD165" i="23"/>
  <c r="DD195" i="23" s="1"/>
  <c r="DW189" i="23"/>
  <c r="J168" i="23"/>
  <c r="E167" i="23"/>
  <c r="E197" i="23" s="1"/>
  <c r="E168" i="23"/>
  <c r="E198" i="23" s="1"/>
  <c r="B198" i="23"/>
  <c r="K191" i="23"/>
  <c r="K186" i="23" s="1"/>
  <c r="DW161" i="23"/>
  <c r="AQ166" i="23"/>
  <c r="AQ196" i="23" s="1"/>
  <c r="CT165" i="23"/>
  <c r="CT195" i="23" s="1"/>
  <c r="O167" i="23"/>
  <c r="O197" i="23" s="1"/>
  <c r="Y194" i="23"/>
  <c r="Y165" i="23"/>
  <c r="AP198" i="23"/>
  <c r="AP169" i="23"/>
  <c r="AP199" i="23" s="1"/>
  <c r="CE162" i="23"/>
  <c r="Z164" i="23"/>
  <c r="Z194" i="23" s="1"/>
  <c r="AS166" i="23"/>
  <c r="AS196" i="23" s="1"/>
  <c r="BK167" i="23"/>
  <c r="BK197" i="23" s="1"/>
  <c r="BD156" i="23"/>
  <c r="CY193" i="23"/>
  <c r="CY164" i="23"/>
  <c r="CD163" i="23"/>
  <c r="M165" i="23"/>
  <c r="DR165" i="23"/>
  <c r="DR195" i="23" s="1"/>
  <c r="AW165" i="23"/>
  <c r="AW195" i="23" s="1"/>
  <c r="AB163" i="23"/>
  <c r="AB164" i="23" s="1"/>
  <c r="BC167" i="23"/>
  <c r="BC197" i="23" s="1"/>
  <c r="BC168" i="23"/>
  <c r="BC198" i="23" s="1"/>
  <c r="BC169" i="23"/>
  <c r="BC199" i="23" s="1"/>
  <c r="N156" i="23"/>
  <c r="B197" i="23"/>
  <c r="CJ198" i="23"/>
  <c r="CJ169" i="23"/>
  <c r="CJ199" i="23" s="1"/>
  <c r="P192" i="23"/>
  <c r="P163" i="23"/>
  <c r="P193" i="23" s="1"/>
  <c r="P156" i="23"/>
  <c r="AT198" i="23"/>
  <c r="AT169" i="23"/>
  <c r="AT199" i="23" s="1"/>
  <c r="CR166" i="23"/>
  <c r="CR196" i="23" s="1"/>
  <c r="BZ164" i="23"/>
  <c r="BZ194" i="23" s="1"/>
  <c r="BZ191" i="23"/>
  <c r="BZ186" i="23" s="1"/>
  <c r="BZ165" i="23"/>
  <c r="BZ195" i="23" s="1"/>
  <c r="J195" i="23"/>
  <c r="J166" i="23"/>
  <c r="J196" i="23" s="1"/>
  <c r="BR167" i="23"/>
  <c r="BR197" i="23" s="1"/>
  <c r="BR168" i="23"/>
  <c r="BR198" i="23" s="1"/>
  <c r="BK194" i="23"/>
  <c r="BK165" i="23"/>
  <c r="BK195" i="23" s="1"/>
  <c r="BK166" i="23"/>
  <c r="BK196" i="23" s="1"/>
  <c r="B166" i="23"/>
  <c r="DW160" i="23"/>
  <c r="CA167" i="23"/>
  <c r="CA197" i="23" s="1"/>
  <c r="AB156" i="23"/>
  <c r="AO167" i="23"/>
  <c r="AO197" i="23" s="1"/>
  <c r="AO168" i="23"/>
  <c r="AO198" i="23" s="1"/>
  <c r="AA168" i="23"/>
  <c r="AA195" i="23"/>
  <c r="AA166" i="23"/>
  <c r="AA196" i="23" s="1"/>
  <c r="O193" i="23"/>
  <c r="O164" i="23"/>
  <c r="BA192" i="23"/>
  <c r="BA186" i="23" s="1"/>
  <c r="BA164" i="23"/>
  <c r="BA194" i="23" s="1"/>
  <c r="BA156" i="23"/>
  <c r="BA165" i="23"/>
  <c r="BA195" i="23" s="1"/>
  <c r="K156" i="23"/>
  <c r="AG164" i="23"/>
  <c r="AG194" i="23" s="1"/>
  <c r="V164" i="23"/>
  <c r="CH195" i="23"/>
  <c r="CH166" i="23"/>
  <c r="CH196" i="23" s="1"/>
  <c r="CL165" i="23"/>
  <c r="CL195" i="23" s="1"/>
  <c r="CM165" i="23"/>
  <c r="CM195" i="23" s="1"/>
  <c r="DV166" i="23"/>
  <c r="DV196" i="23" s="1"/>
  <c r="O165" i="23"/>
  <c r="O195" i="23" s="1"/>
  <c r="CU164" i="23"/>
  <c r="CU194" i="23" s="1"/>
  <c r="K164" i="23"/>
  <c r="K194" i="23" s="1"/>
  <c r="E164" i="23"/>
  <c r="CP164" i="23"/>
  <c r="AC163" i="23"/>
  <c r="AC193" i="23" s="1"/>
  <c r="E149" i="24"/>
  <c r="E150" i="24"/>
  <c r="E151" i="24"/>
  <c r="E152" i="24"/>
  <c r="E153" i="24"/>
  <c r="E154" i="24"/>
  <c r="E155" i="24"/>
  <c r="E159" i="24"/>
  <c r="E160" i="24"/>
  <c r="AB194" i="23" l="1"/>
  <c r="AB165" i="23"/>
  <c r="AB195" i="23" s="1"/>
  <c r="DV167" i="23"/>
  <c r="DV197" i="23" s="1"/>
  <c r="CC168" i="23"/>
  <c r="CW167" i="23"/>
  <c r="CW197" i="23" s="1"/>
  <c r="BZ167" i="23"/>
  <c r="BZ197" i="23" s="1"/>
  <c r="DQ196" i="23"/>
  <c r="DQ156" i="23"/>
  <c r="CW193" i="23"/>
  <c r="CW164" i="23"/>
  <c r="CW194" i="23" s="1"/>
  <c r="AV167" i="23"/>
  <c r="AV197" i="23" s="1"/>
  <c r="DB167" i="23"/>
  <c r="DB197" i="23" s="1"/>
  <c r="CX167" i="23"/>
  <c r="CX197" i="23" s="1"/>
  <c r="CM166" i="23"/>
  <c r="CM196" i="23" s="1"/>
  <c r="BC166" i="23"/>
  <c r="BC196" i="23" s="1"/>
  <c r="CD167" i="23"/>
  <c r="CD197" i="23" s="1"/>
  <c r="CD168" i="23"/>
  <c r="CD198" i="23" s="1"/>
  <c r="CX165" i="23"/>
  <c r="CX195" i="23" s="1"/>
  <c r="BX198" i="23"/>
  <c r="BX169" i="23"/>
  <c r="BX199" i="23" s="1"/>
  <c r="DW190" i="23"/>
  <c r="N165" i="23"/>
  <c r="J198" i="23"/>
  <c r="J169" i="23"/>
  <c r="J199" i="23" s="1"/>
  <c r="DR166" i="23"/>
  <c r="CU168" i="23"/>
  <c r="Q168" i="23"/>
  <c r="P167" i="23"/>
  <c r="P197" i="23" s="1"/>
  <c r="AZ167" i="23"/>
  <c r="AZ197" i="23" s="1"/>
  <c r="AZ168" i="23"/>
  <c r="AZ198" i="23" s="1"/>
  <c r="K193" i="23"/>
  <c r="AQ198" i="23"/>
  <c r="AQ169" i="23"/>
  <c r="AQ199" i="23" s="1"/>
  <c r="AL166" i="23"/>
  <c r="AL196" i="23" s="1"/>
  <c r="AA198" i="23"/>
  <c r="AA169" i="23"/>
  <c r="AA199" i="23" s="1"/>
  <c r="M195" i="23"/>
  <c r="M166" i="23"/>
  <c r="M196" i="23" s="1"/>
  <c r="BA166" i="23"/>
  <c r="BA196" i="23" s="1"/>
  <c r="AC167" i="23"/>
  <c r="AC197" i="23" s="1"/>
  <c r="AC168" i="23"/>
  <c r="AC198" i="23" s="1"/>
  <c r="AC169" i="23"/>
  <c r="AC199" i="23" s="1"/>
  <c r="CV165" i="23"/>
  <c r="CV195" i="23" s="1"/>
  <c r="DH191" i="23"/>
  <c r="DH186" i="23" s="1"/>
  <c r="DH163" i="23"/>
  <c r="DW162" i="23"/>
  <c r="CW165" i="23"/>
  <c r="CW195" i="23" s="1"/>
  <c r="DC192" i="23"/>
  <c r="DC186" i="23" s="1"/>
  <c r="AG166" i="23"/>
  <c r="AG196" i="23" s="1"/>
  <c r="AB193" i="23"/>
  <c r="AB166" i="23"/>
  <c r="AB196" i="23" s="1"/>
  <c r="R166" i="23"/>
  <c r="R196" i="23" s="1"/>
  <c r="CC194" i="23"/>
  <c r="CC165" i="23"/>
  <c r="CC195" i="23" s="1"/>
  <c r="AV164" i="23"/>
  <c r="AO169" i="23"/>
  <c r="AO199" i="23" s="1"/>
  <c r="CU165" i="23"/>
  <c r="CU195" i="23" s="1"/>
  <c r="AB167" i="23"/>
  <c r="AB197" i="23" s="1"/>
  <c r="CA168" i="23"/>
  <c r="DD168" i="23"/>
  <c r="D193" i="23"/>
  <c r="D164" i="23"/>
  <c r="CV164" i="23"/>
  <c r="CV194" i="23" s="1"/>
  <c r="DC167" i="23"/>
  <c r="DC197" i="23" s="1"/>
  <c r="E169" i="23"/>
  <c r="E199" i="23" s="1"/>
  <c r="D165" i="23"/>
  <c r="BO166" i="23"/>
  <c r="BO196" i="23" s="1"/>
  <c r="F169" i="23"/>
  <c r="F199" i="23" s="1"/>
  <c r="I168" i="23"/>
  <c r="D167" i="23"/>
  <c r="CM198" i="23"/>
  <c r="CM169" i="23"/>
  <c r="CM199" i="23" s="1"/>
  <c r="BB193" i="23"/>
  <c r="BB165" i="23"/>
  <c r="BB195" i="23" s="1"/>
  <c r="AX164" i="23"/>
  <c r="DH156" i="23"/>
  <c r="G169" i="23"/>
  <c r="G199" i="23" s="1"/>
  <c r="DC163" i="23"/>
  <c r="DC193" i="23" s="1"/>
  <c r="D166" i="23"/>
  <c r="D196" i="23" s="1"/>
  <c r="Y195" i="23"/>
  <c r="Y166" i="23"/>
  <c r="Y196" i="23" s="1"/>
  <c r="AZ165" i="23"/>
  <c r="CG166" i="23"/>
  <c r="CG196" i="23" s="1"/>
  <c r="U167" i="23"/>
  <c r="U197" i="23" s="1"/>
  <c r="U168" i="23"/>
  <c r="U198" i="23" s="1"/>
  <c r="U169" i="23"/>
  <c r="U199" i="23" s="1"/>
  <c r="AS198" i="23"/>
  <c r="AS169" i="23"/>
  <c r="AS199" i="23" s="1"/>
  <c r="F166" i="23"/>
  <c r="F196" i="23" s="1"/>
  <c r="P164" i="23"/>
  <c r="CV167" i="23"/>
  <c r="CV197" i="23" s="1"/>
  <c r="BU198" i="23"/>
  <c r="BU169" i="23"/>
  <c r="BU199" i="23" s="1"/>
  <c r="DS156" i="23"/>
  <c r="BB167" i="23"/>
  <c r="BB197" i="23" s="1"/>
  <c r="CD193" i="23"/>
  <c r="CY194" i="23"/>
  <c r="CY166" i="23"/>
  <c r="CY196" i="23" s="1"/>
  <c r="AG167" i="23"/>
  <c r="AG197" i="23" s="1"/>
  <c r="BD167" i="23"/>
  <c r="BD197" i="23" s="1"/>
  <c r="DB165" i="23"/>
  <c r="DB195" i="23" s="1"/>
  <c r="BK168" i="23"/>
  <c r="B196" i="23"/>
  <c r="F165" i="23"/>
  <c r="F195" i="23" s="1"/>
  <c r="DD166" i="23"/>
  <c r="DD196" i="23" s="1"/>
  <c r="BM169" i="23"/>
  <c r="BM199" i="23" s="1"/>
  <c r="AX168" i="23"/>
  <c r="AK198" i="23"/>
  <c r="AK169" i="23"/>
  <c r="AK199" i="23" s="1"/>
  <c r="N167" i="23"/>
  <c r="N197" i="23" s="1"/>
  <c r="S198" i="23"/>
  <c r="S169" i="23"/>
  <c r="S199" i="23" s="1"/>
  <c r="AU167" i="23"/>
  <c r="AU197" i="23" s="1"/>
  <c r="BD165" i="23"/>
  <c r="BD195" i="23" s="1"/>
  <c r="R167" i="23"/>
  <c r="R197" i="23" s="1"/>
  <c r="AC166" i="23"/>
  <c r="AC196" i="23" s="1"/>
  <c r="CE192" i="23"/>
  <c r="CE186" i="23" s="1"/>
  <c r="DW186" i="23" s="1"/>
  <c r="CE156" i="23"/>
  <c r="CE164" i="23"/>
  <c r="CE165" i="23" s="1"/>
  <c r="CE195" i="23" s="1"/>
  <c r="CT168" i="23"/>
  <c r="CY168" i="23"/>
  <c r="V168" i="23"/>
  <c r="Q166" i="23"/>
  <c r="Q196" i="23" s="1"/>
  <c r="O168" i="23"/>
  <c r="CL166" i="23"/>
  <c r="CL196" i="23" s="1"/>
  <c r="AU166" i="23"/>
  <c r="AU196" i="23" s="1"/>
  <c r="CG167" i="23"/>
  <c r="CG197" i="23" s="1"/>
  <c r="C198" i="23"/>
  <c r="C169" i="23"/>
  <c r="BA167" i="23"/>
  <c r="BA197" i="23" s="1"/>
  <c r="AX165" i="23"/>
  <c r="AX195" i="23" s="1"/>
  <c r="CP194" i="23"/>
  <c r="CP165" i="23"/>
  <c r="CP195" i="23" s="1"/>
  <c r="AV165" i="23"/>
  <c r="AV195" i="23" s="1"/>
  <c r="AC165" i="23"/>
  <c r="AC195" i="23" s="1"/>
  <c r="DI169" i="23"/>
  <c r="DI199" i="23" s="1"/>
  <c r="K167" i="23"/>
  <c r="K197" i="23" s="1"/>
  <c r="K168" i="23"/>
  <c r="K198" i="23" s="1"/>
  <c r="K169" i="23"/>
  <c r="K199" i="23" s="1"/>
  <c r="DB193" i="23"/>
  <c r="DB164" i="23"/>
  <c r="DB194" i="23" s="1"/>
  <c r="BR169" i="23"/>
  <c r="BR199" i="23" s="1"/>
  <c r="M168" i="23"/>
  <c r="AW166" i="23"/>
  <c r="AW196" i="23" s="1"/>
  <c r="V194" i="23"/>
  <c r="V165" i="23"/>
  <c r="V195" i="23" s="1"/>
  <c r="O194" i="23"/>
  <c r="O166" i="23"/>
  <c r="O196" i="23" s="1"/>
  <c r="K165" i="23"/>
  <c r="K195" i="23" s="1"/>
  <c r="BO167" i="23"/>
  <c r="BO197" i="23" s="1"/>
  <c r="CY165" i="23"/>
  <c r="CY195" i="23" s="1"/>
  <c r="S195" i="23"/>
  <c r="S166" i="23"/>
  <c r="S196" i="23" s="1"/>
  <c r="CP169" i="23"/>
  <c r="CP199" i="23" s="1"/>
  <c r="DI165" i="23"/>
  <c r="DI195" i="23" s="1"/>
  <c r="CU166" i="23"/>
  <c r="CU196" i="23" s="1"/>
  <c r="BU195" i="23"/>
  <c r="BU166" i="23"/>
  <c r="BU196" i="23" s="1"/>
  <c r="CD164" i="23"/>
  <c r="CD194" i="23" s="1"/>
  <c r="E194" i="23"/>
  <c r="E165" i="23"/>
  <c r="E195" i="23" s="1"/>
  <c r="E166" i="23"/>
  <c r="E196" i="23" s="1"/>
  <c r="CN167" i="23"/>
  <c r="CN197" i="23" s="1"/>
  <c r="CN168" i="23"/>
  <c r="CN198" i="23" s="1"/>
  <c r="BZ166" i="23"/>
  <c r="BZ196" i="23" s="1"/>
  <c r="D165" i="24"/>
  <c r="D166" i="24"/>
  <c r="D167" i="24"/>
  <c r="D168" i="24"/>
  <c r="D169" i="24"/>
  <c r="F61" i="24"/>
  <c r="F46" i="24"/>
  <c r="F17" i="24"/>
  <c r="F18" i="24"/>
  <c r="D197" i="23" l="1"/>
  <c r="BA168" i="23"/>
  <c r="DH193" i="23"/>
  <c r="DH164" i="23"/>
  <c r="DH194" i="23" s="1"/>
  <c r="DB168" i="23"/>
  <c r="BD168" i="23"/>
  <c r="CD165" i="23"/>
  <c r="CD195" i="23" s="1"/>
  <c r="CT198" i="23"/>
  <c r="CT169" i="23"/>
  <c r="CT199" i="23" s="1"/>
  <c r="D168" i="23"/>
  <c r="R168" i="23"/>
  <c r="DH167" i="23"/>
  <c r="DH197" i="23" s="1"/>
  <c r="DH168" i="23"/>
  <c r="DH198" i="23" s="1"/>
  <c r="V198" i="23"/>
  <c r="V169" i="23"/>
  <c r="V199" i="23" s="1"/>
  <c r="D195" i="23"/>
  <c r="BZ168" i="23"/>
  <c r="CW168" i="23"/>
  <c r="DC165" i="23"/>
  <c r="DC195" i="23" s="1"/>
  <c r="DH165" i="23"/>
  <c r="DH195" i="23" s="1"/>
  <c r="CW166" i="23"/>
  <c r="CW196" i="23" s="1"/>
  <c r="AV168" i="23"/>
  <c r="DQ167" i="23"/>
  <c r="DQ197" i="23" s="1"/>
  <c r="M198" i="23"/>
  <c r="M169" i="23"/>
  <c r="M199" i="23" s="1"/>
  <c r="DW193" i="23"/>
  <c r="CC198" i="23"/>
  <c r="CC169" i="23"/>
  <c r="CC199" i="23" s="1"/>
  <c r="C199" i="23"/>
  <c r="CV166" i="23"/>
  <c r="CV196" i="23" s="1"/>
  <c r="BO168" i="23"/>
  <c r="DS167" i="23"/>
  <c r="DS197" i="23" s="1"/>
  <c r="DS168" i="23"/>
  <c r="DS198" i="23" s="1"/>
  <c r="DI166" i="23"/>
  <c r="DI196" i="23" s="1"/>
  <c r="CV168" i="23"/>
  <c r="D194" i="23"/>
  <c r="DW191" i="23"/>
  <c r="CE194" i="23"/>
  <c r="CE166" i="23"/>
  <c r="CE196" i="23" s="1"/>
  <c r="BB166" i="23"/>
  <c r="BB196" i="23" s="1"/>
  <c r="DC168" i="23"/>
  <c r="DD198" i="23"/>
  <c r="DD169" i="23"/>
  <c r="DD199" i="23" s="1"/>
  <c r="DV168" i="23"/>
  <c r="AX194" i="23"/>
  <c r="AX166" i="23"/>
  <c r="AX196" i="23" s="1"/>
  <c r="CG168" i="23"/>
  <c r="DW163" i="23"/>
  <c r="N168" i="23"/>
  <c r="CA198" i="23"/>
  <c r="CA169" i="23"/>
  <c r="CA199" i="23" s="1"/>
  <c r="P168" i="23"/>
  <c r="O198" i="23"/>
  <c r="O169" i="23"/>
  <c r="O199" i="23" s="1"/>
  <c r="CE167" i="23"/>
  <c r="CE197" i="23" s="1"/>
  <c r="AU168" i="23"/>
  <c r="BD166" i="23"/>
  <c r="BD196" i="23" s="1"/>
  <c r="AZ169" i="23"/>
  <c r="AZ199" i="23" s="1"/>
  <c r="CX166" i="23"/>
  <c r="CX196" i="23" s="1"/>
  <c r="CC166" i="23"/>
  <c r="CC196" i="23" s="1"/>
  <c r="CX168" i="23"/>
  <c r="K166" i="23"/>
  <c r="DH166" i="23"/>
  <c r="DH196" i="23" s="1"/>
  <c r="DW192" i="23"/>
  <c r="P194" i="23"/>
  <c r="P165" i="23"/>
  <c r="Q198" i="23"/>
  <c r="Q169" i="23"/>
  <c r="Q199" i="23" s="1"/>
  <c r="CU198" i="23"/>
  <c r="CU169" i="23"/>
  <c r="CU199" i="23" s="1"/>
  <c r="DB166" i="23"/>
  <c r="DB196" i="23" s="1"/>
  <c r="DC164" i="23"/>
  <c r="DC194" i="23" s="1"/>
  <c r="AG168" i="23"/>
  <c r="BB168" i="23"/>
  <c r="AX198" i="23"/>
  <c r="AX169" i="23"/>
  <c r="AX199" i="23" s="1"/>
  <c r="AB168" i="23"/>
  <c r="DR196" i="23"/>
  <c r="DR156" i="23"/>
  <c r="V166" i="23"/>
  <c r="V196" i="23" s="1"/>
  <c r="CN169" i="23"/>
  <c r="CN199" i="23" s="1"/>
  <c r="CY198" i="23"/>
  <c r="CY169" i="23"/>
  <c r="CY199" i="23" s="1"/>
  <c r="BK198" i="23"/>
  <c r="BK169" i="23"/>
  <c r="BK199" i="23" s="1"/>
  <c r="CD169" i="23"/>
  <c r="CD199" i="23" s="1"/>
  <c r="DW156" i="23"/>
  <c r="I198" i="23"/>
  <c r="I169" i="23"/>
  <c r="I199" i="23" s="1"/>
  <c r="CP166" i="23"/>
  <c r="CP196" i="23" s="1"/>
  <c r="AZ195" i="23"/>
  <c r="AZ166" i="23"/>
  <c r="AZ196" i="23" s="1"/>
  <c r="AV194" i="23"/>
  <c r="AV166" i="23"/>
  <c r="AV196" i="23" s="1"/>
  <c r="N195" i="23"/>
  <c r="N166" i="23"/>
  <c r="N196" i="23" s="1"/>
  <c r="F111" i="24"/>
  <c r="F112" i="24"/>
  <c r="F105" i="24"/>
  <c r="K196" i="23" l="1"/>
  <c r="AU198" i="23"/>
  <c r="AU169" i="23"/>
  <c r="AU199" i="23" s="1"/>
  <c r="CX198" i="23"/>
  <c r="CX169" i="23"/>
  <c r="CX199" i="23" s="1"/>
  <c r="CW198" i="23"/>
  <c r="CW169" i="23"/>
  <c r="CW199" i="23" s="1"/>
  <c r="D198" i="23"/>
  <c r="D169" i="23"/>
  <c r="P195" i="23"/>
  <c r="DW195" i="23" s="1"/>
  <c r="P166" i="23"/>
  <c r="P196" i="23" s="1"/>
  <c r="DQ168" i="23"/>
  <c r="AV198" i="23"/>
  <c r="AV169" i="23"/>
  <c r="AV199" i="23" s="1"/>
  <c r="CE168" i="23"/>
  <c r="DW168" i="23" s="1"/>
  <c r="BZ198" i="23"/>
  <c r="BZ169" i="23"/>
  <c r="BZ199" i="23" s="1"/>
  <c r="CG198" i="23"/>
  <c r="CG169" i="23"/>
  <c r="CG199" i="23" s="1"/>
  <c r="DH169" i="23"/>
  <c r="DH199" i="23" s="1"/>
  <c r="DV198" i="23"/>
  <c r="DV169" i="23"/>
  <c r="DV199" i="23" s="1"/>
  <c r="DC198" i="23"/>
  <c r="DC169" i="23"/>
  <c r="DC199" i="23" s="1"/>
  <c r="DB198" i="23"/>
  <c r="DB169" i="23"/>
  <c r="DB199" i="23" s="1"/>
  <c r="P198" i="23"/>
  <c r="P169" i="23"/>
  <c r="P199" i="23" s="1"/>
  <c r="BB198" i="23"/>
  <c r="BB169" i="23"/>
  <c r="BB199" i="23" s="1"/>
  <c r="DW194" i="23"/>
  <c r="BA198" i="23"/>
  <c r="BA169" i="23"/>
  <c r="BA199" i="23" s="1"/>
  <c r="DC166" i="23"/>
  <c r="DC196" i="23" s="1"/>
  <c r="DW165" i="23"/>
  <c r="N198" i="23"/>
  <c r="N169" i="23"/>
  <c r="N199" i="23" s="1"/>
  <c r="BD198" i="23"/>
  <c r="BD169" i="23"/>
  <c r="BD199" i="23" s="1"/>
  <c r="CV198" i="23"/>
  <c r="CV169" i="23"/>
  <c r="CV199" i="23" s="1"/>
  <c r="DR167" i="23"/>
  <c r="DR197" i="23" s="1"/>
  <c r="DR168" i="23"/>
  <c r="DR198" i="23" s="1"/>
  <c r="AB198" i="23"/>
  <c r="AB169" i="23"/>
  <c r="AB199" i="23" s="1"/>
  <c r="DW164" i="23"/>
  <c r="DW197" i="23"/>
  <c r="BO198" i="23"/>
  <c r="BO169" i="23"/>
  <c r="BO199" i="23" s="1"/>
  <c r="R198" i="23"/>
  <c r="R169" i="23"/>
  <c r="R199" i="23" s="1"/>
  <c r="AG198" i="23"/>
  <c r="AG169" i="23"/>
  <c r="AG199" i="23" s="1"/>
  <c r="CD166" i="23"/>
  <c r="CD196" i="23" s="1"/>
  <c r="DS169" i="23"/>
  <c r="DS199" i="23" s="1"/>
  <c r="B38" i="3"/>
  <c r="E29" i="14"/>
  <c r="CE198" i="23" l="1"/>
  <c r="CE169" i="23"/>
  <c r="CE199" i="23" s="1"/>
  <c r="D199" i="23"/>
  <c r="DW167" i="23"/>
  <c r="DW166" i="23"/>
  <c r="DQ198" i="23"/>
  <c r="DQ169" i="23"/>
  <c r="DQ199" i="23" s="1"/>
  <c r="DW198" i="23"/>
  <c r="DR169" i="23"/>
  <c r="DR199" i="23" s="1"/>
  <c r="DW196" i="23"/>
  <c r="F106" i="24"/>
  <c r="F58" i="24"/>
  <c r="DW199" i="23" l="1"/>
  <c r="DW169" i="23"/>
  <c r="BY205" i="14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K44" i="3" s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68" i="14" l="1"/>
  <c r="D87" i="14"/>
  <c r="D155" i="24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D23" i="24"/>
  <c r="D24" i="24"/>
  <c r="D25" i="24"/>
  <c r="D26" i="24"/>
  <c r="D27" i="24"/>
  <c r="D28" i="24"/>
  <c r="D29" i="24"/>
  <c r="D21" i="24"/>
  <c r="E15" i="24"/>
  <c r="E16" i="24"/>
  <c r="D15" i="24"/>
  <c r="D16" i="24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K90" i="3"/>
  <c r="B88" i="3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I43" i="3"/>
  <c r="H43" i="3" s="1"/>
  <c r="I42" i="3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E146" i="24"/>
  <c r="D146" i="24"/>
  <c r="E144" i="24"/>
  <c r="D144" i="24"/>
  <c r="E143" i="24"/>
  <c r="D143" i="24"/>
  <c r="D142" i="24"/>
  <c r="I81" i="3" s="1"/>
  <c r="H81" i="3" s="1"/>
  <c r="E140" i="24"/>
  <c r="D140" i="24"/>
  <c r="E139" i="24"/>
  <c r="D139" i="24"/>
  <c r="I82" i="3" s="1"/>
  <c r="K82" i="3" s="1"/>
  <c r="E138" i="24"/>
  <c r="D138" i="24"/>
  <c r="E137" i="24"/>
  <c r="D137" i="24"/>
  <c r="I83" i="3" s="1"/>
  <c r="H83" i="3" s="1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F98" i="24" s="1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3" i="24"/>
  <c r="D3" i="24"/>
  <c r="D2" i="24"/>
  <c r="H42" i="3" l="1"/>
  <c r="K42" i="3"/>
  <c r="I78" i="3"/>
  <c r="H78" i="3" s="1"/>
  <c r="I77" i="3"/>
  <c r="H77" i="3" s="1"/>
  <c r="H46" i="3"/>
  <c r="K46" i="3"/>
  <c r="K162" i="3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I21" i="3"/>
  <c r="K43" i="3"/>
  <c r="K47" i="3"/>
  <c r="K49" i="3"/>
  <c r="K51" i="3"/>
  <c r="K53" i="3"/>
  <c r="H44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K78" i="3" l="1"/>
  <c r="K77" i="3"/>
  <c r="KH106" i="14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JJ106" i="14"/>
  <c r="BK53" i="25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<sst xmlns="http://schemas.openxmlformats.org/spreadsheetml/2006/main" count="12355" uniqueCount="1086">
  <si>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</si>
  <si>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</si>
  <si>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</si>
  <si>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</si>
  <si>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</si>
  <si>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</si>
  <si>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</si>
  <si>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</si>
  <si>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</si>
  <si>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</si>
  <si>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</si>
  <si>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</si>
  <si>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</si>
  <si>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</si>
  <si>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</si>
  <si>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</si>
  <si>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</si>
  <si>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</si>
  <si>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</si>
  <si>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</si>
  <si>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</si>
  <si>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</si>
  <si>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</si>
  <si>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</si>
  <si>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</si>
  <si>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</si>
  <si>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</si>
  <si>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</si>
  <si>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</si>
  <si>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</si>
  <si>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</si>
  <si>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</si>
  <si>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</si>
  <si>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</si>
  <si>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</si>
  <si>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</si>
  <si>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</si>
  <si>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</si>
  <si>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</si>
  <si>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</si>
  <si>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</si>
  <si>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</si>
  <si>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</si>
  <si>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</si>
  <si>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</si>
  <si>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</si>
  <si>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</si>
  <si>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</si>
  <si>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</si>
  <si>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</si>
  <si>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</si>
  <si>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</si>
  <si>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</si>
  <si>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</si>
  <si>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</si>
  <si>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</si>
  <si>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</si>
  <si>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</si>
  <si>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</si>
  <si>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</si>
  <si>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</si>
  <si>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</si>
  <si>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</si>
  <si>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</si>
  <si>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</si>
  <si>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</si>
  <si>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</si>
  <si>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</si>
  <si>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</si>
  <si>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</si>
  <si>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</si>
  <si>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</si>
  <si>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</si>
  <si>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</si>
  <si>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</si>
  <si>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</si>
  <si>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</si>
  <si>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</si>
  <si>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</si>
  <si>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</si>
  <si>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</si>
  <si>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</si>
  <si>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</si>
  <si>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</si>
  <si>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</si>
  <si>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</si>
  <si>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</si>
  <si>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</si>
  <si>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</si>
  <si>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</si>
  <si>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</si>
  <si>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</si>
  <si>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</si>
  <si>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</si>
  <si>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</si>
  <si>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</si>
  <si>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</si>
  <si>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</si>
  <si>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</si>
  <si>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</si>
  <si>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</si>
  <si>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</si>
  <si>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</si>
  <si>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</si>
  <si>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</si>
  <si>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</si>
  <si>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</si>
  <si>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</si>
  <si>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</si>
  <si>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</si>
  <si>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</si>
  <si>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</si>
  <si>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</si>
  <si>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</si>
  <si>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</si>
  <si>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</si>
  <si>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</si>
  <si>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</si>
  <si>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</si>
  <si>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</si>
  <si>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</si>
  <si>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</si>
  <si>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</si>
  <si>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</si>
  <si>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</si>
  <si>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</si>
  <si>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</si>
  <si>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</si>
  <si>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</si>
  <si>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</si>
  <si>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</si>
  <si>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</si>
  <si>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</si>
  <si>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</si>
  <si>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</si>
  <si>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</si>
  <si>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</si>
  <si>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</si>
  <si>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</si>
  <si>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</si>
  <si>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</si>
  <si>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</si>
  <si>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</si>
  <si>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</si>
  <si>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</si>
  <si>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</si>
  <si>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</si>
  <si>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</si>
  <si>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</si>
  <si>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</si>
  <si>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</si>
  <si>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</si>
  <si>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</si>
  <si>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</si>
  <si>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</si>
  <si>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</si>
  <si>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</si>
  <si>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</si>
  <si>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</si>
  <si>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</si>
  <si>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</si>
  <si>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</si>
  <si>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</si>
  <si>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</si>
  <si>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</si>
  <si>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</si>
  <si>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</si>
  <si>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</si>
  <si>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</si>
  <si>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</si>
  <si>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</si>
  <si>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</si>
  <si>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</si>
  <si>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</si>
  <si>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</si>
  <si>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</si>
  <si>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</si>
  <si>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</si>
  <si>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</si>
  <si>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</si>
  <si>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</si>
  <si>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</si>
  <si>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</si>
  <si>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</si>
  <si>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</si>
  <si>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</si>
  <si>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</si>
  <si>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</si>
  <si>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</si>
  <si>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</si>
  <si>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</si>
  <si>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</si>
  <si>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</si>
  <si>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</si>
  <si>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</si>
  <si>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</si>
  <si>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</si>
  <si>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</si>
  <si>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</si>
  <si>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</si>
  <si>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</si>
  <si>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</si>
  <si>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</si>
  <si>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</si>
  <si>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</si>
  <si>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</si>
  <si>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</si>
  <si>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</si>
  <si>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</si>
  <si>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</si>
  <si>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</si>
  <si>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</si>
  <si>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</si>
  <si>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</si>
  <si>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</si>
  <si>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</si>
  <si>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</si>
  <si>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</si>
  <si>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</si>
  <si>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</si>
  <si>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</si>
  <si>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</si>
  <si>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</si>
  <si>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</si>
  <si>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</si>
  <si>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</si>
  <si>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</si>
  <si>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</si>
  <si>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</si>
  <si>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</si>
  <si>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</si>
  <si>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</si>
  <si>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</si>
  <si>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</si>
  <si>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</si>
  <si>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</si>
  <si>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</si>
  <si>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</si>
  <si>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</si>
  <si>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</si>
  <si>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</si>
  <si>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</si>
  <si>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</si>
  <si>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</si>
  <si>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</si>
  <si>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</si>
  <si>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</si>
  <si>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</si>
  <si>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</si>
  <si>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</si>
  <si>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</si>
  <si>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</si>
  <si>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</si>
  <si>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</si>
  <si>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</si>
  <si>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</si>
  <si>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</si>
  <si>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</si>
  <si>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</si>
  <si>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</si>
  <si>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</si>
  <si>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</si>
  <si>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</si>
  <si>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</si>
  <si>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</si>
  <si>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</si>
  <si>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</si>
  <si>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</si>
  <si>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</si>
  <si>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</si>
  <si>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</si>
  <si>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</si>
  <si>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</si>
  <si>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</si>
  <si>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</si>
  <si>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</si>
  <si>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</si>
  <si>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</si>
  <si>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</si>
  <si>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</si>
  <si>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</si>
  <si>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</si>
  <si>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</si>
  <si>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</si>
  <si>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</si>
  <si>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</si>
  <si>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</si>
  <si>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</si>
  <si>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</si>
  <si>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</si>
  <si>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</si>
  <si>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</si>
  <si>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</si>
  <si>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</si>
  <si>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</si>
  <si>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</si>
  <si>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</si>
  <si>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</si>
  <si>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</si>
  <si>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</si>
  <si>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</si>
  <si>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</si>
  <si>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</si>
  <si>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</si>
  <si>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</si>
  <si>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</si>
  <si>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</si>
  <si>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</si>
  <si>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</si>
  <si>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</si>
  <si>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</si>
  <si>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</si>
  <si>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</si>
  <si>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</si>
  <si>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</si>
  <si>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</si>
  <si>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</si>
  <si>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</si>
  <si>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</si>
  <si>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</si>
  <si>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</si>
  <si>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</si>
  <si>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</si>
  <si>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</si>
  <si>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</si>
  <si>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</si>
  <si>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</si>
  <si>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</si>
  <si>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</si>
  <si>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</si>
  <si>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</si>
  <si>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</si>
  <si>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</si>
  <si>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</si>
  <si>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</si>
  <si>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</si>
  <si>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</si>
  <si>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</si>
  <si>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</si>
  <si>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</si>
  <si>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</si>
  <si>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</si>
  <si>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</si>
  <si>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</si>
  <si>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</si>
  <si>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</si>
  <si>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</si>
  <si>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</si>
  <si>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</si>
  <si>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</si>
  <si>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</si>
  <si>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</si>
  <si>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</si>
  <si>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</si>
  <si>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</si>
  <si>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</si>
  <si>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</si>
  <si>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</si>
  <si>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</si>
  <si>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</si>
  <si>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</si>
  <si>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</si>
  <si>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</si>
  <si>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</si>
  <si>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</si>
  <si>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</si>
  <si>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</si>
  <si>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</si>
  <si>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</si>
  <si>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</si>
  <si>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</si>
  <si>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</si>
  <si>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</si>
  <si>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</si>
  <si>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</si>
  <si>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</si>
  <si>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</si>
  <si>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</si>
  <si>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</si>
  <si>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</si>
  <si>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</si>
  <si>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</si>
  <si>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</si>
  <si>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</si>
  <si>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</si>
  <si>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</si>
  <si>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</si>
  <si>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</si>
  <si>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</si>
  <si>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</si>
  <si>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</si>
  <si>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</si>
  <si>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</si>
  <si>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</si>
  <si>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</si>
  <si>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</si>
  <si>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</si>
  <si>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</si>
  <si>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</si>
  <si>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</si>
  <si>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</si>
  <si>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</si>
  <si>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</si>
  <si>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</si>
  <si>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</si>
  <si>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</si>
  <si>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</si>
  <si>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</si>
  <si>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</si>
  <si>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</si>
  <si>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</si>
  <si>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</si>
  <si>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</si>
  <si>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</si>
  <si>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</si>
  <si>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</si>
  <si>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</si>
  <si>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</si>
  <si>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</si>
  <si>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</si>
  <si>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</si>
  <si>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</si>
  <si>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</si>
  <si>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</si>
  <si>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</si>
  <si>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</si>
  <si>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</si>
  <si>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</si>
  <si>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</si>
  <si>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</si>
  <si>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</si>
  <si>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</si>
  <si>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</si>
  <si>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</si>
  <si>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</si>
  <si>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</si>
  <si>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</si>
  <si>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</si>
  <si>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</si>
  <si>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</si>
  <si>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</si>
  <si>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</si>
  <si>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</si>
  <si>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</si>
  <si>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</si>
  <si>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</si>
  <si>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</si>
  <si>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</si>
  <si>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</si>
  <si>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</si>
  <si>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</si>
  <si>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</si>
  <si>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</si>
  <si>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</si>
  <si>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</si>
  <si>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</si>
  <si>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</si>
  <si>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</si>
  <si>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</si>
  <si>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</si>
  <si>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</si>
  <si>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</si>
  <si>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</si>
  <si>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</si>
  <si>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</si>
  <si>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</si>
  <si>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</si>
  <si>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</si>
  <si>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</si>
  <si>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</si>
  <si>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</si>
  <si>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</si>
  <si>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</si>
  <si>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</si>
  <si>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</si>
  <si>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</si>
  <si>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</si>
  <si>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</si>
  <si>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</si>
  <si>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</si>
  <si>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</si>
  <si>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</si>
  <si>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</si>
  <si>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</si>
  <si>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</si>
  <si>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</si>
  <si>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</si>
  <si>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</si>
  <si>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</si>
  <si>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</si>
  <si>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</si>
  <si>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</si>
  <si>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</si>
  <si>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</si>
  <si>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</si>
  <si>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</si>
  <si>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</si>
  <si>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</si>
  <si>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</si>
  <si>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</si>
  <si>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</si>
  <si>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</si>
  <si>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</si>
  <si>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</si>
  <si>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</si>
  <si>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</si>
  <si>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</si>
  <si>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</si>
  <si>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</si>
  <si>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</si>
  <si>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</si>
  <si>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</si>
  <si>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</si>
  <si>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</si>
  <si>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</si>
  <si>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</si>
  <si>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</si>
  <si>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</si>
  <si>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</si>
  <si>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</si>
  <si>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</si>
  <si>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</si>
  <si>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</si>
  <si>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</si>
  <si>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</si>
  <si>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</si>
  <si>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</si>
  <si>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</si>
  <si>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</si>
  <si>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</si>
  <si>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</si>
  <si>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</si>
  <si>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</si>
  <si>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</si>
  <si>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</si>
  <si>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</si>
  <si>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</si>
  <si>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</si>
  <si>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</si>
  <si>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</si>
  <si>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</si>
  <si>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</si>
  <si>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</si>
  <si>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</si>
  <si>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</si>
  <si>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</si>
  <si>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</si>
  <si>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</si>
  <si>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</si>
  <si>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</si>
  <si>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</si>
  <si>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</si>
  <si>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</si>
  <si>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</si>
  <si>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</si>
  <si>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</si>
  <si>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</si>
  <si>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</si>
  <si>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</si>
  <si>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</si>
  <si>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</si>
  <si>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</si>
  <si>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</si>
  <si>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</si>
  <si>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</si>
  <si>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</si>
  <si>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</si>
  <si>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</si>
  <si>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</si>
  <si>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</si>
  <si>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</si>
  <si>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</si>
  <si>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</si>
  <si>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</si>
  <si>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</si>
  <si>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</si>
  <si>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</si>
  <si>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</si>
  <si>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</si>
  <si>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</si>
  <si>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</si>
  <si>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</si>
  <si>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</si>
  <si>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</si>
  <si>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</si>
  <si>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</si>
  <si>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</si>
  <si>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</si>
  <si>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</si>
  <si>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</si>
  <si>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</si>
  <si>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</si>
  <si>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</si>
  <si>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</si>
  <si>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</si>
  <si>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</si>
  <si>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</si>
  <si>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</si>
  <si>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</si>
  <si>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</si>
  <si>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</si>
  <si>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</si>
  <si>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</si>
  <si>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</si>
  <si>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</si>
  <si>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</si>
  <si>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</si>
  <si>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</si>
  <si>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</si>
  <si>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</si>
  <si>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</si>
  <si>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</si>
  <si>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</si>
  <si>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</si>
  <si>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</si>
  <si>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</si>
  <si>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</si>
  <si>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</si>
  <si>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</si>
  <si>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</si>
  <si>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</si>
  <si>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</si>
  <si>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</si>
  <si>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</si>
  <si>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</si>
  <si>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</si>
  <si>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</si>
  <si>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</si>
  <si>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</si>
  <si>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</si>
  <si>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</si>
  <si>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</si>
  <si>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</si>
  <si>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</si>
  <si>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</si>
  <si>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</si>
  <si>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</si>
  <si>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</si>
  <si>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</si>
  <si>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</si>
  <si>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</si>
  <si>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</si>
  <si>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</si>
  <si>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</si>
  <si>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</si>
  <si>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</si>
  <si>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</si>
  <si>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</si>
  <si>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</si>
  <si>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</si>
  <si>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</si>
  <si>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</si>
  <si>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</si>
  <si>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</si>
  <si>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</si>
  <si>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</si>
  <si>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</si>
  <si>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</si>
  <si>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</si>
  <si>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</si>
  <si>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</si>
  <si>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</si>
  <si>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</si>
  <si>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</si>
  <si>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</si>
  <si>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</si>
  <si>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</si>
  <si>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</si>
  <si>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</si>
  <si>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</si>
  <si>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</si>
  <si>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</si>
  <si>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</si>
  <si>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</si>
  <si>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</si>
  <si>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</si>
  <si>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</si>
  <si>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</si>
  <si>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</si>
  <si>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</si>
  <si>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</si>
  <si>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</si>
  <si>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</si>
  <si>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</si>
  <si>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</si>
  <si>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</si>
  <si>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</si>
  <si>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</si>
  <si>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</si>
  <si>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</si>
  <si>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</si>
  <si>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</si>
  <si>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</si>
  <si>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</si>
  <si>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</si>
  <si>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</si>
  <si>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</si>
  <si>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</si>
  <si>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</si>
  <si>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</si>
  <si>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</si>
  <si>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</si>
  <si>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</si>
  <si>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</si>
  <si>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</si>
  <si>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</si>
  <si>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</si>
  <si>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</si>
  <si>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</si>
  <si>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</si>
  <si>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</si>
  <si>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</si>
  <si>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</si>
  <si>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</si>
  <si>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</si>
  <si>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</si>
  <si>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</si>
  <si>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</si>
  <si>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</si>
  <si>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</si>
  <si>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</si>
  <si>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</si>
  <si>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</si>
  <si>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</si>
  <si>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</si>
  <si>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</si>
  <si>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</si>
  <si>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</si>
  <si>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</si>
  <si>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</si>
  <si>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</si>
  <si>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</si>
  <si>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</si>
  <si>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</si>
  <si>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</si>
  <si>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</si>
  <si>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</si>
  <si>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</si>
  <si>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</si>
  <si>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</si>
  <si>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</si>
  <si>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</si>
  <si>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</si>
  <si>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</si>
  <si>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</si>
  <si>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</si>
  <si>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</si>
  <si>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</si>
  <si>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</si>
  <si>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</si>
  <si>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</si>
  <si>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</si>
  <si>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</si>
  <si>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</si>
  <si>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</si>
  <si>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</si>
  <si>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</si>
  <si>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</si>
  <si>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</si>
  <si>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</si>
  <si>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</si>
  <si>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</si>
  <si>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</si>
  <si>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</si>
  <si>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</si>
  <si>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</si>
  <si>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</si>
  <si>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</si>
  <si>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</si>
  <si>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</si>
  <si>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</si>
  <si>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</si>
  <si>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</si>
  <si>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</si>
  <si>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</si>
  <si>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</si>
  <si>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</si>
  <si>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</si>
  <si>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</si>
  <si>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</si>
  <si>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</si>
  <si>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</si>
  <si>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</si>
  <si>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</si>
  <si>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</si>
  <si>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</si>
  <si>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</si>
  <si>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</si>
  <si>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</si>
  <si>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</si>
  <si>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</si>
  <si>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</si>
  <si>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</si>
  <si>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</si>
  <si>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</si>
  <si>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</si>
  <si>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</si>
  <si>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</si>
  <si>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</si>
  <si>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</si>
  <si>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</si>
  <si>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</si>
  <si>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</si>
  <si>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</si>
  <si>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</si>
  <si>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</si>
  <si>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</si>
  <si>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</si>
  <si>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</si>
  <si>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</si>
  <si>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</si>
  <si>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</si>
  <si>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</si>
  <si>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</si>
  <si>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</si>
  <si>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</si>
  <si>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</si>
  <si>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</si>
  <si>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</si>
  <si>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</si>
  <si>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</si>
  <si>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</si>
  <si>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</si>
  <si>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</si>
  <si>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</si>
  <si>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</si>
  <si>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</si>
  <si>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</si>
  <si>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</si>
  <si>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</si>
  <si>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</si>
  <si>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</si>
  <si>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</si>
  <si>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</si>
  <si>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</si>
  <si>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</si>
  <si>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</si>
  <si>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</si>
  <si>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</si>
  <si>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</si>
  <si>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</si>
  <si>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</si>
  <si>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</si>
  <si>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</si>
  <si>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</si>
  <si>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</si>
  <si>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</si>
  <si>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</si>
  <si>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</si>
  <si>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</si>
  <si>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</si>
  <si>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</si>
  <si>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</si>
  <si>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</si>
  <si>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</si>
  <si>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</si>
  <si>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</si>
  <si>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</si>
  <si>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</si>
  <si>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</si>
  <si>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</si>
  <si>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</si>
  <si>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</si>
  <si>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</si>
  <si>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</si>
  <si>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</si>
  <si>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</si>
  <si>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</si>
  <si>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</si>
  <si>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</si>
  <si>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</si>
  <si>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</si>
  <si>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</si>
  <si>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</si>
  <si>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</si>
  <si>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</si>
  <si>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</si>
  <si>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</si>
  <si>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</si>
  <si>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</si>
  <si>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</si>
  <si>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</si>
  <si>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</si>
  <si>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</si>
  <si>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</si>
  <si>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</si>
  <si>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</si>
  <si>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</si>
  <si>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</si>
  <si>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</si>
  <si>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</si>
  <si>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</si>
  <si>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</si>
  <si>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</si>
  <si>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</si>
  <si>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</si>
  <si>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</si>
  <si>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</si>
  <si>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</si>
  <si>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</si>
  <si>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</si>
  <si>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</si>
  <si>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</si>
  <si>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</si>
  <si>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</si>
  <si>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</si>
  <si>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</si>
  <si>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</si>
  <si>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</si>
  <si>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</si>
  <si>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</si>
  <si>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</si>
  <si>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</si>
  <si>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</si>
  <si>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</si>
  <si>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</si>
  <si>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</si>
  <si>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</si>
  <si>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</si>
  <si>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</si>
  <si>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</si>
  <si>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</si>
  <si>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</si>
  <si>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</si>
  <si>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</si>
  <si>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</si>
  <si>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</si>
  <si>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</si>
  <si>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</si>
  <si>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</si>
  <si>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</si>
  <si>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</si>
  <si>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</si>
  <si>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</si>
  <si>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</si>
  <si>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</si>
  <si>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</si>
  <si>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</si>
  <si>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</si>
  <si>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</si>
  <si>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</si>
  <si>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2 смена бригадир упаковки + 5 рабочих упаковки + наладчик</t>
  </si>
  <si>
    <t>2 смена бригадир + помощник</t>
  </si>
  <si>
    <t>12.01.2021-13.01.2021</t>
  </si>
  <si>
    <t xml:space="preserve">дренатор 6  (1:20) </t>
  </si>
  <si>
    <t xml:space="preserve">дренатор8  (1:20) </t>
  </si>
  <si>
    <t>П</t>
  </si>
  <si>
    <t>Мойка заквасочника №1,№2</t>
  </si>
  <si>
    <t>Мойка сепаратора</t>
  </si>
  <si>
    <t>Мойка заквасочника №3,№4</t>
  </si>
  <si>
    <t>1 смена упаковки</t>
  </si>
  <si>
    <t>2 смена упаковки</t>
  </si>
  <si>
    <t>Мойка гомогенизатора + фасовочник</t>
  </si>
  <si>
    <t>унагранде 0,25</t>
  </si>
  <si>
    <t>производство маскарпоне на линии/
produz. Mascarpone</t>
  </si>
  <si>
    <t>ожидание</t>
  </si>
  <si>
    <t>производство маскарпоне/варка 600 л</t>
  </si>
  <si>
    <t>Н</t>
  </si>
  <si>
    <t>Сводная заявка на 27.01.21</t>
  </si>
  <si>
    <t>на 22 января</t>
  </si>
  <si>
    <t>на 23 января</t>
  </si>
  <si>
    <t>на 24 января</t>
  </si>
  <si>
    <t xml:space="preserve">2 смена </t>
  </si>
  <si>
    <t>охлаждение</t>
  </si>
  <si>
    <t xml:space="preserve">посолка/нормализация </t>
  </si>
  <si>
    <t>п</t>
  </si>
  <si>
    <t>132</t>
  </si>
  <si>
    <t>134</t>
  </si>
  <si>
    <t>136</t>
  </si>
  <si>
    <t>138</t>
  </si>
  <si>
    <t>Кремчиз/1000л/бак 5</t>
  </si>
  <si>
    <t>Кремчиз 0,18 кг</t>
  </si>
  <si>
    <t>Кремчиз/1000л/бак 6</t>
  </si>
  <si>
    <t>Кремчиз/1000л/бак 7</t>
  </si>
  <si>
    <t>Мойка теплообменника</t>
  </si>
  <si>
    <t>Сводная заявка на 28.01.21</t>
  </si>
  <si>
    <t>охлаж1 25мин</t>
  </si>
  <si>
    <t>охлаж2 20 мин</t>
  </si>
  <si>
    <t>охлаж2   50 мин</t>
  </si>
  <si>
    <t>323</t>
  </si>
  <si>
    <t>324</t>
  </si>
  <si>
    <t>сердечки/чильеджина/фдл 0,125/ 0,1безлактозная</t>
  </si>
  <si>
    <t xml:space="preserve"> фдл 0,2/0,125</t>
  </si>
  <si>
    <t>сердечки/чильеджина/фдл 0,125/0,1 безлактозная</t>
  </si>
  <si>
    <t>претто</t>
  </si>
  <si>
    <t>унагранде</t>
  </si>
  <si>
    <t>чильеджина</t>
  </si>
  <si>
    <t>325/326</t>
  </si>
  <si>
    <t xml:space="preserve">фиор ди латте  3,3 альче  8000кг безлактозная </t>
  </si>
  <si>
    <t>323 налив</t>
  </si>
  <si>
    <t xml:space="preserve">фиор ди латте 3,6 альче  6000кг </t>
  </si>
  <si>
    <t>324 налив</t>
  </si>
  <si>
    <t xml:space="preserve">чильеджина 3,3 сакко  8000кг </t>
  </si>
  <si>
    <t>325 налив</t>
  </si>
  <si>
    <t>326 налив</t>
  </si>
  <si>
    <t xml:space="preserve">чильеджина 3,3 сакко  6000кг </t>
  </si>
  <si>
    <t xml:space="preserve"> палочки моцарелла /сулугуни</t>
  </si>
  <si>
    <t>327</t>
  </si>
  <si>
    <t>фасовка/confezionamento</t>
  </si>
  <si>
    <t>сулугуни 0,37</t>
  </si>
  <si>
    <t>328</t>
  </si>
  <si>
    <t>палочки/сулугуни 0,37</t>
  </si>
  <si>
    <t>сулугуни 2,7 альче 8000кг</t>
  </si>
  <si>
    <t>327 налив</t>
  </si>
  <si>
    <t>328 налив</t>
  </si>
  <si>
    <t>329 налив</t>
  </si>
  <si>
    <t>329</t>
  </si>
  <si>
    <t>метро/претто0,46</t>
  </si>
  <si>
    <t>330 налив</t>
  </si>
  <si>
    <t>моцарелла 2,7 сакко 8000кг</t>
  </si>
  <si>
    <t>330</t>
  </si>
  <si>
    <t>унагранде 0,46</t>
  </si>
  <si>
    <t>331 налив</t>
  </si>
  <si>
    <t>моцарелла 0,46/брус 1,2</t>
  </si>
  <si>
    <t>331</t>
  </si>
  <si>
    <t>унагранде 0,46/брус 1,2</t>
  </si>
  <si>
    <t>332 налив</t>
  </si>
  <si>
    <t>332</t>
  </si>
  <si>
    <t>претто 1,2</t>
  </si>
  <si>
    <t xml:space="preserve">фасовка лотков </t>
  </si>
  <si>
    <t>полная мойка термизатора</t>
  </si>
  <si>
    <t>перенастройка</t>
  </si>
  <si>
    <t>моцарелла 0,2</t>
  </si>
  <si>
    <t>333</t>
  </si>
  <si>
    <t>334</t>
  </si>
  <si>
    <t>претто 0,2</t>
  </si>
  <si>
    <t>335</t>
  </si>
  <si>
    <t>336</t>
  </si>
  <si>
    <t>337</t>
  </si>
  <si>
    <t>333 налив</t>
  </si>
  <si>
    <t>337 налив</t>
  </si>
  <si>
    <t>336 налив</t>
  </si>
  <si>
    <t>335 налив</t>
  </si>
  <si>
    <t>334 налив</t>
  </si>
  <si>
    <t>сэндвичи 0,28</t>
  </si>
  <si>
    <t>338</t>
  </si>
  <si>
    <t>338 налив</t>
  </si>
  <si>
    <t>сулугуни 0,28</t>
  </si>
  <si>
    <t>339</t>
  </si>
  <si>
    <t>340</t>
  </si>
  <si>
    <t>341</t>
  </si>
  <si>
    <t>342</t>
  </si>
  <si>
    <t>маркет</t>
  </si>
  <si>
    <t>умалат 0,28</t>
  </si>
  <si>
    <t>339 налив</t>
  </si>
  <si>
    <t>340 налив</t>
  </si>
  <si>
    <t>341 налив</t>
  </si>
  <si>
    <t>342 налив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</si>
  <si>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</si>
  <si>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</si>
  <si>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</si>
  <si>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</si>
  <si>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</si>
  <si>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</si>
  <si>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</si>
  <si>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</si>
  <si>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</si>
  <si>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432</t>
  </si>
  <si>
    <t>433</t>
  </si>
  <si>
    <t>435</t>
  </si>
  <si>
    <t>436</t>
  </si>
  <si>
    <t>438</t>
  </si>
  <si>
    <t>439</t>
  </si>
  <si>
    <t>441</t>
  </si>
  <si>
    <t>442</t>
  </si>
  <si>
    <t>444</t>
  </si>
  <si>
    <t>445</t>
  </si>
  <si>
    <t>447</t>
  </si>
  <si>
    <t>448</t>
  </si>
  <si>
    <t>431</t>
  </si>
  <si>
    <t>434</t>
  </si>
  <si>
    <t>437</t>
  </si>
  <si>
    <t>440</t>
  </si>
  <si>
    <t>443</t>
  </si>
  <si>
    <t>446</t>
  </si>
  <si>
    <t>Рикотта К/П</t>
  </si>
  <si>
    <t>Рикотта К/П/SPAR</t>
  </si>
  <si>
    <t>фермерская коллекция</t>
  </si>
  <si>
    <t>Авентино</t>
  </si>
  <si>
    <t>Мойка заквасочника №5,№6</t>
  </si>
  <si>
    <t>140</t>
  </si>
  <si>
    <t>142</t>
  </si>
  <si>
    <t>144</t>
  </si>
  <si>
    <t>146</t>
  </si>
  <si>
    <t>Внесение ингредиентов</t>
  </si>
  <si>
    <t>Рикотта к/п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</si>
</sst>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_-;\-* #,##0.00_-;_-* &quot;-&quot;??_-;_-@_-"/>
    <numFmt numFmtId="164" formatCode="_-* #,##0.00\ _₽_-;\-* #,##0.00\ _₽_-;_-* &quot;-&quot;??\ _₽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3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b/>
      <i/>
      <sz val="11"/>
      <color theme="1"/>
      <name val="Arial"/>
      <family val="2"/>
      <charset val="204"/>
    </font>
    <font>
      <sz val="11"/>
      <color theme="4"/>
      <name val="Calibri"/>
      <family val="2"/>
      <scheme val="minor"/>
    </font>
    <font>
      <b/>
      <sz val="12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b/>
      <sz val="11"/>
      <name val="Arial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9"/>
      <name val="Arial"/>
      <family val="2"/>
      <charset val="204"/>
    </font>
    <font>
      <sz val="22"/>
      <color theme="1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3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5" fillId="34" borderId="0" applyNumberFormat="0" applyBorder="0" applyAlignment="0" applyProtection="0"/>
    <xf numFmtId="0" fontId="55" fillId="35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2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2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>
      <alignment horizontal="left"/>
    </xf>
    <xf numFmtId="171" fontId="23" fillId="0" borderId="0">
      <alignment horizontal="left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39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7" fillId="0" borderId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2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33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57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8" fillId="0" borderId="0"/>
    <xf numFmtId="0" fontId="39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72" fillId="49" borderId="0" applyNumberFormat="0" applyBorder="0" applyAlignment="0" applyProtection="0"/>
    <xf numFmtId="0" fontId="77" fillId="54" borderId="87" applyNumberFormat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43" fontId="35" fillId="0" borderId="0" applyFont="0" applyFill="0" applyBorder="0" applyAlignment="0" applyProtection="0"/>
    <xf numFmtId="0" fontId="39" fillId="0" borderId="0"/>
    <xf numFmtId="0" fontId="39" fillId="0" borderId="0"/>
  </cellStyleXfs>
  <cellXfs count="2645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1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2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4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4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6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8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4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0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3" fillId="10" borderId="0" xfId="0" applyFont="1" applyFill="1" applyBorder="1" applyAlignment="1">
      <alignment vertical="top"/>
    </xf>
    <xf numFmtId="0" fontId="53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3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4" fillId="49" borderId="5" xfId="59160" applyFont="1" applyBorder="1"/>
    <xf numFmtId="0" fontId="74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6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6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79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7" fillId="10" borderId="87" xfId="59161" applyFill="1" applyBorder="1" applyAlignment="1">
      <alignment horizontal="center" vertical="center"/>
    </xf>
    <xf numFmtId="1" fontId="80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7" fillId="10" borderId="5" xfId="59161" applyNumberFormat="1" applyFill="1" applyBorder="1" applyAlignment="1">
      <alignment horizontal="center" vertical="center"/>
    </xf>
    <xf numFmtId="0" fontId="52" fillId="0" borderId="20" xfId="59161" applyFont="1" applyFill="1" applyBorder="1" applyAlignment="1">
      <alignment horizontal="center" vertical="center"/>
    </xf>
    <xf numFmtId="0" fontId="77" fillId="10" borderId="5" xfId="59161" applyFill="1" applyBorder="1" applyAlignment="1">
      <alignment horizontal="center" vertical="center" wrapText="1"/>
    </xf>
    <xf numFmtId="0" fontId="81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4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7" fillId="10" borderId="36" xfId="0" applyFont="1" applyFill="1" applyBorder="1" applyAlignment="1">
      <alignment horizontal="center" vertical="center" wrapText="1"/>
    </xf>
    <xf numFmtId="1" fontId="88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7" fillId="10" borderId="5" xfId="0" applyFont="1" applyFill="1" applyBorder="1" applyAlignment="1">
      <alignment horizontal="center" vertical="center" wrapText="1"/>
    </xf>
    <xf numFmtId="0" fontId="88" fillId="10" borderId="5" xfId="0" applyFont="1" applyFill="1" applyBorder="1" applyAlignment="1">
      <alignment horizontal="center" vertical="center" wrapText="1"/>
    </xf>
    <xf numFmtId="1" fontId="88" fillId="10" borderId="5" xfId="0" applyNumberFormat="1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8" fillId="0" borderId="5" xfId="0" applyFont="1" applyFill="1" applyBorder="1" applyAlignment="1">
      <alignment horizontal="center" vertical="center" wrapText="1"/>
    </xf>
    <xf numFmtId="0" fontId="89" fillId="10" borderId="35" xfId="0" applyFont="1" applyFill="1" applyBorder="1" applyAlignment="1">
      <alignment horizontal="center" vertical="center"/>
    </xf>
    <xf numFmtId="1" fontId="89" fillId="10" borderId="36" xfId="0" applyNumberFormat="1" applyFont="1" applyFill="1" applyBorder="1" applyAlignment="1">
      <alignment horizontal="center" vertical="center"/>
    </xf>
    <xf numFmtId="0" fontId="89" fillId="10" borderId="36" xfId="0" applyFont="1" applyFill="1" applyBorder="1" applyAlignment="1">
      <alignment vertical="center"/>
    </xf>
    <xf numFmtId="0" fontId="89" fillId="10" borderId="23" xfId="0" applyFont="1" applyFill="1" applyBorder="1" applyAlignment="1">
      <alignment horizontal="center" vertical="center"/>
    </xf>
    <xf numFmtId="1" fontId="89" fillId="10" borderId="5" xfId="0" applyNumberFormat="1" applyFont="1" applyFill="1" applyBorder="1" applyAlignment="1">
      <alignment horizontal="center" vertical="center"/>
    </xf>
    <xf numFmtId="0" fontId="76" fillId="10" borderId="35" xfId="0" applyFont="1" applyFill="1" applyBorder="1" applyAlignment="1">
      <alignment horizontal="center" vertical="center"/>
    </xf>
    <xf numFmtId="1" fontId="76" fillId="10" borderId="36" xfId="0" applyNumberFormat="1" applyFont="1" applyFill="1" applyBorder="1" applyAlignment="1">
      <alignment horizontal="center" vertical="center"/>
    </xf>
    <xf numFmtId="0" fontId="76" fillId="10" borderId="36" xfId="0" applyFont="1" applyFill="1" applyBorder="1" applyAlignment="1">
      <alignment vertical="center"/>
    </xf>
    <xf numFmtId="0" fontId="76" fillId="10" borderId="23" xfId="0" applyFont="1" applyFill="1" applyBorder="1" applyAlignment="1">
      <alignment horizontal="center" vertical="center"/>
    </xf>
    <xf numFmtId="1" fontId="76" fillId="10" borderId="5" xfId="0" applyNumberFormat="1" applyFont="1" applyFill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 vertical="center"/>
    </xf>
    <xf numFmtId="0" fontId="76" fillId="10" borderId="5" xfId="0" applyFont="1" applyFill="1" applyBorder="1" applyAlignment="1">
      <alignment vertical="center"/>
    </xf>
    <xf numFmtId="168" fontId="76" fillId="10" borderId="23" xfId="0" applyNumberFormat="1" applyFont="1" applyFill="1" applyBorder="1" applyAlignment="1">
      <alignment horizontal="center" vertical="center"/>
    </xf>
    <xf numFmtId="0" fontId="76" fillId="10" borderId="85" xfId="0" applyFont="1" applyFill="1" applyBorder="1" applyAlignment="1">
      <alignment horizontal="center" vertical="center"/>
    </xf>
    <xf numFmtId="1" fontId="76" fillId="10" borderId="14" xfId="0" applyNumberFormat="1" applyFont="1" applyFill="1" applyBorder="1" applyAlignment="1">
      <alignment horizontal="center" vertical="center"/>
    </xf>
    <xf numFmtId="0" fontId="76" fillId="10" borderId="14" xfId="0" applyFont="1" applyFill="1" applyBorder="1" applyAlignment="1">
      <alignment vertical="center"/>
    </xf>
    <xf numFmtId="0" fontId="76" fillId="10" borderId="12" xfId="0" applyFont="1" applyFill="1" applyBorder="1" applyAlignment="1">
      <alignment horizontal="center" vertical="center"/>
    </xf>
    <xf numFmtId="0" fontId="76" fillId="10" borderId="30" xfId="0" applyFont="1" applyFill="1" applyBorder="1" applyAlignment="1">
      <alignment vertical="center"/>
    </xf>
    <xf numFmtId="0" fontId="76" fillId="0" borderId="5" xfId="0" applyFont="1" applyBorder="1" applyAlignment="1">
      <alignment horizontal="center"/>
    </xf>
    <xf numFmtId="0" fontId="76" fillId="0" borderId="23" xfId="0" applyFont="1" applyBorder="1" applyAlignment="1">
      <alignment horizontal="center"/>
    </xf>
    <xf numFmtId="0" fontId="76" fillId="0" borderId="38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1" fontId="76" fillId="0" borderId="36" xfId="0" applyNumberFormat="1" applyFont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/>
    </xf>
    <xf numFmtId="0" fontId="76" fillId="10" borderId="5" xfId="0" applyFont="1" applyFill="1" applyBorder="1" applyAlignment="1">
      <alignment horizontal="center"/>
    </xf>
    <xf numFmtId="1" fontId="76" fillId="10" borderId="5" xfId="0" applyNumberFormat="1" applyFont="1" applyFill="1" applyBorder="1" applyAlignment="1">
      <alignment horizontal="center"/>
    </xf>
    <xf numFmtId="1" fontId="76" fillId="0" borderId="30" xfId="0" applyNumberFormat="1" applyFont="1" applyBorder="1" applyAlignment="1">
      <alignment horizontal="center"/>
    </xf>
    <xf numFmtId="0" fontId="76" fillId="0" borderId="14" xfId="0" applyFont="1" applyBorder="1" applyAlignment="1">
      <alignment horizontal="center"/>
    </xf>
    <xf numFmtId="1" fontId="89" fillId="0" borderId="36" xfId="0" applyNumberFormat="1" applyFont="1" applyBorder="1" applyAlignment="1">
      <alignment horizontal="center" vertical="center"/>
    </xf>
    <xf numFmtId="1" fontId="89" fillId="0" borderId="11" xfId="0" applyNumberFormat="1" applyFont="1" applyBorder="1" applyAlignment="1">
      <alignment horizontal="center" vertical="center"/>
    </xf>
    <xf numFmtId="0" fontId="89" fillId="0" borderId="14" xfId="0" applyFont="1" applyBorder="1" applyAlignment="1">
      <alignment horizontal="center"/>
    </xf>
    <xf numFmtId="0" fontId="89" fillId="10" borderId="12" xfId="0" applyFont="1" applyFill="1" applyBorder="1" applyAlignment="1">
      <alignment vertical="center"/>
    </xf>
    <xf numFmtId="0" fontId="89" fillId="0" borderId="12" xfId="0" applyFont="1" applyBorder="1" applyAlignment="1">
      <alignment horizontal="center"/>
    </xf>
    <xf numFmtId="1" fontId="89" fillId="10" borderId="11" xfId="0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/>
    </xf>
    <xf numFmtId="1" fontId="78" fillId="10" borderId="5" xfId="59161" applyNumberFormat="1" applyFont="1" applyFill="1" applyBorder="1" applyAlignment="1">
      <alignment horizontal="center" vertical="center"/>
    </xf>
    <xf numFmtId="0" fontId="78" fillId="10" borderId="5" xfId="59161" applyFont="1" applyFill="1" applyBorder="1" applyAlignment="1">
      <alignment horizontal="center" vertical="center" wrapText="1"/>
    </xf>
    <xf numFmtId="0" fontId="78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 wrapText="1"/>
    </xf>
    <xf numFmtId="1" fontId="78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52" fillId="10" borderId="20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4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0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79" fillId="19" borderId="18" xfId="0" applyFont="1" applyFill="1" applyBorder="1" applyAlignment="1">
      <alignment horizontal="center" vertical="center" wrapText="1"/>
    </xf>
    <xf numFmtId="0" fontId="79" fillId="19" borderId="33" xfId="0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7" fillId="10" borderId="30" xfId="0" applyFont="1" applyFill="1" applyBorder="1" applyAlignment="1">
      <alignment horizontal="center" vertical="center" wrapText="1"/>
    </xf>
    <xf numFmtId="1" fontId="88" fillId="10" borderId="30" xfId="0" applyNumberFormat="1" applyFont="1" applyFill="1" applyBorder="1" applyAlignment="1">
      <alignment horizontal="center" vertical="center"/>
    </xf>
    <xf numFmtId="0" fontId="85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7" fillId="56" borderId="5" xfId="0" applyFont="1" applyFill="1" applyBorder="1" applyAlignment="1">
      <alignment horizontal="center" vertical="center" wrapText="1"/>
    </xf>
    <xf numFmtId="0" fontId="88" fillId="56" borderId="5" xfId="0" applyFont="1" applyFill="1" applyBorder="1" applyAlignment="1">
      <alignment horizontal="center" vertical="center"/>
    </xf>
    <xf numFmtId="1" fontId="88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6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0" fillId="59" borderId="92" xfId="0" applyNumberFormat="1" applyFont="1" applyFill="1" applyBorder="1" applyAlignment="1" applyProtection="1">
      <alignment horizontal="center" vertical="center" wrapText="1"/>
    </xf>
    <xf numFmtId="4" fontId="100" fillId="60" borderId="93" xfId="0" applyNumberFormat="1" applyFont="1" applyFill="1" applyBorder="1" applyAlignment="1" applyProtection="1">
      <alignment horizontal="center" vertical="center" wrapText="1"/>
    </xf>
    <xf numFmtId="4" fontId="100" fillId="61" borderId="93" xfId="0" applyNumberFormat="1" applyFont="1" applyFill="1" applyBorder="1" applyAlignment="1" applyProtection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63" borderId="98" xfId="0" applyNumberFormat="1" applyFont="1" applyFill="1" applyBorder="1" applyAlignment="1" applyProtection="1">
      <alignment horizontal="center" vertical="center" wrapText="1"/>
    </xf>
    <xf numFmtId="4" fontId="100" fillId="63" borderId="93" xfId="0" applyNumberFormat="1" applyFont="1" applyFill="1" applyBorder="1" applyAlignment="1" applyProtection="1">
      <alignment horizontal="center" vertical="center" wrapText="1"/>
    </xf>
    <xf numFmtId="0" fontId="104" fillId="0" borderId="5" xfId="0" applyFont="1" applyFill="1" applyBorder="1" applyAlignment="1">
      <alignment horizontal="right"/>
    </xf>
    <xf numFmtId="173" fontId="105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6" fillId="0" borderId="13" xfId="0" applyNumberFormat="1" applyFont="1" applyFill="1" applyBorder="1" applyAlignment="1">
      <alignment vertical="center" wrapText="1"/>
    </xf>
    <xf numFmtId="4" fontId="106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7" fillId="0" borderId="100" xfId="0" applyNumberFormat="1" applyFont="1" applyFill="1" applyBorder="1" applyAlignment="1">
      <alignment horizontal="center" vertical="center" wrapText="1"/>
    </xf>
    <xf numFmtId="4" fontId="108" fillId="0" borderId="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4" fillId="15" borderId="111" xfId="0" applyNumberFormat="1" applyFont="1" applyFill="1" applyBorder="1" applyAlignment="1">
      <alignment horizontal="center" vertical="center" wrapText="1"/>
    </xf>
    <xf numFmtId="4" fontId="110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4" fillId="0" borderId="68" xfId="0" applyNumberFormat="1" applyFont="1" applyFill="1" applyBorder="1" applyAlignment="1">
      <alignment vertical="top"/>
    </xf>
    <xf numFmtId="3" fontId="64" fillId="0" borderId="67" xfId="0" applyNumberFormat="1" applyFont="1" applyFill="1" applyBorder="1" applyAlignment="1">
      <alignment vertical="top"/>
    </xf>
    <xf numFmtId="3" fontId="64" fillId="0" borderId="66" xfId="0" applyNumberFormat="1" applyFont="1" applyFill="1" applyBorder="1" applyAlignment="1">
      <alignment vertical="top"/>
    </xf>
    <xf numFmtId="3" fontId="64" fillId="0" borderId="72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4" fillId="0" borderId="63" xfId="0" applyNumberFormat="1" applyFont="1" applyFill="1" applyBorder="1" applyAlignment="1">
      <alignment vertical="top"/>
    </xf>
    <xf numFmtId="3" fontId="111" fillId="0" borderId="68" xfId="0" applyNumberFormat="1" applyFont="1" applyFill="1" applyBorder="1" applyAlignment="1">
      <alignment vertical="top"/>
    </xf>
    <xf numFmtId="3" fontId="111" fillId="0" borderId="63" xfId="0" applyNumberFormat="1" applyFont="1" applyFill="1" applyBorder="1" applyAlignment="1">
      <alignment vertical="top"/>
    </xf>
    <xf numFmtId="3" fontId="64" fillId="0" borderId="128" xfId="0" applyNumberFormat="1" applyFont="1" applyFill="1" applyBorder="1" applyAlignment="1">
      <alignment vertical="top"/>
    </xf>
    <xf numFmtId="3" fontId="64" fillId="0" borderId="129" xfId="0" applyNumberFormat="1" applyFont="1" applyFill="1" applyBorder="1" applyAlignment="1">
      <alignment vertical="top"/>
    </xf>
    <xf numFmtId="3" fontId="64" fillId="0" borderId="130" xfId="0" applyNumberFormat="1" applyFont="1" applyFill="1" applyBorder="1" applyAlignment="1">
      <alignment vertical="top"/>
    </xf>
    <xf numFmtId="3" fontId="64" fillId="0" borderId="71" xfId="0" applyNumberFormat="1" applyFont="1" applyFill="1" applyBorder="1" applyAlignment="1">
      <alignment vertical="top"/>
    </xf>
    <xf numFmtId="3" fontId="64" fillId="0" borderId="131" xfId="0" applyNumberFormat="1" applyFont="1" applyFill="1" applyBorder="1" applyAlignment="1">
      <alignment vertical="top"/>
    </xf>
    <xf numFmtId="3" fontId="64" fillId="0" borderId="64" xfId="0" applyNumberFormat="1" applyFont="1" applyFill="1" applyBorder="1" applyAlignment="1">
      <alignment vertical="top"/>
    </xf>
    <xf numFmtId="3" fontId="64" fillId="0" borderId="120" xfId="0" applyNumberFormat="1" applyFont="1" applyFill="1" applyBorder="1" applyAlignment="1">
      <alignment vertical="top"/>
    </xf>
    <xf numFmtId="3" fontId="64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43" fontId="44" fillId="66" borderId="117" xfId="59387" applyFont="1" applyFill="1" applyBorder="1" applyAlignment="1" applyProtection="1">
      <alignment horizontal="right" vertical="center" indent="1"/>
    </xf>
    <xf numFmtId="43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2" fillId="67" borderId="135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0" fillId="67" borderId="137" xfId="0" applyNumberFormat="1" applyFont="1" applyFill="1" applyBorder="1" applyAlignment="1" applyProtection="1">
      <alignment horizontal="left" vertical="top" indent="1"/>
    </xf>
    <xf numFmtId="3" fontId="113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2" fillId="67" borderId="137" xfId="0" applyNumberFormat="1" applyFont="1" applyFill="1" applyBorder="1" applyAlignment="1" applyProtection="1">
      <alignment horizontal="center" vertical="center"/>
    </xf>
    <xf numFmtId="3" fontId="112" fillId="67" borderId="133" xfId="0" applyNumberFormat="1" applyFont="1" applyFill="1" applyBorder="1" applyAlignment="1" applyProtection="1">
      <alignment horizontal="center" vertical="center"/>
    </xf>
    <xf numFmtId="172" fontId="112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2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4" fillId="44" borderId="65" xfId="0" applyNumberFormat="1" applyFont="1" applyFill="1" applyBorder="1" applyAlignment="1" applyProtection="1">
      <alignment horizontal="right" vertical="center" indent="1"/>
    </xf>
    <xf numFmtId="3" fontId="114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4" fillId="19" borderId="65" xfId="0" applyNumberFormat="1" applyFont="1" applyFill="1" applyBorder="1" applyAlignment="1">
      <alignment horizontal="right" vertical="center" indent="1"/>
    </xf>
    <xf numFmtId="3" fontId="114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4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4" fillId="44" borderId="68" xfId="0" applyNumberFormat="1" applyFont="1" applyFill="1" applyBorder="1" applyAlignment="1" applyProtection="1">
      <alignment horizontal="right" vertical="center" indent="1"/>
    </xf>
    <xf numFmtId="3" fontId="114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4" fillId="44" borderId="167" xfId="0" applyNumberFormat="1" applyFont="1" applyFill="1" applyBorder="1" applyAlignment="1" applyProtection="1">
      <alignment horizontal="right" vertical="center" indent="1"/>
    </xf>
    <xf numFmtId="3" fontId="114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4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4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4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4" fillId="19" borderId="63" xfId="0" applyNumberFormat="1" applyFont="1" applyFill="1" applyBorder="1" applyAlignment="1" applyProtection="1">
      <alignment horizontal="right" vertical="center" indent="1"/>
    </xf>
    <xf numFmtId="3" fontId="114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2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2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2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2" fillId="13" borderId="149" xfId="0" applyNumberFormat="1" applyFont="1" applyFill="1" applyBorder="1" applyAlignment="1" applyProtection="1">
      <alignment horizontal="right" vertical="center" indent="1"/>
    </xf>
    <xf numFmtId="4" fontId="112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4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4" fillId="13" borderId="68" xfId="0" applyNumberFormat="1" applyFont="1" applyFill="1" applyBorder="1" applyAlignment="1" applyProtection="1">
      <alignment horizontal="right" vertical="center" indent="1"/>
    </xf>
    <xf numFmtId="4" fontId="114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/>
    </xf>
    <xf numFmtId="4" fontId="115" fillId="13" borderId="63" xfId="0" applyNumberFormat="1" applyFont="1" applyFill="1" applyBorder="1" applyAlignment="1">
      <alignment horizontal="right" vertical="center" indent="1"/>
    </xf>
    <xf numFmtId="4" fontId="115" fillId="13" borderId="68" xfId="0" applyNumberFormat="1" applyFont="1" applyFill="1" applyBorder="1" applyAlignment="1">
      <alignment horizontal="right" vertical="center" indent="1"/>
    </xf>
    <xf numFmtId="4" fontId="115" fillId="13" borderId="117" xfId="0" applyNumberFormat="1" applyFont="1" applyFill="1" applyBorder="1" applyAlignment="1">
      <alignment horizontal="right" vertical="center" indent="1"/>
    </xf>
    <xf numFmtId="4" fontId="112" fillId="13" borderId="67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 applyProtection="1">
      <alignment horizontal="right" vertical="center" indent="1"/>
    </xf>
    <xf numFmtId="4" fontId="115" fillId="13" borderId="65" xfId="0" applyNumberFormat="1" applyFont="1" applyFill="1" applyBorder="1" applyAlignment="1">
      <alignment horizontal="right" vertical="center" indent="1"/>
    </xf>
    <xf numFmtId="4" fontId="115" fillId="13" borderId="64" xfId="0" applyNumberFormat="1" applyFont="1" applyFill="1" applyBorder="1" applyAlignment="1">
      <alignment horizontal="right" vertical="center" indent="1"/>
    </xf>
    <xf numFmtId="4" fontId="112" fillId="13" borderId="63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>
      <alignment horizontal="right" vertical="center" indent="1"/>
    </xf>
    <xf numFmtId="4" fontId="115" fillId="13" borderId="194" xfId="0" applyNumberFormat="1" applyFont="1" applyFill="1" applyBorder="1" applyAlignment="1">
      <alignment horizontal="right" vertical="center" indent="1"/>
    </xf>
    <xf numFmtId="4" fontId="115" fillId="13" borderId="71" xfId="0" applyNumberFormat="1" applyFont="1" applyFill="1" applyBorder="1" applyAlignment="1">
      <alignment horizontal="right" vertical="center" indent="1"/>
    </xf>
    <xf numFmtId="4" fontId="115" fillId="13" borderId="72" xfId="0" applyNumberFormat="1" applyFont="1" applyFill="1" applyBorder="1" applyAlignment="1">
      <alignment horizontal="right" vertical="center" indent="1"/>
    </xf>
    <xf numFmtId="4" fontId="115" fillId="13" borderId="162" xfId="0" applyNumberFormat="1" applyFont="1" applyFill="1" applyBorder="1" applyAlignment="1">
      <alignment horizontal="right" vertical="center" indent="1"/>
    </xf>
    <xf numFmtId="4" fontId="115" fillId="13" borderId="163" xfId="0" applyNumberFormat="1" applyFont="1" applyFill="1" applyBorder="1" applyAlignment="1">
      <alignment horizontal="right" vertical="center" indent="1"/>
    </xf>
    <xf numFmtId="4" fontId="115" fillId="13" borderId="132" xfId="0" applyNumberFormat="1" applyFont="1" applyFill="1" applyBorder="1" applyAlignment="1">
      <alignment horizontal="right" vertical="center" indent="1"/>
    </xf>
    <xf numFmtId="4" fontId="115" fillId="13" borderId="196" xfId="0" applyNumberFormat="1" applyFont="1" applyFill="1" applyBorder="1" applyAlignment="1">
      <alignment horizontal="right" vertical="center" indent="1"/>
    </xf>
    <xf numFmtId="4" fontId="115" fillId="13" borderId="131" xfId="0" applyNumberFormat="1" applyFont="1" applyFill="1" applyBorder="1" applyAlignment="1">
      <alignment horizontal="right" vertical="center" indent="1"/>
    </xf>
    <xf numFmtId="4" fontId="115" fillId="13" borderId="66" xfId="0" applyNumberFormat="1" applyFont="1" applyFill="1" applyBorder="1" applyAlignment="1">
      <alignment horizontal="right" vertical="center" indent="1"/>
    </xf>
    <xf numFmtId="4" fontId="115" fillId="13" borderId="100" xfId="0" applyNumberFormat="1" applyFont="1" applyFill="1" applyBorder="1" applyAlignment="1">
      <alignment horizontal="right" vertical="center" indent="1"/>
    </xf>
    <xf numFmtId="4" fontId="115" fillId="13" borderId="182" xfId="0" applyNumberFormat="1" applyFont="1" applyFill="1" applyBorder="1" applyAlignment="1">
      <alignment horizontal="right" vertical="center" indent="1"/>
    </xf>
    <xf numFmtId="4" fontId="115" fillId="13" borderId="130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2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2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6" fillId="0" borderId="32" xfId="0" applyFont="1" applyBorder="1"/>
    <xf numFmtId="3" fontId="117" fillId="0" borderId="0" xfId="0" applyNumberFormat="1" applyFont="1" applyFill="1" applyBorder="1"/>
    <xf numFmtId="3" fontId="117" fillId="0" borderId="185" xfId="0" applyNumberFormat="1" applyFont="1" applyFill="1" applyBorder="1"/>
    <xf numFmtId="3" fontId="114" fillId="0" borderId="0" xfId="0" applyNumberFormat="1" applyFont="1" applyFill="1" applyBorder="1"/>
    <xf numFmtId="3" fontId="117" fillId="0" borderId="83" xfId="0" applyNumberFormat="1" applyFont="1" applyFill="1" applyBorder="1"/>
    <xf numFmtId="0" fontId="117" fillId="0" borderId="0" xfId="0" applyFont="1" applyBorder="1"/>
    <xf numFmtId="0" fontId="117" fillId="0" borderId="183" xfId="0" applyFont="1" applyBorder="1"/>
    <xf numFmtId="0" fontId="117" fillId="0" borderId="185" xfId="0" applyFont="1" applyBorder="1"/>
    <xf numFmtId="4" fontId="117" fillId="0" borderId="41" xfId="0" applyNumberFormat="1" applyFont="1" applyFill="1" applyBorder="1"/>
    <xf numFmtId="0" fontId="116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8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0" fontId="112" fillId="0" borderId="0" xfId="0" applyFont="1" applyBorder="1" applyProtection="1">
      <protection locked="0" hidden="1"/>
    </xf>
    <xf numFmtId="4" fontId="112" fillId="0" borderId="0" xfId="0" applyNumberFormat="1" applyFont="1" applyFill="1" applyBorder="1" applyProtection="1">
      <protection locked="0" hidden="1"/>
    </xf>
    <xf numFmtId="4" fontId="112" fillId="0" borderId="183" xfId="0" applyNumberFormat="1" applyFont="1" applyFill="1" applyBorder="1" applyProtection="1">
      <protection locked="0" hidden="1"/>
    </xf>
    <xf numFmtId="4" fontId="112" fillId="0" borderId="185" xfId="0" applyNumberFormat="1" applyFont="1" applyFill="1" applyBorder="1" applyProtection="1">
      <protection locked="0" hidden="1"/>
    </xf>
    <xf numFmtId="0" fontId="112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19" fillId="19" borderId="209" xfId="0" applyNumberFormat="1" applyFont="1" applyFill="1" applyBorder="1" applyAlignment="1">
      <alignment horizontal="center" vertical="center" wrapText="1"/>
    </xf>
    <xf numFmtId="4" fontId="119" fillId="19" borderId="210" xfId="0" applyNumberFormat="1" applyFont="1" applyFill="1" applyBorder="1" applyAlignment="1">
      <alignment horizontal="center" vertical="center" wrapText="1"/>
    </xf>
    <xf numFmtId="4" fontId="119" fillId="19" borderId="211" xfId="0" applyNumberFormat="1" applyFont="1" applyFill="1" applyBorder="1" applyAlignment="1">
      <alignment horizontal="center" vertical="center" wrapText="1"/>
    </xf>
    <xf numFmtId="0" fontId="119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19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19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19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Protection="1">
      <protection locked="0" hidden="1"/>
    </xf>
    <xf numFmtId="4" fontId="112" fillId="0" borderId="0" xfId="0" applyNumberFormat="1" applyFont="1" applyFill="1" applyBorder="1" applyAlignment="1" applyProtection="1">
      <alignment horizontal="center"/>
      <protection locked="0" hidden="1"/>
    </xf>
    <xf numFmtId="0" fontId="112" fillId="0" borderId="0" xfId="0" applyFont="1" applyFill="1" applyBorder="1" applyProtection="1">
      <protection locked="0" hidden="1"/>
    </xf>
    <xf numFmtId="0" fontId="114" fillId="0" borderId="183" xfId="0" applyFont="1" applyFill="1" applyBorder="1" applyProtection="1">
      <protection locked="0" hidden="1"/>
    </xf>
    <xf numFmtId="0" fontId="114" fillId="0" borderId="185" xfId="0" applyFont="1" applyFill="1" applyBorder="1" applyProtection="1">
      <protection locked="0" hidden="1"/>
    </xf>
    <xf numFmtId="0" fontId="114" fillId="0" borderId="0" xfId="0" applyFont="1" applyFill="1" applyBorder="1" applyAlignment="1" applyProtection="1">
      <alignment wrapText="1"/>
      <protection locked="0" hidden="1"/>
    </xf>
    <xf numFmtId="175" fontId="119" fillId="19" borderId="218" xfId="0" applyNumberFormat="1" applyFont="1" applyFill="1" applyBorder="1" applyAlignment="1">
      <alignment horizontal="center" vertical="center" wrapText="1"/>
    </xf>
    <xf numFmtId="175" fontId="119" fillId="19" borderId="219" xfId="0" applyNumberFormat="1" applyFont="1" applyFill="1" applyBorder="1" applyAlignment="1">
      <alignment horizontal="center" vertical="center" wrapText="1"/>
    </xf>
    <xf numFmtId="175" fontId="119" fillId="19" borderId="211" xfId="0" applyNumberFormat="1" applyFont="1" applyFill="1" applyBorder="1" applyAlignment="1">
      <alignment horizontal="center" vertical="center" wrapText="1"/>
    </xf>
    <xf numFmtId="175" fontId="119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19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19" fillId="40" borderId="211" xfId="0" applyNumberFormat="1" applyFont="1" applyFill="1" applyBorder="1" applyAlignment="1">
      <alignment horizontal="center" vertical="center" wrapText="1"/>
    </xf>
    <xf numFmtId="175" fontId="119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1" fillId="0" borderId="0" xfId="0" applyFont="1" applyFill="1" applyBorder="1" applyProtection="1">
      <protection locked="0" hidden="1"/>
    </xf>
    <xf numFmtId="3" fontId="122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2" fillId="0" borderId="183" xfId="0" applyNumberFormat="1" applyFont="1" applyFill="1" applyBorder="1" applyAlignment="1">
      <alignment horizontal="right" vertical="center" indent="1"/>
    </xf>
    <xf numFmtId="3" fontId="122" fillId="0" borderId="185" xfId="0" applyNumberFormat="1" applyFont="1" applyFill="1" applyBorder="1" applyAlignment="1">
      <alignment horizontal="right" vertical="center" indent="1"/>
    </xf>
    <xf numFmtId="0" fontId="121" fillId="0" borderId="0" xfId="0" applyFont="1" applyFill="1" applyBorder="1" applyAlignment="1" applyProtection="1">
      <alignment wrapText="1"/>
      <protection locked="0" hidden="1"/>
    </xf>
    <xf numFmtId="3" fontId="122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2" fillId="0" borderId="0" xfId="0" applyNumberFormat="1" applyFont="1" applyFill="1" applyBorder="1" applyAlignment="1" applyProtection="1">
      <alignment horizontal="right" vertical="center" indent="1"/>
    </xf>
    <xf numFmtId="3" fontId="122" fillId="0" borderId="177" xfId="0" applyNumberFormat="1" applyFont="1" applyFill="1" applyBorder="1" applyAlignment="1">
      <alignment horizontal="right" vertical="center" indent="1"/>
    </xf>
    <xf numFmtId="3" fontId="122" fillId="0" borderId="202" xfId="0" applyNumberFormat="1" applyFont="1" applyFill="1" applyBorder="1" applyAlignment="1">
      <alignment horizontal="right" vertical="center" indent="1"/>
    </xf>
    <xf numFmtId="3" fontId="122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2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2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4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4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2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2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2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4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4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2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2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4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4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4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2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2" fillId="69" borderId="231" xfId="0" applyNumberFormat="1" applyFont="1" applyFill="1" applyBorder="1" applyAlignment="1" applyProtection="1">
      <alignment horizontal="right" vertical="center" indent="1"/>
    </xf>
    <xf numFmtId="3" fontId="112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2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2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4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2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2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2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4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4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4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4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4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4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2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2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2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3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82" xfId="0" applyFont="1" applyBorder="1" applyAlignment="1">
      <alignment horizontal="center" vertical="center"/>
    </xf>
    <xf numFmtId="0" fontId="114" fillId="0" borderId="183" xfId="0" applyFont="1" applyBorder="1" applyAlignment="1">
      <alignment horizontal="center" vertical="center"/>
    </xf>
    <xf numFmtId="0" fontId="114" fillId="0" borderId="185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4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4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4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4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4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4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4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4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4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0" fillId="0" borderId="109" xfId="0" applyNumberFormat="1" applyFont="1" applyFill="1" applyBorder="1" applyAlignment="1">
      <alignment horizontal="right" vertical="center" indent="1"/>
    </xf>
    <xf numFmtId="3" fontId="110" fillId="0" borderId="186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110" fillId="0" borderId="203" xfId="0" applyNumberFormat="1" applyFont="1" applyFill="1" applyBorder="1" applyAlignment="1">
      <alignment horizontal="right" vertical="center" indent="1"/>
    </xf>
    <xf numFmtId="3" fontId="110" fillId="0" borderId="110" xfId="0" applyNumberFormat="1" applyFont="1" applyFill="1" applyBorder="1" applyAlignment="1">
      <alignment horizontal="right" vertical="center" indent="1"/>
    </xf>
    <xf numFmtId="3" fontId="110" fillId="0" borderId="108" xfId="0" applyNumberFormat="1" applyFont="1" applyFill="1" applyBorder="1" applyAlignment="1">
      <alignment horizontal="right" vertical="center" indent="1"/>
    </xf>
    <xf numFmtId="3" fontId="110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2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4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4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4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4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5" fillId="0" borderId="0" xfId="0" applyFont="1"/>
    <xf numFmtId="0" fontId="66" fillId="66" borderId="0" xfId="0" applyFont="1" applyFill="1" applyBorder="1" applyProtection="1"/>
    <xf numFmtId="4" fontId="66" fillId="66" borderId="0" xfId="0" applyNumberFormat="1" applyFont="1" applyFill="1" applyBorder="1" applyAlignment="1" applyProtection="1"/>
    <xf numFmtId="0" fontId="67" fillId="0" borderId="0" xfId="0" applyFont="1"/>
    <xf numFmtId="0" fontId="126" fillId="71" borderId="309" xfId="0" applyFont="1" applyFill="1" applyBorder="1" applyAlignment="1">
      <alignment vertical="top"/>
    </xf>
    <xf numFmtId="0" fontId="126" fillId="72" borderId="309" xfId="0" applyFont="1" applyFill="1" applyBorder="1" applyAlignment="1">
      <alignment vertical="top"/>
    </xf>
    <xf numFmtId="0" fontId="126" fillId="72" borderId="310" xfId="0" applyFont="1" applyFill="1" applyBorder="1" applyAlignment="1">
      <alignment horizontal="center" vertical="top" wrapText="1"/>
    </xf>
    <xf numFmtId="0" fontId="126" fillId="72" borderId="310" xfId="0" applyFont="1" applyFill="1" applyBorder="1" applyAlignment="1">
      <alignment vertical="top" wrapText="1"/>
    </xf>
    <xf numFmtId="0" fontId="126" fillId="71" borderId="311" xfId="0" applyFont="1" applyFill="1" applyBorder="1" applyAlignment="1">
      <alignment vertical="top"/>
    </xf>
    <xf numFmtId="0" fontId="126" fillId="72" borderId="312" xfId="0" applyFont="1" applyFill="1" applyBorder="1" applyAlignment="1">
      <alignment vertical="top"/>
    </xf>
    <xf numFmtId="177" fontId="126" fillId="72" borderId="310" xfId="0" applyNumberFormat="1" applyFont="1" applyFill="1" applyBorder="1" applyAlignment="1">
      <alignment horizontal="center" vertical="top" wrapText="1"/>
    </xf>
    <xf numFmtId="178" fontId="126" fillId="72" borderId="310" xfId="0" applyNumberFormat="1" applyFont="1" applyFill="1" applyBorder="1" applyAlignment="1">
      <alignment horizontal="center" vertical="top" wrapText="1"/>
    </xf>
    <xf numFmtId="0" fontId="126" fillId="71" borderId="310" xfId="0" applyFont="1" applyFill="1" applyBorder="1" applyAlignment="1">
      <alignment horizontal="left" vertical="top"/>
    </xf>
    <xf numFmtId="174" fontId="126" fillId="71" borderId="310" xfId="0" applyNumberFormat="1" applyFont="1" applyFill="1" applyBorder="1" applyAlignment="1">
      <alignment vertical="top"/>
    </xf>
    <xf numFmtId="0" fontId="126" fillId="71" borderId="310" xfId="0" applyFont="1" applyFill="1" applyBorder="1" applyAlignment="1">
      <alignment horizontal="right" vertical="top"/>
    </xf>
    <xf numFmtId="2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horizontal="right" vertical="top"/>
    </xf>
    <xf numFmtId="176" fontId="126" fillId="71" borderId="310" xfId="0" applyNumberFormat="1" applyFont="1" applyFill="1" applyBorder="1" applyAlignment="1">
      <alignment horizontal="right" vertical="top"/>
    </xf>
    <xf numFmtId="4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horizontal="right" vertical="top"/>
    </xf>
    <xf numFmtId="3" fontId="126" fillId="71" borderId="310" xfId="0" applyNumberFormat="1" applyFont="1" applyFill="1" applyBorder="1" applyAlignment="1">
      <alignment horizontal="right" vertical="top"/>
    </xf>
    <xf numFmtId="168" fontId="126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43" fontId="0" fillId="0" borderId="0" xfId="59387" applyFont="1"/>
    <xf numFmtId="1" fontId="0" fillId="0" borderId="0" xfId="0" applyNumberFormat="1"/>
    <xf numFmtId="0" fontId="0" fillId="14" borderId="0" xfId="0" applyFill="1"/>
    <xf numFmtId="0" fontId="127" fillId="73" borderId="313" xfId="59388" applyNumberFormat="1" applyFont="1" applyFill="1" applyBorder="1" applyAlignment="1">
      <alignment horizontal="left" vertical="top" wrapText="1"/>
    </xf>
    <xf numFmtId="0" fontId="128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7" fillId="73" borderId="313" xfId="59388" applyNumberFormat="1" applyFont="1" applyFill="1" applyBorder="1" applyAlignment="1">
      <alignment horizontal="right" vertical="top" wrapText="1"/>
    </xf>
    <xf numFmtId="174" fontId="127" fillId="73" borderId="313" xfId="59388" applyNumberFormat="1" applyFont="1" applyFill="1" applyBorder="1" applyAlignment="1">
      <alignment horizontal="right" vertical="top" wrapText="1"/>
    </xf>
    <xf numFmtId="0" fontId="127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7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29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75" borderId="314" xfId="0" applyNumberFormat="1" applyFont="1" applyFill="1" applyBorder="1" applyAlignment="1" applyProtection="1">
      <alignment horizontal="center" vertical="center" wrapText="1"/>
    </xf>
    <xf numFmtId="4" fontId="94" fillId="13" borderId="105" xfId="0" applyNumberFormat="1" applyFont="1" applyFill="1" applyBorder="1" applyAlignment="1">
      <alignment horizontal="center" vertical="center" wrapText="1"/>
    </xf>
    <xf numFmtId="4" fontId="94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0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3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6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3" fillId="50" borderId="11" xfId="0" applyFont="1" applyFill="1" applyBorder="1" applyAlignment="1">
      <alignment vertical="top"/>
    </xf>
    <xf numFmtId="0" fontId="53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6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3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3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4" fillId="10" borderId="5" xfId="59160" applyFont="1" applyFill="1" applyBorder="1"/>
    <xf numFmtId="0" fontId="32" fillId="0" borderId="12" xfId="0" applyFont="1" applyBorder="1"/>
    <xf numFmtId="49" fontId="134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4" fillId="4" borderId="12" xfId="0" applyNumberFormat="1" applyFont="1" applyFill="1" applyBorder="1" applyAlignment="1">
      <alignment horizontal="center" vertical="center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1" fillId="10" borderId="5" xfId="0" applyNumberFormat="1" applyFont="1" applyFill="1" applyBorder="1" applyAlignment="1">
      <alignment vertical="center" textRotation="90"/>
    </xf>
    <xf numFmtId="1" fontId="131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2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2" fillId="10" borderId="8" xfId="0" applyNumberFormat="1" applyFont="1" applyFill="1" applyBorder="1" applyAlignment="1">
      <alignment horizontal="center" vertical="center" textRotation="90"/>
    </xf>
    <xf numFmtId="1" fontId="135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vertical="center"/>
    </xf>
    <xf numFmtId="49" fontId="137" fillId="57" borderId="11" xfId="0" applyNumberFormat="1" applyFont="1" applyFill="1" applyBorder="1" applyAlignment="1">
      <alignment vertical="center"/>
    </xf>
    <xf numFmtId="1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horizontal="center" vertical="center"/>
    </xf>
    <xf numFmtId="49" fontId="137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6" fillId="10" borderId="14" xfId="0" applyNumberFormat="1" applyFont="1" applyFill="1" applyBorder="1" applyAlignment="1">
      <alignment horizontal="center" vertical="center"/>
    </xf>
    <xf numFmtId="49" fontId="136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6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5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99" fillId="0" borderId="12" xfId="0" applyFont="1" applyBorder="1" applyAlignment="1"/>
    <xf numFmtId="0" fontId="99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7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7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0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0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0" fillId="75" borderId="316" xfId="0" applyNumberFormat="1" applyFont="1" applyFill="1" applyBorder="1" applyAlignment="1" applyProtection="1">
      <alignment horizontal="center" vertical="center" wrapText="1"/>
    </xf>
    <xf numFmtId="4" fontId="100" fillId="75" borderId="317" xfId="0" applyNumberFormat="1" applyFont="1" applyFill="1" applyBorder="1" applyAlignment="1" applyProtection="1">
      <alignment horizontal="center" vertical="center" wrapText="1"/>
    </xf>
    <xf numFmtId="4" fontId="100" fillId="77" borderId="93" xfId="0" applyNumberFormat="1" applyFont="1" applyFill="1" applyBorder="1" applyAlignment="1" applyProtection="1">
      <alignment horizontal="center" vertical="center" wrapText="1"/>
    </xf>
    <xf numFmtId="4" fontId="140" fillId="78" borderId="93" xfId="0" applyNumberFormat="1" applyFont="1" applyFill="1" applyBorder="1" applyAlignment="1">
      <alignment horizontal="center" vertical="center" wrapText="1"/>
    </xf>
    <xf numFmtId="0" fontId="76" fillId="0" borderId="26" xfId="0" applyFont="1" applyBorder="1" applyAlignment="1">
      <alignment horizontal="center" vertical="center" wrapText="1"/>
    </xf>
    <xf numFmtId="4" fontId="100" fillId="79" borderId="93" xfId="0" applyNumberFormat="1" applyFont="1" applyFill="1" applyBorder="1" applyAlignment="1" applyProtection="1">
      <alignment horizontal="center" vertical="center" wrapText="1"/>
    </xf>
    <xf numFmtId="4" fontId="100" fillId="77" borderId="318" xfId="0" applyNumberFormat="1" applyFont="1" applyFill="1" applyBorder="1" applyAlignment="1" applyProtection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0" fillId="48" borderId="93" xfId="0" applyNumberFormat="1" applyFont="1" applyFill="1" applyBorder="1" applyAlignment="1" applyProtection="1">
      <alignment horizontal="center" vertical="center" wrapText="1"/>
    </xf>
    <xf numFmtId="49" fontId="136" fillId="10" borderId="12" xfId="0" applyNumberFormat="1" applyFont="1" applyFill="1" applyBorder="1" applyAlignment="1">
      <alignment horizontal="center" vertical="center"/>
    </xf>
    <xf numFmtId="1" fontId="136" fillId="10" borderId="12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1" fontId="0" fillId="0" borderId="5" xfId="0" applyNumberFormat="1" applyBorder="1" applyAlignment="1">
      <alignment textRotation="90"/>
    </xf>
    <xf numFmtId="1" fontId="34" fillId="0" borderId="11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0" fontId="141" fillId="10" borderId="24" xfId="0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1" fontId="32" fillId="0" borderId="5" xfId="0" applyNumberFormat="1" applyFont="1" applyFill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wrapText="1"/>
    </xf>
    <xf numFmtId="1" fontId="32" fillId="0" borderId="5" xfId="0" applyNumberFormat="1" applyFont="1" applyBorder="1" applyAlignment="1">
      <alignment wrapText="1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2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2" fillId="46" borderId="6" xfId="0" applyNumberFormat="1" applyFont="1" applyFill="1" applyBorder="1" applyAlignment="1">
      <alignment horizontal="center"/>
    </xf>
    <xf numFmtId="1" fontId="142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2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2" fillId="46" borderId="9" xfId="0" applyNumberFormat="1" applyFont="1" applyFill="1" applyBorder="1" applyAlignment="1">
      <alignment horizontal="center"/>
    </xf>
    <xf numFmtId="1" fontId="142" fillId="46" borderId="10" xfId="0" applyNumberFormat="1" applyFont="1" applyFill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43" fillId="44" borderId="10" xfId="0" applyNumberFormat="1" applyFont="1" applyFill="1" applyBorder="1" applyAlignment="1">
      <alignment vertical="center"/>
    </xf>
    <xf numFmtId="0" fontId="0" fillId="0" borderId="8" xfId="0" applyBorder="1"/>
    <xf numFmtId="4" fontId="45" fillId="19" borderId="5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4" fontId="145" fillId="8" borderId="63" xfId="0" applyNumberFormat="1" applyFont="1" applyFill="1" applyBorder="1" applyAlignment="1">
      <alignment horizontal="center" vertical="center" wrapText="1"/>
    </xf>
    <xf numFmtId="4" fontId="146" fillId="39" borderId="65" xfId="0" applyNumberFormat="1" applyFont="1" applyFill="1" applyBorder="1" applyAlignment="1">
      <alignment horizontal="center" vertical="center" wrapText="1"/>
    </xf>
    <xf numFmtId="4" fontId="146" fillId="8" borderId="63" xfId="0" applyNumberFormat="1" applyFont="1" applyFill="1" applyBorder="1" applyAlignment="1">
      <alignment horizontal="center" vertical="center" wrapText="1"/>
    </xf>
    <xf numFmtId="3" fontId="147" fillId="0" borderId="65" xfId="0" applyNumberFormat="1" applyFont="1" applyBorder="1" applyAlignment="1">
      <alignment horizontal="left" vertical="top"/>
    </xf>
    <xf numFmtId="3" fontId="147" fillId="0" borderId="63" xfId="0" applyNumberFormat="1" applyFont="1" applyBorder="1" applyAlignment="1">
      <alignment vertical="top"/>
    </xf>
    <xf numFmtId="3" fontId="148" fillId="67" borderId="135" xfId="0" applyNumberFormat="1" applyFont="1" applyFill="1" applyBorder="1" applyAlignment="1">
      <alignment horizontal="right" vertical="center" indent="1"/>
    </xf>
    <xf numFmtId="3" fontId="148" fillId="44" borderId="181" xfId="0" applyNumberFormat="1" applyFont="1" applyFill="1" applyBorder="1" applyAlignment="1">
      <alignment horizontal="right" vertical="center" indent="1"/>
    </xf>
    <xf numFmtId="3" fontId="148" fillId="44" borderId="77" xfId="0" applyNumberFormat="1" applyFont="1" applyFill="1" applyBorder="1" applyAlignment="1">
      <alignment horizontal="right" vertical="center" indent="1"/>
    </xf>
    <xf numFmtId="3" fontId="149" fillId="19" borderId="63" xfId="0" applyNumberFormat="1" applyFont="1" applyFill="1" applyBorder="1" applyAlignment="1">
      <alignment horizontal="right" vertical="center" indent="1"/>
    </xf>
    <xf numFmtId="3" fontId="149" fillId="44" borderId="63" xfId="0" applyNumberFormat="1" applyFont="1" applyFill="1" applyBorder="1" applyAlignment="1">
      <alignment horizontal="right" vertical="center" indent="1"/>
    </xf>
    <xf numFmtId="3" fontId="149" fillId="44" borderId="161" xfId="0" applyNumberFormat="1" applyFont="1" applyFill="1" applyBorder="1" applyAlignment="1" applyProtection="1">
      <alignment horizontal="right" vertical="center" indent="1"/>
    </xf>
    <xf numFmtId="174" fontId="148" fillId="0" borderId="184" xfId="0" applyNumberFormat="1" applyFont="1" applyFill="1" applyBorder="1" applyAlignment="1">
      <alignment horizontal="right" vertical="center" indent="1"/>
    </xf>
    <xf numFmtId="3" fontId="150" fillId="65" borderId="231" xfId="0" applyNumberFormat="1" applyFont="1" applyFill="1" applyBorder="1" applyAlignment="1">
      <alignment horizontal="right" vertical="center" indent="1"/>
    </xf>
    <xf numFmtId="3" fontId="150" fillId="65" borderId="230" xfId="0" applyNumberFormat="1" applyFont="1" applyFill="1" applyBorder="1" applyAlignment="1">
      <alignment horizontal="right" vertical="center" indent="1"/>
    </xf>
    <xf numFmtId="3" fontId="149" fillId="65" borderId="232" xfId="0" applyNumberFormat="1" applyFont="1" applyFill="1" applyBorder="1" applyAlignment="1">
      <alignment horizontal="right" vertical="center" indent="1"/>
    </xf>
    <xf numFmtId="3" fontId="150" fillId="65" borderId="233" xfId="0" applyNumberFormat="1" applyFont="1" applyFill="1" applyBorder="1" applyAlignment="1">
      <alignment horizontal="right" vertical="center" indent="1"/>
    </xf>
    <xf numFmtId="3" fontId="150" fillId="65" borderId="234" xfId="0" applyNumberFormat="1" applyFont="1" applyFill="1" applyBorder="1" applyAlignment="1">
      <alignment horizontal="right" vertical="center" indent="1"/>
    </xf>
    <xf numFmtId="3" fontId="150" fillId="65" borderId="232" xfId="0" applyNumberFormat="1" applyFont="1" applyFill="1" applyBorder="1" applyAlignment="1">
      <alignment horizontal="right" vertical="center" indent="1"/>
    </xf>
    <xf numFmtId="3" fontId="149" fillId="65" borderId="231" xfId="0" applyNumberFormat="1" applyFont="1" applyFill="1" applyBorder="1" applyAlignment="1">
      <alignment horizontal="right" vertical="center" indent="1"/>
    </xf>
    <xf numFmtId="3" fontId="150" fillId="65" borderId="235" xfId="0" applyNumberFormat="1" applyFont="1" applyFill="1" applyBorder="1" applyAlignment="1">
      <alignment horizontal="right" vertical="center" indent="1"/>
    </xf>
    <xf numFmtId="3" fontId="150" fillId="65" borderId="236" xfId="0" applyNumberFormat="1" applyFont="1" applyFill="1" applyBorder="1" applyAlignment="1">
      <alignment horizontal="right" vertical="center" indent="1"/>
    </xf>
    <xf numFmtId="3" fontId="150" fillId="65" borderId="237" xfId="0" applyNumberFormat="1" applyFont="1" applyFill="1" applyBorder="1" applyAlignment="1">
      <alignment horizontal="right" vertical="center" indent="1"/>
    </xf>
    <xf numFmtId="3" fontId="151" fillId="0" borderId="63" xfId="0" applyNumberFormat="1" applyFont="1" applyBorder="1" applyAlignment="1" applyProtection="1"/>
    <xf numFmtId="4" fontId="145" fillId="66" borderId="0" xfId="0" applyNumberFormat="1" applyFont="1" applyFill="1" applyBorder="1" applyAlignment="1" applyProtection="1"/>
    <xf numFmtId="4" fontId="145" fillId="66" borderId="0" xfId="0" applyNumberFormat="1" applyFont="1" applyFill="1"/>
    <xf numFmtId="1" fontId="0" fillId="11" borderId="5" xfId="0" applyNumberFormat="1" applyFill="1" applyBorder="1"/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1" fontId="136" fillId="10" borderId="10" xfId="0" applyNumberFormat="1" applyFont="1" applyFill="1" applyBorder="1" applyAlignment="1">
      <alignment horizontal="center" vertical="center"/>
    </xf>
    <xf numFmtId="1" fontId="29" fillId="0" borderId="5" xfId="0" applyNumberFormat="1" applyFont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33" fillId="55" borderId="7" xfId="0" applyNumberFormat="1" applyFont="1" applyFill="1" applyBorder="1" applyAlignment="1">
      <alignment vertical="center"/>
    </xf>
    <xf numFmtId="1" fontId="33" fillId="55" borderId="8" xfId="0" applyNumberFormat="1" applyFont="1" applyFill="1" applyBorder="1" applyAlignment="1">
      <alignment vertical="center"/>
    </xf>
    <xf numFmtId="0" fontId="98" fillId="0" borderId="5" xfId="0" applyFont="1" applyBorder="1"/>
    <xf numFmtId="3" fontId="64" fillId="0" borderId="59" xfId="0" applyNumberFormat="1" applyFont="1" applyFill="1" applyBorder="1" applyAlignment="1">
      <alignment horizontal="center" vertical="top"/>
    </xf>
    <xf numFmtId="3" fontId="64" fillId="0" borderId="64" xfId="0" applyNumberFormat="1" applyFont="1" applyFill="1" applyBorder="1" applyAlignment="1">
      <alignment horizontal="center" vertical="top"/>
    </xf>
    <xf numFmtId="3" fontId="64" fillId="0" borderId="65" xfId="0" applyNumberFormat="1" applyFont="1" applyFill="1" applyBorder="1" applyAlignment="1">
      <alignment horizontal="center" vertical="top"/>
    </xf>
    <xf numFmtId="3" fontId="64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94" fillId="2" borderId="106" xfId="0" applyNumberFormat="1" applyFont="1" applyFill="1" applyBorder="1" applyAlignment="1">
      <alignment horizontal="center" vertical="center" wrapText="1"/>
    </xf>
    <xf numFmtId="4" fontId="94" fillId="2" borderId="112" xfId="0" applyNumberFormat="1" applyFont="1" applyFill="1" applyBorder="1" applyAlignment="1">
      <alignment horizontal="center" vertical="center" wrapText="1"/>
    </xf>
    <xf numFmtId="4" fontId="94" fillId="14" borderId="106" xfId="0" applyNumberFormat="1" applyFont="1" applyFill="1" applyBorder="1" applyAlignment="1">
      <alignment horizontal="center" vertical="center" wrapText="1"/>
    </xf>
    <xf numFmtId="4" fontId="94" fillId="19" borderId="113" xfId="0" applyNumberFormat="1" applyFont="1" applyFill="1" applyBorder="1" applyAlignment="1">
      <alignment horizontal="center" vertical="center" wrapText="1"/>
    </xf>
    <xf numFmtId="4" fontId="94" fillId="19" borderId="106" xfId="0" applyNumberFormat="1" applyFont="1" applyFill="1" applyBorder="1" applyAlignment="1">
      <alignment horizontal="center" vertical="center" wrapText="1"/>
    </xf>
    <xf numFmtId="4" fontId="94" fillId="19" borderId="114" xfId="0" applyNumberFormat="1" applyFont="1" applyFill="1" applyBorder="1" applyAlignment="1">
      <alignment horizontal="center" vertical="center" wrapText="1"/>
    </xf>
    <xf numFmtId="4" fontId="94" fillId="19" borderId="115" xfId="0" applyNumberFormat="1" applyFont="1" applyFill="1" applyBorder="1" applyAlignment="1">
      <alignment horizontal="center" vertical="center" wrapText="1"/>
    </xf>
    <xf numFmtId="4" fontId="94" fillId="19" borderId="105" xfId="0" applyNumberFormat="1" applyFont="1" applyFill="1" applyBorder="1" applyAlignment="1">
      <alignment horizontal="center" vertical="center" wrapText="1"/>
    </xf>
    <xf numFmtId="4" fontId="94" fillId="19" borderId="107" xfId="0" applyNumberFormat="1" applyFont="1" applyFill="1" applyBorder="1" applyAlignment="1">
      <alignment horizontal="center" vertical="center" wrapText="1"/>
    </xf>
    <xf numFmtId="4" fontId="94" fillId="3" borderId="105" xfId="0" applyNumberFormat="1" applyFont="1" applyFill="1" applyBorder="1" applyAlignment="1">
      <alignment horizontal="center" vertical="center" wrapText="1"/>
    </xf>
    <xf numFmtId="4" fontId="94" fillId="3" borderId="106" xfId="0" applyNumberFormat="1" applyFont="1" applyFill="1" applyBorder="1" applyAlignment="1">
      <alignment horizontal="center" vertical="center" wrapText="1"/>
    </xf>
    <xf numFmtId="4" fontId="94" fillId="40" borderId="100" xfId="0" applyNumberFormat="1" applyFont="1" applyFill="1" applyBorder="1" applyAlignment="1">
      <alignment horizontal="center" vertical="center" wrapText="1"/>
    </xf>
    <xf numFmtId="4" fontId="94" fillId="40" borderId="79" xfId="0" applyNumberFormat="1" applyFont="1" applyFill="1" applyBorder="1" applyAlignment="1">
      <alignment horizontal="center" vertical="center" wrapText="1"/>
    </xf>
    <xf numFmtId="4" fontId="94" fillId="8" borderId="65" xfId="0" applyNumberFormat="1" applyFont="1" applyFill="1" applyBorder="1" applyAlignment="1">
      <alignment horizontal="center" vertical="center" wrapText="1"/>
    </xf>
    <xf numFmtId="4" fontId="94" fillId="39" borderId="105" xfId="0" applyNumberFormat="1" applyFont="1" applyFill="1" applyBorder="1" applyAlignment="1">
      <alignment horizontal="center" vertical="center" wrapText="1"/>
    </xf>
    <xf numFmtId="4" fontId="94" fillId="39" borderId="106" xfId="0" applyNumberFormat="1" applyFont="1" applyFill="1" applyBorder="1" applyAlignment="1">
      <alignment horizontal="center" vertical="center" wrapText="1"/>
    </xf>
    <xf numFmtId="4" fontId="94" fillId="39" borderId="107" xfId="0" applyNumberFormat="1" applyFont="1" applyFill="1" applyBorder="1" applyAlignment="1">
      <alignment horizontal="center" vertical="center" wrapText="1"/>
    </xf>
    <xf numFmtId="4" fontId="94" fillId="38" borderId="108" xfId="0" applyNumberFormat="1" applyFont="1" applyFill="1" applyBorder="1" applyAlignment="1">
      <alignment horizontal="center" vertical="center" wrapText="1"/>
    </xf>
    <xf numFmtId="4" fontId="94" fillId="38" borderId="109" xfId="0" applyNumberFormat="1" applyFont="1" applyFill="1" applyBorder="1" applyAlignment="1">
      <alignment horizontal="center" vertical="center" wrapText="1"/>
    </xf>
    <xf numFmtId="4" fontId="94" fillId="38" borderId="110" xfId="0" applyNumberFormat="1" applyFont="1" applyFill="1" applyBorder="1" applyAlignment="1">
      <alignment horizontal="center" vertical="center" wrapText="1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94" fillId="0" borderId="110" xfId="0" applyNumberFormat="1" applyFont="1" applyFill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8" fillId="0" borderId="177" xfId="0" applyFont="1" applyBorder="1" applyAlignment="1">
      <alignment horizontal="center" vertical="center"/>
    </xf>
    <xf numFmtId="0" fontId="98" fillId="0" borderId="206" xfId="0" applyFont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4" fillId="0" borderId="205" xfId="0" applyNumberFormat="1" applyFont="1" applyFill="1" applyBorder="1" applyAlignment="1">
      <alignment horizontal="center" vertical="center"/>
    </xf>
    <xf numFmtId="4" fontId="120" fillId="8" borderId="213" xfId="0" applyNumberFormat="1" applyFont="1" applyFill="1" applyBorder="1" applyAlignment="1">
      <alignment horizontal="center" vertical="center" wrapText="1"/>
    </xf>
    <xf numFmtId="4" fontId="120" fillId="8" borderId="214" xfId="0" applyNumberFormat="1" applyFont="1" applyFill="1" applyBorder="1" applyAlignment="1">
      <alignment horizontal="center" vertical="center" wrapText="1"/>
    </xf>
    <xf numFmtId="0" fontId="120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19" fillId="38" borderId="214" xfId="0" applyNumberFormat="1" applyFont="1" applyFill="1" applyBorder="1" applyAlignment="1">
      <alignment horizontal="center" vertical="center" wrapText="1"/>
    </xf>
    <xf numFmtId="4" fontId="119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19" fillId="14" borderId="214" xfId="0" applyNumberFormat="1" applyFont="1" applyFill="1" applyBorder="1" applyAlignment="1">
      <alignment horizontal="center" vertical="center" wrapText="1"/>
    </xf>
    <xf numFmtId="0" fontId="119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19" fillId="0" borderId="214" xfId="0" applyFont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0" fillId="8" borderId="221" xfId="0" applyNumberFormat="1" applyFont="1" applyFill="1" applyBorder="1" applyAlignment="1">
      <alignment horizontal="center" vertical="center" wrapText="1"/>
    </xf>
    <xf numFmtId="175" fontId="120" fillId="8" borderId="222" xfId="0" applyNumberFormat="1" applyFont="1" applyFill="1" applyBorder="1" applyAlignment="1">
      <alignment horizontal="center" vertical="center" wrapText="1"/>
    </xf>
    <xf numFmtId="175" fontId="120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19" fillId="38" borderId="222" xfId="0" applyNumberFormat="1" applyFont="1" applyFill="1" applyBorder="1" applyAlignment="1">
      <alignment horizontal="center" vertical="center" wrapText="1"/>
    </xf>
    <xf numFmtId="175" fontId="119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19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19" fillId="0" borderId="222" xfId="0" applyNumberFormat="1" applyFont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5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0" fontId="83" fillId="10" borderId="2" xfId="0" applyFont="1" applyFill="1" applyBorder="1" applyAlignment="1">
      <alignment horizontal="center" vertical="center" wrapText="1"/>
    </xf>
    <xf numFmtId="0" fontId="83" fillId="10" borderId="3" xfId="0" applyFont="1" applyFill="1" applyBorder="1" applyAlignment="1">
      <alignment horizontal="center" vertical="center" wrapText="1"/>
    </xf>
    <xf numFmtId="0" fontId="83" fillId="10" borderId="4" xfId="0" applyFont="1" applyFill="1" applyBorder="1" applyAlignment="1">
      <alignment horizontal="center" vertical="center" wrapText="1"/>
    </xf>
    <xf numFmtId="0" fontId="83" fillId="10" borderId="25" xfId="0" applyFont="1" applyFill="1" applyBorder="1" applyAlignment="1">
      <alignment horizontal="left" vertical="center" wrapText="1"/>
    </xf>
    <xf numFmtId="0" fontId="83" fillId="10" borderId="13" xfId="0" applyFont="1" applyFill="1" applyBorder="1" applyAlignment="1">
      <alignment horizontal="left" vertical="center" wrapText="1"/>
    </xf>
    <xf numFmtId="0" fontId="83" fillId="10" borderId="27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left" vertical="center" wrapText="1"/>
    </xf>
    <xf numFmtId="0" fontId="83" fillId="10" borderId="3" xfId="0" applyFont="1" applyFill="1" applyBorder="1" applyAlignment="1">
      <alignment horizontal="left" vertical="center" wrapText="1"/>
    </xf>
    <xf numFmtId="0" fontId="83" fillId="10" borderId="4" xfId="0" applyFont="1" applyFill="1" applyBorder="1" applyAlignment="1">
      <alignment horizontal="left" vertical="center" wrapText="1"/>
    </xf>
    <xf numFmtId="0" fontId="83" fillId="9" borderId="2" xfId="0" applyFont="1" applyFill="1" applyBorder="1" applyAlignment="1">
      <alignment horizontal="left" vertical="top" wrapText="1"/>
    </xf>
    <xf numFmtId="0" fontId="83" fillId="9" borderId="3" xfId="0" applyFont="1" applyFill="1" applyBorder="1" applyAlignment="1">
      <alignment horizontal="left" vertical="top" wrapText="1"/>
    </xf>
    <xf numFmtId="0" fontId="83" fillId="9" borderId="4" xfId="0" applyFont="1" applyFill="1" applyBorder="1" applyAlignment="1">
      <alignment horizontal="left" vertical="top" wrapText="1"/>
    </xf>
    <xf numFmtId="0" fontId="79" fillId="19" borderId="2" xfId="0" applyFont="1" applyFill="1" applyBorder="1" applyAlignment="1">
      <alignment horizontal="center" vertical="center"/>
    </xf>
    <xf numFmtId="0" fontId="79" fillId="19" borderId="3" xfId="0" applyFont="1" applyFill="1" applyBorder="1" applyAlignment="1">
      <alignment horizontal="center" vertical="center"/>
    </xf>
    <xf numFmtId="0" fontId="79" fillId="19" borderId="4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59" fillId="10" borderId="25" xfId="0" applyFont="1" applyFill="1" applyBorder="1" applyAlignment="1">
      <alignment horizontal="left" vertical="center" wrapText="1"/>
    </xf>
    <xf numFmtId="0" fontId="59" fillId="10" borderId="13" xfId="0" applyFont="1" applyFill="1" applyBorder="1" applyAlignment="1">
      <alignment horizontal="left" vertical="center" wrapText="1"/>
    </xf>
    <xf numFmtId="0" fontId="59" fillId="10" borderId="27" xfId="0" applyFont="1" applyFill="1" applyBorder="1" applyAlignment="1">
      <alignment horizontal="left" vertical="center" wrapText="1"/>
    </xf>
    <xf numFmtId="0" fontId="83" fillId="10" borderId="50" xfId="0" applyFont="1" applyFill="1" applyBorder="1" applyAlignment="1">
      <alignment horizontal="left" vertical="center" wrapText="1"/>
    </xf>
    <xf numFmtId="0" fontId="83" fillId="10" borderId="51" xfId="0" applyFont="1" applyFill="1" applyBorder="1" applyAlignment="1">
      <alignment horizontal="left" vertical="center" wrapText="1"/>
    </xf>
    <xf numFmtId="0" fontId="83" fillId="10" borderId="91" xfId="0" applyFont="1" applyFill="1" applyBorder="1" applyAlignment="1">
      <alignment horizontal="left" vertical="center" wrapText="1"/>
    </xf>
    <xf numFmtId="0" fontId="83" fillId="10" borderId="88" xfId="0" applyFont="1" applyFill="1" applyBorder="1" applyAlignment="1">
      <alignment horizontal="left" vertical="center" wrapText="1"/>
    </xf>
    <xf numFmtId="0" fontId="83" fillId="10" borderId="12" xfId="0" applyFont="1" applyFill="1" applyBorder="1" applyAlignment="1">
      <alignment horizontal="left" vertical="center" wrapText="1"/>
    </xf>
    <xf numFmtId="0" fontId="83" fillId="10" borderId="5" xfId="0" applyFont="1" applyFill="1" applyBorder="1" applyAlignment="1">
      <alignment horizontal="left" vertical="center" wrapText="1"/>
    </xf>
    <xf numFmtId="0" fontId="83" fillId="10" borderId="11" xfId="0" applyFont="1" applyFill="1" applyBorder="1" applyAlignment="1">
      <alignment horizontal="left" vertical="center" wrapText="1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8" fillId="10" borderId="2" xfId="59161" applyFont="1" applyFill="1" applyBorder="1" applyAlignment="1">
      <alignment horizontal="center"/>
    </xf>
    <xf numFmtId="0" fontId="78" fillId="10" borderId="3" xfId="59161" applyFont="1" applyFill="1" applyBorder="1" applyAlignment="1">
      <alignment horizontal="center"/>
    </xf>
    <xf numFmtId="0" fontId="78" fillId="10" borderId="4" xfId="59161" applyFont="1" applyFill="1" applyBorder="1" applyAlignment="1">
      <alignment horizontal="center"/>
    </xf>
    <xf numFmtId="0" fontId="83" fillId="10" borderId="23" xfId="0" applyFont="1" applyFill="1" applyBorder="1" applyAlignment="1">
      <alignment horizontal="left" vertical="center" wrapText="1"/>
    </xf>
    <xf numFmtId="0" fontId="83" fillId="10" borderId="24" xfId="0" applyFont="1" applyFill="1" applyBorder="1" applyAlignment="1">
      <alignment horizontal="left" vertical="center" wrapText="1"/>
    </xf>
    <xf numFmtId="0" fontId="83" fillId="10" borderId="25" xfId="0" applyFont="1" applyFill="1" applyBorder="1" applyAlignment="1">
      <alignment horizontal="left" vertical="center"/>
    </xf>
    <xf numFmtId="0" fontId="83" fillId="10" borderId="13" xfId="0" applyFont="1" applyFill="1" applyBorder="1" applyAlignment="1">
      <alignment horizontal="left" vertical="center"/>
    </xf>
    <xf numFmtId="0" fontId="83" fillId="10" borderId="27" xfId="0" applyFont="1" applyFill="1" applyBorder="1" applyAlignment="1">
      <alignment horizontal="left" vertical="center"/>
    </xf>
    <xf numFmtId="0" fontId="83" fillId="10" borderId="23" xfId="0" applyFont="1" applyFill="1" applyBorder="1" applyAlignment="1">
      <alignment horizontal="left" vertical="center"/>
    </xf>
    <xf numFmtId="0" fontId="83" fillId="10" borderId="5" xfId="0" applyFont="1" applyFill="1" applyBorder="1" applyAlignment="1">
      <alignment horizontal="left" vertical="center"/>
    </xf>
    <xf numFmtId="0" fontId="83" fillId="10" borderId="24" xfId="0" applyFont="1" applyFill="1" applyBorder="1" applyAlignment="1">
      <alignment horizontal="left" vertical="center"/>
    </xf>
    <xf numFmtId="0" fontId="77" fillId="10" borderId="2" xfId="59161" applyFill="1" applyBorder="1" applyAlignment="1">
      <alignment horizontal="center"/>
    </xf>
    <xf numFmtId="0" fontId="77" fillId="10" borderId="3" xfId="59161" applyFill="1" applyBorder="1" applyAlignment="1">
      <alignment horizontal="center"/>
    </xf>
    <xf numFmtId="0" fontId="77" fillId="10" borderId="4" xfId="59161" applyFill="1" applyBorder="1" applyAlignment="1">
      <alignment horizontal="center"/>
    </xf>
    <xf numFmtId="0" fontId="83" fillId="10" borderId="35" xfId="0" applyFont="1" applyFill="1" applyBorder="1" applyAlignment="1">
      <alignment horizontal="left" vertical="center" wrapText="1"/>
    </xf>
    <xf numFmtId="0" fontId="83" fillId="10" borderId="36" xfId="0" applyFont="1" applyFill="1" applyBorder="1" applyAlignment="1">
      <alignment horizontal="left" vertical="center" wrapText="1"/>
    </xf>
    <xf numFmtId="0" fontId="83" fillId="10" borderId="37" xfId="0" applyFont="1" applyFill="1" applyBorder="1" applyAlignment="1">
      <alignment horizontal="left" vertical="center" wrapText="1"/>
    </xf>
    <xf numFmtId="0" fontId="83" fillId="10" borderId="54" xfId="0" applyFont="1" applyFill="1" applyBorder="1" applyAlignment="1">
      <alignment horizontal="left" vertical="center" wrapText="1"/>
    </xf>
    <xf numFmtId="0" fontId="83" fillId="10" borderId="40" xfId="0" applyFont="1" applyFill="1" applyBorder="1" applyAlignment="1">
      <alignment horizontal="left" vertical="center" wrapText="1"/>
    </xf>
    <xf numFmtId="0" fontId="83" fillId="10" borderId="55" xfId="0" applyFont="1" applyFill="1" applyBorder="1" applyAlignment="1">
      <alignment horizontal="left" vertical="center" wrapText="1"/>
    </xf>
    <xf numFmtId="0" fontId="83" fillId="10" borderId="21" xfId="0" applyFont="1" applyFill="1" applyBorder="1" applyAlignment="1">
      <alignment horizontal="left" vertical="center" wrapText="1"/>
    </xf>
    <xf numFmtId="0" fontId="83" fillId="10" borderId="22" xfId="0" applyFont="1" applyFill="1" applyBorder="1" applyAlignment="1">
      <alignment horizontal="left" vertical="center" wrapText="1"/>
    </xf>
    <xf numFmtId="0" fontId="83" fillId="10" borderId="29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83" fillId="10" borderId="49" xfId="0" applyFont="1" applyFill="1" applyBorder="1" applyAlignment="1">
      <alignment horizontal="left" vertical="center" wrapText="1"/>
    </xf>
    <xf numFmtId="0" fontId="83" fillId="10" borderId="15" xfId="0" applyFont="1" applyFill="1" applyBorder="1" applyAlignment="1">
      <alignment horizontal="left" vertical="center" wrapText="1"/>
    </xf>
    <xf numFmtId="0" fontId="83" fillId="10" borderId="28" xfId="0" applyFont="1" applyFill="1" applyBorder="1" applyAlignment="1">
      <alignment horizontal="left" vertical="center" wrapText="1"/>
    </xf>
    <xf numFmtId="0" fontId="59" fillId="10" borderId="47" xfId="0" applyFont="1" applyFill="1" applyBorder="1" applyAlignment="1">
      <alignment horizontal="left" vertical="center" wrapText="1"/>
    </xf>
    <xf numFmtId="0" fontId="59" fillId="10" borderId="30" xfId="0" applyFont="1" applyFill="1" applyBorder="1" applyAlignment="1">
      <alignment horizontal="left" vertical="center" wrapText="1"/>
    </xf>
    <xf numFmtId="0" fontId="59" fillId="10" borderId="46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center"/>
    </xf>
    <xf numFmtId="0" fontId="83" fillId="10" borderId="99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59" fillId="10" borderId="12" xfId="0" applyFont="1" applyFill="1" applyBorder="1" applyAlignment="1">
      <alignment horizontal="left" vertical="center" wrapText="1"/>
    </xf>
    <xf numFmtId="0" fontId="83" fillId="56" borderId="2" xfId="0" applyFont="1" applyFill="1" applyBorder="1" applyAlignment="1">
      <alignment horizontal="left" vertical="center" wrapText="1"/>
    </xf>
    <xf numFmtId="0" fontId="83" fillId="56" borderId="3" xfId="0" applyFont="1" applyFill="1" applyBorder="1" applyAlignment="1">
      <alignment horizontal="left" vertical="center" wrapText="1"/>
    </xf>
    <xf numFmtId="0" fontId="99" fillId="9" borderId="0" xfId="0" applyFont="1" applyFill="1" applyAlignment="1">
      <alignment horizontal="center" vertical="center"/>
    </xf>
    <xf numFmtId="0" fontId="8" fillId="10" borderId="4" xfId="0" applyFont="1" applyFill="1" applyBorder="1" applyAlignment="1">
      <alignment horizontal="left" vertical="center" wrapText="1"/>
    </xf>
    <xf numFmtId="1" fontId="103" fillId="82" borderId="6" xfId="0" applyNumberFormat="1" applyFont="1" applyFill="1" applyBorder="1" applyAlignment="1">
      <alignment horizontal="center" vertical="center"/>
    </xf>
    <xf numFmtId="1" fontId="103" fillId="82" borderId="8" xfId="0" applyNumberFormat="1" applyFont="1" applyFill="1" applyBorder="1" applyAlignment="1">
      <alignment horizontal="center" vertical="center"/>
    </xf>
    <xf numFmtId="0" fontId="102" fillId="80" borderId="11" xfId="0" applyFont="1" applyFill="1" applyBorder="1" applyAlignment="1">
      <alignment horizontal="center" vertical="center" wrapText="1"/>
    </xf>
    <xf numFmtId="0" fontId="102" fillId="80" borderId="13" xfId="0" applyFont="1" applyFill="1" applyBorder="1" applyAlignment="1">
      <alignment horizontal="center" vertical="center" wrapText="1"/>
    </xf>
    <xf numFmtId="0" fontId="102" fillId="80" borderId="12" xfId="0" applyFont="1" applyFill="1" applyBorder="1" applyAlignment="1">
      <alignment horizontal="center" vertical="center" wrapText="1"/>
    </xf>
    <xf numFmtId="1" fontId="103" fillId="81" borderId="95" xfId="0" applyNumberFormat="1" applyFont="1" applyFill="1" applyBorder="1" applyAlignment="1">
      <alignment horizontal="center" vertical="center"/>
    </xf>
    <xf numFmtId="1" fontId="103" fillId="81" borderId="94" xfId="0" applyNumberFormat="1" applyFont="1" applyFill="1" applyBorder="1" applyAlignment="1">
      <alignment horizontal="center" vertical="center"/>
    </xf>
    <xf numFmtId="0" fontId="144" fillId="47" borderId="19" xfId="0" applyFont="1" applyFill="1" applyBorder="1" applyAlignment="1">
      <alignment horizontal="center" vertical="center"/>
    </xf>
    <xf numFmtId="0" fontId="144" fillId="47" borderId="0" xfId="0" applyFont="1" applyFill="1" applyBorder="1" applyAlignment="1">
      <alignment horizontal="center" vertical="center"/>
    </xf>
    <xf numFmtId="0" fontId="144" fillId="47" borderId="41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42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41" xfId="0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41" borderId="94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1" fontId="53" fillId="55" borderId="6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horizontal="center" vertical="center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1" fontId="53" fillId="40" borderId="6" xfId="0" applyNumberFormat="1" applyFont="1" applyFill="1" applyBorder="1" applyAlignment="1">
      <alignment horizontal="center" vertical="center"/>
    </xf>
    <xf numFmtId="1" fontId="53" fillId="40" borderId="7" xfId="0" applyNumberFormat="1" applyFont="1" applyFill="1" applyBorder="1" applyAlignment="1">
      <alignment horizontal="center" vertical="center"/>
    </xf>
    <xf numFmtId="1" fontId="53" fillId="40" borderId="8" xfId="0" applyNumberFormat="1" applyFont="1" applyFill="1" applyBorder="1" applyAlignment="1">
      <alignment horizontal="center" vertical="center"/>
    </xf>
    <xf numFmtId="0" fontId="4" fillId="0" borderId="9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152" fillId="9" borderId="6" xfId="0" applyNumberFormat="1" applyFont="1" applyFill="1" applyBorder="1" applyAlignment="1">
      <alignment horizontal="center" vertical="center"/>
    </xf>
    <xf numFmtId="1" fontId="152" fillId="9" borderId="7" xfId="0" applyNumberFormat="1" applyFont="1" applyFill="1" applyBorder="1" applyAlignment="1">
      <alignment horizontal="center" vertical="center"/>
    </xf>
    <xf numFmtId="1" fontId="152" fillId="9" borderId="8" xfId="0" applyNumberFormat="1" applyFont="1" applyFill="1" applyBorder="1" applyAlignment="1">
      <alignment horizontal="center" vertical="center"/>
    </xf>
    <xf numFmtId="1" fontId="152" fillId="9" borderId="9" xfId="0" applyNumberFormat="1" applyFont="1" applyFill="1" applyBorder="1" applyAlignment="1">
      <alignment horizontal="center" vertical="center"/>
    </xf>
    <xf numFmtId="1" fontId="152" fillId="9" borderId="31" xfId="0" applyNumberFormat="1" applyFont="1" applyFill="1" applyBorder="1" applyAlignment="1">
      <alignment horizontal="center" vertical="center"/>
    </xf>
    <xf numFmtId="1" fontId="152" fillId="9" borderId="10" xfId="0" applyNumberFormat="1" applyFont="1" applyFill="1" applyBorder="1" applyAlignment="1">
      <alignment horizontal="center" vertical="center"/>
    </xf>
    <xf numFmtId="0" fontId="98" fillId="18" borderId="9" xfId="0" applyFont="1" applyFill="1" applyBorder="1" applyAlignment="1">
      <alignment horizontal="center" wrapText="1"/>
    </xf>
    <xf numFmtId="0" fontId="98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144" fillId="41" borderId="2" xfId="0" applyFont="1" applyFill="1" applyBorder="1" applyAlignment="1">
      <alignment horizontal="center" vertical="center"/>
    </xf>
    <xf numFmtId="0" fontId="144" fillId="41" borderId="4" xfId="0" applyFont="1" applyFill="1" applyBorder="1" applyAlignment="1">
      <alignment horizontal="center" vertical="center"/>
    </xf>
    <xf numFmtId="0" fontId="98" fillId="47" borderId="319" xfId="0" applyFont="1" applyFill="1" applyBorder="1" applyAlignment="1">
      <alignment horizontal="center" vertical="center"/>
    </xf>
    <xf numFmtId="0" fontId="98" fillId="47" borderId="31" xfId="0" applyFont="1" applyFill="1" applyBorder="1" applyAlignment="1">
      <alignment horizontal="center" vertical="center"/>
    </xf>
    <xf numFmtId="0" fontId="98" fillId="47" borderId="320" xfId="0" applyFont="1" applyFill="1" applyBorder="1" applyAlignment="1">
      <alignment horizontal="center" vertical="center"/>
    </xf>
    <xf numFmtId="0" fontId="98" fillId="47" borderId="10" xfId="0" applyFont="1" applyFill="1" applyBorder="1" applyAlignment="1">
      <alignment horizontal="center" vertical="center"/>
    </xf>
    <xf numFmtId="1" fontId="103" fillId="81" borderId="6" xfId="0" applyNumberFormat="1" applyFont="1" applyFill="1" applyBorder="1" applyAlignment="1">
      <alignment horizontal="center" vertical="center"/>
    </xf>
    <xf numFmtId="1" fontId="103" fillId="81" borderId="8" xfId="0" applyNumberFormat="1" applyFont="1" applyFill="1" applyBorder="1" applyAlignment="1">
      <alignment horizontal="center" vertical="center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1" fontId="34" fillId="0" borderId="42" xfId="0" applyNumberFormat="1" applyFont="1" applyBorder="1" applyAlignment="1">
      <alignment horizontal="center" vertical="center" wrapText="1"/>
    </xf>
    <xf numFmtId="1" fontId="34" fillId="0" borderId="0" xfId="0" applyNumberFormat="1" applyFont="1" applyBorder="1" applyAlignment="1">
      <alignment horizontal="center" vertical="center" wrapText="1"/>
    </xf>
    <xf numFmtId="1" fontId="34" fillId="0" borderId="20" xfId="0" applyNumberFormat="1" applyFont="1" applyBorder="1" applyAlignment="1">
      <alignment horizontal="center" vertical="center" wrapText="1"/>
    </xf>
    <xf numFmtId="1" fontId="32" fillId="0" borderId="19" xfId="0" applyNumberFormat="1" applyFont="1" applyBorder="1" applyAlignment="1">
      <alignment horizontal="left" vertical="top" wrapText="1"/>
    </xf>
    <xf numFmtId="1" fontId="32" fillId="0" borderId="0" xfId="0" applyNumberFormat="1" applyFont="1" applyBorder="1" applyAlignment="1">
      <alignment horizontal="left" vertical="top" wrapText="1"/>
    </xf>
    <xf numFmtId="1" fontId="32" fillId="0" borderId="41" xfId="0" applyNumberFormat="1" applyFont="1" applyBorder="1" applyAlignment="1">
      <alignment horizontal="left" vertical="top" wrapText="1"/>
    </xf>
    <xf numFmtId="0" fontId="1" fillId="11" borderId="52" xfId="0" applyFont="1" applyFill="1" applyBorder="1" applyAlignment="1">
      <alignment horizontal="center" vertical="center" wrapText="1"/>
    </xf>
    <xf numFmtId="0" fontId="1" fillId="11" borderId="53" xfId="0" applyFont="1" applyFill="1" applyBorder="1" applyAlignment="1">
      <alignment horizontal="center" vertical="center" wrapText="1"/>
    </xf>
    <xf numFmtId="1" fontId="31" fillId="0" borderId="95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" fontId="31" fillId="0" borderId="94" xfId="0" applyNumberFormat="1" applyFont="1" applyBorder="1" applyAlignment="1">
      <alignment horizontal="center" vertical="center"/>
    </xf>
    <xf numFmtId="1" fontId="103" fillId="9" borderId="95" xfId="0" applyNumberFormat="1" applyFont="1" applyFill="1" applyBorder="1" applyAlignment="1">
      <alignment horizontal="center" vertical="center"/>
    </xf>
    <xf numFmtId="1" fontId="103" fillId="9" borderId="94" xfId="0" applyNumberFormat="1" applyFont="1" applyFill="1" applyBorder="1" applyAlignment="1">
      <alignment horizontal="center" vertical="center"/>
    </xf>
    <xf numFmtId="1" fontId="101" fillId="18" borderId="95" xfId="0" applyNumberFormat="1" applyFont="1" applyFill="1" applyBorder="1" applyAlignment="1">
      <alignment horizontal="center" vertical="center" wrapText="1"/>
    </xf>
    <xf numFmtId="1" fontId="101" fillId="18" borderId="3" xfId="0" applyNumberFormat="1" applyFont="1" applyFill="1" applyBorder="1" applyAlignment="1">
      <alignment horizontal="center" vertical="center" wrapText="1"/>
    </xf>
    <xf numFmtId="1" fontId="101" fillId="18" borderId="94" xfId="0" applyNumberFormat="1" applyFont="1" applyFill="1" applyBorder="1" applyAlignment="1">
      <alignment horizontal="center" vertical="center" wrapText="1"/>
    </xf>
    <xf numFmtId="49" fontId="34" fillId="0" borderId="2" xfId="0" applyNumberFormat="1" applyFont="1" applyBorder="1" applyAlignment="1">
      <alignment horizontal="center"/>
    </xf>
    <xf numFmtId="49" fontId="34" fillId="0" borderId="3" xfId="0" applyNumberFormat="1" applyFont="1" applyBorder="1" applyAlignment="1">
      <alignment horizontal="center"/>
    </xf>
    <xf numFmtId="49" fontId="34" fillId="0" borderId="4" xfId="0" applyNumberFormat="1" applyFont="1" applyBorder="1" applyAlignment="1">
      <alignment horizontal="center"/>
    </xf>
    <xf numFmtId="1" fontId="32" fillId="0" borderId="2" xfId="0" applyNumberFormat="1" applyFont="1" applyBorder="1" applyAlignment="1">
      <alignment horizontal="center" vertical="center" wrapText="1"/>
    </xf>
    <xf numFmtId="1" fontId="32" fillId="0" borderId="3" xfId="0" applyNumberFormat="1" applyFont="1" applyBorder="1" applyAlignment="1">
      <alignment horizontal="center" vertical="center" wrapText="1"/>
    </xf>
    <xf numFmtId="1" fontId="32" fillId="0" borderId="94" xfId="0" applyNumberFormat="1" applyFont="1" applyBorder="1" applyAlignment="1">
      <alignment horizontal="center" vertical="center" wrapText="1"/>
    </xf>
    <xf numFmtId="0" fontId="32" fillId="11" borderId="52" xfId="0" applyFont="1" applyFill="1" applyBorder="1" applyAlignment="1">
      <alignment horizontal="center" vertical="center" wrapText="1"/>
    </xf>
    <xf numFmtId="0" fontId="32" fillId="11" borderId="53" xfId="0" applyFont="1" applyFill="1" applyBorder="1" applyAlignment="1">
      <alignment horizontal="center" vertical="center" wrapText="1"/>
    </xf>
    <xf numFmtId="1" fontId="28" fillId="0" borderId="95" xfId="0" applyNumberFormat="1" applyFont="1" applyBorder="1" applyAlignment="1">
      <alignment horizontal="center" vertical="center"/>
    </xf>
    <xf numFmtId="1" fontId="28" fillId="0" borderId="3" xfId="0" applyNumberFormat="1" applyFont="1" applyBorder="1" applyAlignment="1">
      <alignment horizontal="center" vertical="center"/>
    </xf>
    <xf numFmtId="1" fontId="32" fillId="0" borderId="19" xfId="0" applyNumberFormat="1" applyFont="1" applyBorder="1" applyAlignment="1">
      <alignment horizontal="center" vertical="top" wrapText="1"/>
    </xf>
    <xf numFmtId="1" fontId="32" fillId="0" borderId="0" xfId="0" applyNumberFormat="1" applyFont="1" applyBorder="1" applyAlignment="1">
      <alignment horizontal="center" vertical="top" wrapText="1"/>
    </xf>
    <xf numFmtId="1" fontId="32" fillId="0" borderId="41" xfId="0" applyNumberFormat="1" applyFont="1" applyBorder="1" applyAlignment="1">
      <alignment horizontal="center" vertical="top" wrapText="1"/>
    </xf>
    <xf numFmtId="1" fontId="103" fillId="44" borderId="95" xfId="0" applyNumberFormat="1" applyFont="1" applyFill="1" applyBorder="1" applyAlignment="1">
      <alignment horizontal="center" vertical="center"/>
    </xf>
    <xf numFmtId="1" fontId="103" fillId="44" borderId="94" xfId="0" applyNumberFormat="1" applyFont="1" applyFill="1" applyBorder="1" applyAlignment="1">
      <alignment horizontal="center" vertical="center"/>
    </xf>
    <xf numFmtId="0" fontId="32" fillId="11" borderId="95" xfId="0" applyFont="1" applyFill="1" applyBorder="1" applyAlignment="1">
      <alignment horizontal="center" vertical="center" wrapText="1"/>
    </xf>
    <xf numFmtId="0" fontId="32" fillId="11" borderId="9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81" borderId="2" xfId="0" applyFont="1" applyFill="1" applyBorder="1" applyAlignment="1">
      <alignment horizontal="center" vertical="center"/>
    </xf>
    <xf numFmtId="0" fontId="24" fillId="81" borderId="4" xfId="0" applyFont="1" applyFill="1" applyBorder="1" applyAlignment="1">
      <alignment horizontal="center" vertic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0" fontId="28" fillId="47" borderId="321" xfId="0" applyFont="1" applyFill="1" applyBorder="1" applyAlignment="1">
      <alignment horizontal="center" vertic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2" fillId="0" borderId="2" xfId="0" applyFont="1" applyBorder="1" applyAlignment="1">
      <alignment horizontal="center" vertical="center" wrapText="1"/>
    </xf>
    <xf numFmtId="0" fontId="102" fillId="0" borderId="3" xfId="0" applyFont="1" applyBorder="1" applyAlignment="1">
      <alignment horizontal="center" vertical="center" wrapText="1"/>
    </xf>
    <xf numFmtId="0" fontId="102" fillId="0" borderId="94" xfId="0" applyFont="1" applyBorder="1" applyAlignment="1">
      <alignment horizontal="center" vertical="center" wrapText="1"/>
    </xf>
    <xf numFmtId="1" fontId="97" fillId="55" borderId="6" xfId="0" applyNumberFormat="1" applyFont="1" applyFill="1" applyBorder="1" applyAlignment="1">
      <alignment horizontal="center" vertical="center" wrapText="1"/>
    </xf>
    <xf numFmtId="1" fontId="97" fillId="55" borderId="7" xfId="0" applyNumberFormat="1" applyFont="1" applyFill="1" applyBorder="1" applyAlignment="1">
      <alignment horizontal="center" vertical="center" wrapText="1"/>
    </xf>
    <xf numFmtId="1" fontId="97" fillId="55" borderId="8" xfId="0" applyNumberFormat="1" applyFont="1" applyFill="1" applyBorder="1" applyAlignment="1">
      <alignment horizontal="center" vertical="center" wrapText="1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  <xf numFmtId="1" fontId="103" fillId="44" borderId="97" xfId="0" applyNumberFormat="1" applyFont="1" applyFill="1" applyBorder="1" applyAlignment="1">
      <alignment horizontal="center" vertical="center"/>
    </xf>
    <xf numFmtId="1" fontId="103" fillId="44" borderId="48" xfId="0" applyNumberFormat="1" applyFont="1" applyFill="1" applyBorder="1" applyAlignment="1">
      <alignment horizontal="center" vertical="center"/>
    </xf>
    <xf numFmtId="0" fontId="98" fillId="11" borderId="95" xfId="0" applyFont="1" applyFill="1" applyBorder="1" applyAlignment="1">
      <alignment horizontal="center" vertical="center"/>
    </xf>
    <xf numFmtId="0" fontId="98" fillId="11" borderId="3" xfId="0" applyFont="1" applyFill="1" applyBorder="1" applyAlignment="1">
      <alignment horizontal="center" vertical="center"/>
    </xf>
    <xf numFmtId="0" fontId="98" fillId="11" borderId="94" xfId="0" applyFont="1" applyFill="1" applyBorder="1" applyAlignment="1">
      <alignment horizontal="center" vertic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1" fontId="102" fillId="7" borderId="13" xfId="0" applyNumberFormat="1" applyFont="1" applyFill="1" applyBorder="1" applyAlignment="1">
      <alignment horizontal="center" vertical="center" wrapText="1"/>
    </xf>
    <xf numFmtId="1" fontId="102" fillId="7" borderId="12" xfId="0" applyNumberFormat="1" applyFont="1" applyFill="1" applyBorder="1" applyAlignment="1">
      <alignment horizontal="center" vertical="center" wrapText="1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 wrapText="1"/>
    </xf>
    <xf numFmtId="1" fontId="98" fillId="9" borderId="3" xfId="0" applyNumberFormat="1" applyFont="1" applyFill="1" applyBorder="1" applyAlignment="1">
      <alignment horizontal="center" vertical="center" wrapText="1"/>
    </xf>
    <xf numFmtId="1" fontId="98" fillId="9" borderId="4" xfId="0" applyNumberFormat="1" applyFont="1" applyFill="1" applyBorder="1" applyAlignment="1">
      <alignment horizontal="center" vertical="center" wrapText="1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1" fontId="97" fillId="55" borderId="11" xfId="0" applyNumberFormat="1" applyFont="1" applyFill="1" applyBorder="1" applyAlignment="1">
      <alignment horizontal="center" vertical="center" wrapText="1"/>
    </xf>
    <xf numFmtId="1" fontId="97" fillId="55" borderId="13" xfId="0" applyNumberFormat="1" applyFont="1" applyFill="1" applyBorder="1" applyAlignment="1">
      <alignment horizontal="center" vertical="center" wrapText="1"/>
    </xf>
    <xf numFmtId="1" fontId="97" fillId="55" borderId="12" xfId="0" applyNumberFormat="1" applyFont="1" applyFill="1" applyBorder="1" applyAlignment="1">
      <alignment horizontal="center" vertical="center" wrapText="1"/>
    </xf>
    <xf numFmtId="1" fontId="52" fillId="11" borderId="11" xfId="0" applyNumberFormat="1" applyFont="1" applyFill="1" applyBorder="1" applyAlignment="1">
      <alignment horizontal="center" vertical="center" wrapText="1"/>
    </xf>
    <xf numFmtId="1" fontId="52" fillId="11" borderId="13" xfId="0" applyNumberFormat="1" applyFont="1" applyFill="1" applyBorder="1" applyAlignment="1">
      <alignment horizontal="center" vertical="center" wrapText="1"/>
    </xf>
    <xf numFmtId="1" fontId="52" fillId="11" borderId="12" xfId="0" applyNumberFormat="1" applyFont="1" applyFill="1" applyBorder="1" applyAlignment="1">
      <alignment horizontal="center" vertical="center" wrapText="1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1" fillId="41" borderId="2" xfId="0" applyFont="1" applyFill="1" applyBorder="1" applyAlignment="1">
      <alignment horizontal="center" wrapText="1"/>
    </xf>
    <xf numFmtId="0" fontId="101" fillId="41" borderId="3" xfId="0" applyFont="1" applyFill="1" applyBorder="1" applyAlignment="1">
      <alignment horizontal="center" wrapText="1"/>
    </xf>
    <xf numFmtId="0" fontId="101" fillId="41" borderId="4" xfId="0" applyFont="1" applyFill="1" applyBorder="1" applyAlignment="1">
      <alignment horizontal="center" wrapText="1"/>
    </xf>
    <xf numFmtId="0" fontId="33" fillId="81" borderId="96" xfId="0" applyFont="1" applyFill="1" applyBorder="1" applyAlignment="1">
      <alignment horizontal="center" vertical="center"/>
    </xf>
    <xf numFmtId="0" fontId="33" fillId="81" borderId="8" xfId="0" applyFont="1" applyFill="1" applyBorder="1" applyAlignment="1">
      <alignment horizontal="center" vertical="center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0" fontId="34" fillId="57" borderId="9" xfId="0" applyFont="1" applyFill="1" applyBorder="1" applyAlignment="1">
      <alignment horizontal="center"/>
    </xf>
    <xf numFmtId="0" fontId="34" fillId="57" borderId="31" xfId="0" applyFont="1" applyFill="1" applyBorder="1" applyAlignment="1">
      <alignment horizontal="center"/>
    </xf>
    <xf numFmtId="0" fontId="34" fillId="57" borderId="10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75" fillId="55" borderId="11" xfId="0" applyFont="1" applyFill="1" applyBorder="1" applyAlignment="1">
      <alignment horizontal="center"/>
    </xf>
    <xf numFmtId="0" fontId="75" fillId="55" borderId="13" xfId="0" applyFont="1" applyFill="1" applyBorder="1" applyAlignment="1">
      <alignment horizontal="center"/>
    </xf>
    <xf numFmtId="0" fontId="75" fillId="55" borderId="12" xfId="0" applyFont="1" applyFill="1" applyBorder="1" applyAlignment="1">
      <alignment horizontal="center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0" fontId="75" fillId="47" borderId="11" xfId="0" applyFont="1" applyFill="1" applyBorder="1" applyAlignment="1">
      <alignment horizontal="center"/>
    </xf>
    <xf numFmtId="0" fontId="75" fillId="47" borderId="13" xfId="0" applyFont="1" applyFill="1" applyBorder="1" applyAlignment="1">
      <alignment horizontal="center"/>
    </xf>
    <xf numFmtId="0" fontId="75" fillId="47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1" fontId="97" fillId="9" borderId="6" xfId="0" applyNumberFormat="1" applyFont="1" applyFill="1" applyBorder="1" applyAlignment="1">
      <alignment horizontal="center" vertical="center" wrapText="1"/>
    </xf>
    <xf numFmtId="1" fontId="97" fillId="9" borderId="7" xfId="0" applyNumberFormat="1" applyFont="1" applyFill="1" applyBorder="1" applyAlignment="1">
      <alignment horizontal="center" vertical="center" wrapText="1"/>
    </xf>
    <xf numFmtId="1" fontId="97" fillId="9" borderId="8" xfId="0" applyNumberFormat="1" applyFont="1" applyFill="1" applyBorder="1" applyAlignment="1">
      <alignment horizontal="center" vertical="center" wrapText="1"/>
    </xf>
    <xf numFmtId="1" fontId="97" fillId="55" borderId="9" xfId="0" applyNumberFormat="1" applyFont="1" applyFill="1" applyBorder="1" applyAlignment="1">
      <alignment horizontal="center" vertical="center" wrapText="1"/>
    </xf>
    <xf numFmtId="1" fontId="97" fillId="55" borderId="31" xfId="0" applyNumberFormat="1" applyFont="1" applyFill="1" applyBorder="1" applyAlignment="1">
      <alignment horizontal="center" vertical="center" wrapText="1"/>
    </xf>
    <xf numFmtId="1" fontId="97" fillId="55" borderId="10" xfId="0" applyNumberFormat="1" applyFont="1" applyFill="1" applyBorder="1" applyAlignment="1">
      <alignment horizontal="center" vertical="center" wrapText="1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53" fillId="0" borderId="11" xfId="0" applyFont="1" applyBorder="1" applyAlignment="1">
      <alignment horizontal="center"/>
    </xf>
    <xf numFmtId="0" fontId="53" fillId="0" borderId="13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1" fontId="32" fillId="10" borderId="5" xfId="0" applyNumberFormat="1" applyFont="1" applyFill="1" applyBorder="1" applyAlignment="1">
      <alignment horizontal="center" vertical="center"/>
    </xf>
    <xf numFmtId="0" fontId="138" fillId="0" borderId="11" xfId="0" applyFont="1" applyBorder="1" applyAlignment="1">
      <alignment horizontal="center"/>
    </xf>
    <xf numFmtId="0" fontId="138" fillId="0" borderId="13" xfId="0" applyFont="1" applyBorder="1" applyAlignment="1">
      <alignment horizontal="center"/>
    </xf>
    <xf numFmtId="0" fontId="138" fillId="0" borderId="12" xfId="0" applyFont="1" applyBorder="1" applyAlignment="1">
      <alignment horizontal="center"/>
    </xf>
    <xf numFmtId="0" fontId="99" fillId="0" borderId="11" xfId="0" applyFont="1" applyBorder="1" applyAlignment="1">
      <alignment horizontal="center"/>
    </xf>
    <xf numFmtId="0" fontId="99" fillId="0" borderId="13" xfId="0" applyFont="1" applyBorder="1" applyAlignment="1">
      <alignment horizontal="center"/>
    </xf>
    <xf numFmtId="1" fontId="139" fillId="0" borderId="6" xfId="0" applyNumberFormat="1" applyFont="1" applyBorder="1" applyAlignment="1">
      <alignment horizontal="center"/>
    </xf>
    <xf numFmtId="1" fontId="139" fillId="0" borderId="7" xfId="0" applyNumberFormat="1" applyFont="1" applyBorder="1" applyAlignment="1">
      <alignment horizontal="center"/>
    </xf>
    <xf numFmtId="1" fontId="139" fillId="0" borderId="8" xfId="0" applyNumberFormat="1" applyFont="1" applyBorder="1" applyAlignment="1">
      <alignment horizontal="center"/>
    </xf>
    <xf numFmtId="1" fontId="139" fillId="0" borderId="9" xfId="0" applyNumberFormat="1" applyFont="1" applyBorder="1" applyAlignment="1">
      <alignment horizontal="center"/>
    </xf>
    <xf numFmtId="1" fontId="139" fillId="0" borderId="31" xfId="0" applyNumberFormat="1" applyFont="1" applyBorder="1" applyAlignment="1">
      <alignment horizontal="center"/>
    </xf>
    <xf numFmtId="1" fontId="139" fillId="0" borderId="10" xfId="0" applyNumberFormat="1" applyFont="1" applyBorder="1" applyAlignment="1">
      <alignment horizont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0" fontId="52" fillId="10" borderId="5" xfId="0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1" fontId="51" fillId="55" borderId="9" xfId="0" applyNumberFormat="1" applyFont="1" applyFill="1" applyBorder="1" applyAlignment="1">
      <alignment horizontal="center" vertical="center"/>
    </xf>
    <xf numFmtId="1" fontId="51" fillId="55" borderId="31" xfId="0" applyNumberFormat="1" applyFont="1" applyFill="1" applyBorder="1" applyAlignment="1">
      <alignment horizontal="center" vertical="center"/>
    </xf>
    <xf numFmtId="1" fontId="51" fillId="55" borderId="10" xfId="0" applyNumberFormat="1" applyFont="1" applyFill="1" applyBorder="1" applyAlignment="1">
      <alignment horizontal="center" vertical="center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1" fontId="101" fillId="7" borderId="11" xfId="0" applyNumberFormat="1" applyFont="1" applyFill="1" applyBorder="1" applyAlignment="1">
      <alignment horizontal="center" vertical="center"/>
    </xf>
    <xf numFmtId="1" fontId="101" fillId="7" borderId="13" xfId="0" applyNumberFormat="1" applyFont="1" applyFill="1" applyBorder="1" applyAlignment="1">
      <alignment horizontal="center" vertical="center"/>
    </xf>
    <xf numFmtId="1" fontId="52" fillId="55" borderId="11" xfId="0" applyNumberFormat="1" applyFont="1" applyFill="1" applyBorder="1" applyAlignment="1">
      <alignment horizontal="center" vertical="center" wrapText="1"/>
    </xf>
    <xf numFmtId="1" fontId="52" fillId="55" borderId="13" xfId="0" applyNumberFormat="1" applyFont="1" applyFill="1" applyBorder="1" applyAlignment="1">
      <alignment horizontal="center" vertical="center" wrapText="1"/>
    </xf>
    <xf numFmtId="1" fontId="52" fillId="55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0" fontId="0" fillId="83" borderId="2" xfId="0" applyFill="1" applyBorder="1" applyAlignment="1">
      <alignment horizontal="center" vertical="center"/>
    </xf>
    <xf numFmtId="0" fontId="0" fillId="83" borderId="3" xfId="0" applyFill="1" applyBorder="1" applyAlignment="1">
      <alignment horizontal="center" vertical="center"/>
    </xf>
    <xf numFmtId="0" fontId="0" fillId="83" borderId="4" xfId="0" applyFill="1" applyBorder="1" applyAlignment="1">
      <alignment horizontal="center" vertical="center"/>
    </xf>
    <xf numFmtId="4" fontId="63" fillId="15" borderId="5" xfId="0" applyNumberFormat="1" applyFont="1" applyFill="1" applyBorder="1" applyAlignment="1">
      <alignment horizontal="center" vertical="center" wrapText="1"/>
    </xf>
    <xf numFmtId="4" fontId="63" fillId="16" borderId="5" xfId="0" applyNumberFormat="1" applyFont="1" applyFill="1" applyBorder="1" applyAlignment="1">
      <alignment horizontal="center" vertical="center" wrapText="1"/>
    </xf>
    <xf numFmtId="4" fontId="63" fillId="0" borderId="5" xfId="0" applyNumberFormat="1" applyFont="1" applyFill="1" applyBorder="1" applyAlignment="1">
      <alignment horizontal="left" vertical="center" wrapText="1"/>
    </xf>
    <xf numFmtId="4" fontId="63" fillId="45" borderId="5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71" fillId="15" borderId="11" xfId="0" applyFont="1" applyFill="1" applyBorder="1" applyAlignment="1">
      <alignment horizontal="center" vertical="center"/>
    </xf>
    <xf numFmtId="0" fontId="71" fillId="15" borderId="13" xfId="0" applyFont="1" applyFill="1" applyBorder="1" applyAlignment="1">
      <alignment horizontal="center" vertical="center"/>
    </xf>
    <xf numFmtId="0" fontId="71" fillId="15" borderId="12" xfId="0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4" fontId="69" fillId="44" borderId="11" xfId="0" applyNumberFormat="1" applyFont="1" applyFill="1" applyBorder="1" applyAlignment="1">
      <alignment horizontal="center" vertical="center" wrapText="1"/>
    </xf>
    <xf numFmtId="4" fontId="69" fillId="44" borderId="27" xfId="0" applyNumberFormat="1" applyFont="1" applyFill="1" applyBorder="1" applyAlignment="1">
      <alignment horizontal="center" vertical="center" wrapText="1"/>
    </xf>
    <xf numFmtId="4" fontId="36" fillId="0" borderId="0" xfId="0" applyNumberFormat="1" applyFont="1" applyFill="1" applyBorder="1" applyAlignment="1">
      <alignment horizontal="center" vertical="center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4" fontId="65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4" fontId="65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98" fillId="7" borderId="16" xfId="0" applyNumberFormat="1" applyFont="1" applyFill="1" applyBorder="1" applyAlignment="1">
      <alignment horizontal="center" vertical="center" wrapText="1"/>
    </xf>
    <xf numFmtId="1" fontId="98" fillId="7" borderId="17" xfId="0" applyNumberFormat="1" applyFont="1" applyFill="1" applyBorder="1" applyAlignment="1">
      <alignment horizontal="center" vertical="center" wrapText="1"/>
    </xf>
    <xf numFmtId="1" fontId="98" fillId="7" borderId="48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9" borderId="48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8" fillId="7" borderId="42" xfId="0" applyNumberFormat="1" applyFont="1" applyFill="1" applyBorder="1" applyAlignment="1">
      <alignment horizontal="center" vertical="center" wrapText="1"/>
    </xf>
    <xf numFmtId="1" fontId="98" fillId="7" borderId="0" xfId="0" applyNumberFormat="1" applyFont="1" applyFill="1" applyBorder="1" applyAlignment="1">
      <alignment horizontal="center" vertical="center" wrapText="1"/>
    </xf>
    <xf numFmtId="1" fontId="98" fillId="7" borderId="41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0" fillId="9" borderId="41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1" fontId="98" fillId="7" borderId="97" xfId="0" applyNumberFormat="1" applyFont="1" applyFill="1" applyBorder="1" applyAlignment="1">
      <alignment horizontal="center" vertic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8" fillId="18" borderId="42" xfId="0" applyFont="1" applyFill="1" applyBorder="1" applyAlignment="1">
      <alignment horizontal="center" wrapText="1"/>
    </xf>
    <xf numFmtId="0" fontId="98" fillId="18" borderId="0" xfId="0" applyFont="1" applyFill="1" applyBorder="1" applyAlignment="1">
      <alignment horizontal="center" wrapText="1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8" fillId="18" borderId="6" xfId="0" applyFont="1" applyFill="1" applyBorder="1" applyAlignment="1">
      <alignment horizontal="center" vertical="center" wrapText="1"/>
    </xf>
    <xf numFmtId="0" fontId="98" fillId="18" borderId="8" xfId="0" applyFont="1" applyFill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vertical="center" wrapText="1"/>
    </xf>
    <xf numFmtId="0" fontId="98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1" fontId="103" fillId="62" borderId="51" xfId="0" applyNumberFormat="1" applyFont="1" applyFill="1" applyBorder="1" applyAlignment="1">
      <alignment horizontal="center" vertical="center"/>
    </xf>
    <xf numFmtId="1" fontId="103" fillId="62" borderId="53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85"/>
  <sheetViews>
    <sheetView zoomScale="70" zoomScaleNormal="70" workbookViewId="0">
      <selection sqref="A1:XFD1048576"/>
    </sheetView>
  </sheetViews>
  <sheetFormatPr defaultColWidth="9.109375" defaultRowHeight="15" customHeight="1" outlineLevelRow="2" outlineLevelCol="1"/>
  <cols>
    <col min="1" max="1" width="67" style="66" customWidth="1"/>
    <col min="2" max="5" width="12.88671875" style="66" customWidth="1"/>
    <col min="6" max="8" width="14.109375" style="66" customWidth="1"/>
    <col min="9" max="15" width="14" style="66" customWidth="1"/>
    <col min="16" max="16" width="13.88671875" style="66" customWidth="1"/>
    <col min="17" max="18" width="14.5546875" style="66" customWidth="1"/>
    <col min="19" max="19" width="14" style="66" customWidth="1"/>
    <col min="20" max="24" width="16.109375" style="66" customWidth="1"/>
    <col min="25" max="25" width="14" style="66" customWidth="1"/>
    <col min="26" max="26" width="13.88671875" style="66" customWidth="1"/>
    <col min="27" max="29" width="16.109375" style="66" customWidth="1"/>
    <col min="30" max="32" width="18" style="66" customWidth="1"/>
    <col min="33" max="37" width="15.109375" style="66" customWidth="1"/>
    <col min="38" max="38" width="12.44140625" style="66" customWidth="1"/>
    <col min="39" max="40" width="14" style="66" customWidth="1"/>
    <col min="41" max="41" width="13.109375" style="66" customWidth="1"/>
    <col min="42" max="42" width="14" style="66" customWidth="1"/>
    <col min="43" max="43" width="13" style="66" customWidth="1"/>
    <col min="44" max="48" width="13.88671875" style="66" customWidth="1"/>
    <col min="49" max="49" width="14.44140625" style="66" customWidth="1"/>
    <col min="50" max="50" width="13.88671875" style="66" customWidth="1"/>
    <col min="51" max="68" width="14.109375" style="66" customWidth="1"/>
    <col min="69" max="74" width="14.5546875" style="66" customWidth="1"/>
    <col min="75" max="77" width="13.88671875" style="66" customWidth="1"/>
    <col min="78" max="81" width="13.44140625" style="66" customWidth="1"/>
    <col min="82" max="88" width="13.88671875" style="66" customWidth="1"/>
    <col min="89" max="93" width="12.88671875" style="66" customWidth="1"/>
    <col min="94" max="102" width="13" style="66" customWidth="1"/>
    <col min="103" max="103" width="14.44140625" style="66" customWidth="1"/>
    <col min="104" max="104" width="13" style="66" customWidth="1"/>
    <col min="105" max="105" width="13.88671875" style="66" customWidth="1"/>
    <col min="106" max="106" width="12.109375" style="66" customWidth="1"/>
    <col min="107" max="109" width="13.44140625" style="66" customWidth="1"/>
    <col min="110" max="110" width="12.109375" style="66" customWidth="1"/>
    <col min="111" max="111" width="13.109375" style="66" customWidth="1"/>
    <col min="112" max="113" width="12.109375" style="66" customWidth="1"/>
    <col min="114" max="114" width="13.5546875" style="66" customWidth="1"/>
    <col min="115" max="115" width="12.88671875" style="66" customWidth="1"/>
    <col min="116" max="116" width="14.5546875" style="66" customWidth="1"/>
    <col min="117" max="117" width="12.88671875" style="66" customWidth="1"/>
    <col min="118" max="118" width="15" style="66" customWidth="1"/>
    <col min="119" max="119" width="15.5546875" style="66" customWidth="1"/>
    <col min="120" max="120" width="14" style="66" customWidth="1"/>
    <col min="121" max="121" width="17.88671875" style="66" customWidth="1"/>
    <col min="122" max="122" width="13.5546875" style="66" customWidth="1"/>
    <col min="123" max="123" width="11" style="66" customWidth="1"/>
    <col min="124" max="124" width="15.88671875" style="66" customWidth="1"/>
    <col min="125" max="125" width="10.88671875" style="66" customWidth="1"/>
    <col min="126" max="126" width="15.44140625" style="66" customWidth="1"/>
    <col min="127" max="127" width="13.88671875" style="66" customWidth="1"/>
    <col min="128" max="128" width="62.88671875" style="66" customWidth="1"/>
    <col min="129" max="129" width="10.109375" style="66" customWidth="1" outlineLevel="1"/>
    <col min="130" max="134" width="9.109375" style="66" customWidth="1"/>
    <col min="135" max="16384" width="9.109375" style="66"/>
  </cols>
  <sheetData>
    <row r="1" spans="1:129" ht="17.100000000000001" customHeight="1" thickBot="1">
      <c r="A1" s="539" t="s">
        <v>499</v>
      </c>
      <c r="B1" s="540">
        <v>44222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1"/>
      <c r="Q1" s="542"/>
      <c r="R1" s="542"/>
      <c r="S1" s="542"/>
      <c r="T1" s="543"/>
      <c r="U1" s="542"/>
      <c r="V1" s="542"/>
      <c r="W1" s="542"/>
      <c r="X1" s="542"/>
      <c r="Y1" s="542"/>
      <c r="Z1" s="542"/>
      <c r="AA1" s="544"/>
      <c r="AB1" s="544"/>
      <c r="AC1" s="544"/>
      <c r="AD1" s="544"/>
      <c r="AE1" s="544"/>
      <c r="AF1" s="544"/>
      <c r="AG1" s="544"/>
      <c r="AH1" s="544"/>
      <c r="AI1" s="544"/>
      <c r="AJ1" s="544"/>
      <c r="AK1" s="544"/>
      <c r="AL1" s="544"/>
      <c r="AM1" s="544"/>
      <c r="AN1" s="544"/>
      <c r="AO1" s="545"/>
      <c r="AP1" s="545"/>
      <c r="AQ1" s="544"/>
      <c r="AR1" s="544"/>
      <c r="AS1" s="544"/>
      <c r="AT1" s="544"/>
      <c r="AU1" s="544"/>
      <c r="AV1" s="544"/>
      <c r="AW1" s="546"/>
      <c r="AX1" s="544"/>
      <c r="AY1" s="544"/>
      <c r="AZ1" s="544"/>
      <c r="BA1" s="544"/>
      <c r="BB1" s="544"/>
      <c r="BC1" s="544"/>
      <c r="BD1" s="544"/>
      <c r="BE1" s="544"/>
      <c r="BF1" s="544"/>
      <c r="BG1" s="544"/>
      <c r="BH1" s="544"/>
      <c r="BI1" s="544"/>
      <c r="BJ1" s="544"/>
      <c r="BK1" s="544"/>
      <c r="BL1" s="544"/>
      <c r="BM1" s="544"/>
      <c r="BN1" s="544"/>
      <c r="BO1" s="544"/>
      <c r="BP1" s="544"/>
      <c r="BQ1" s="544"/>
      <c r="BR1" s="174"/>
      <c r="BS1" s="174"/>
      <c r="BT1" s="174"/>
      <c r="BV1" s="544"/>
      <c r="BW1" s="544"/>
      <c r="BX1" s="544"/>
      <c r="BY1" s="544"/>
      <c r="BZ1" s="544"/>
      <c r="CA1" s="544"/>
      <c r="CB1" s="544"/>
      <c r="CC1" s="544"/>
      <c r="CD1" s="545"/>
      <c r="CE1" s="545"/>
      <c r="CF1" s="545"/>
      <c r="CG1" s="545"/>
      <c r="CH1" s="545"/>
      <c r="CI1" s="545"/>
      <c r="CJ1" s="545"/>
      <c r="CK1" s="544"/>
      <c r="CL1" s="544"/>
      <c r="CM1" s="544"/>
      <c r="CN1" s="544"/>
      <c r="CO1" s="544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47"/>
      <c r="DA1" s="548"/>
      <c r="DB1" s="548"/>
      <c r="DC1" s="548"/>
      <c r="DD1" s="548"/>
      <c r="DE1" s="548"/>
      <c r="DF1" s="548"/>
      <c r="DG1" s="548"/>
      <c r="DH1" s="548"/>
      <c r="DI1" s="547"/>
      <c r="DJ1" s="544"/>
      <c r="DK1" s="544"/>
      <c r="DL1" s="544"/>
      <c r="DM1" s="544"/>
      <c r="DN1" s="544"/>
      <c r="DO1" s="544"/>
      <c r="DP1" s="544"/>
      <c r="DQ1" s="544"/>
      <c r="DR1" s="174"/>
      <c r="DS1" s="174"/>
      <c r="DT1" s="174"/>
      <c r="DU1" s="174"/>
      <c r="DV1" s="174"/>
      <c r="DW1" s="549"/>
      <c r="DX1" s="550"/>
      <c r="DY1" s="14"/>
    </row>
    <row r="2" spans="1:129" s="557" customFormat="1" ht="23.1" customHeight="1" thickTop="1" thickBot="1">
      <c r="A2" s="551" t="s">
        <v>500</v>
      </c>
      <c r="B2" s="1876" t="s">
        <v>80</v>
      </c>
      <c r="C2" s="1877"/>
      <c r="D2" s="1877"/>
      <c r="E2" s="1877"/>
      <c r="F2" s="1877"/>
      <c r="G2" s="1877"/>
      <c r="H2" s="1877"/>
      <c r="I2" s="1878"/>
      <c r="J2" s="1876" t="s">
        <v>501</v>
      </c>
      <c r="K2" s="1877"/>
      <c r="L2" s="1877"/>
      <c r="M2" s="1877"/>
      <c r="N2" s="1877"/>
      <c r="O2" s="1877"/>
      <c r="P2" s="1877"/>
      <c r="Q2" s="1879" t="s">
        <v>502</v>
      </c>
      <c r="R2" s="1880"/>
      <c r="S2" s="1880"/>
      <c r="T2" s="552" t="s">
        <v>503</v>
      </c>
      <c r="U2" s="1880" t="s">
        <v>504</v>
      </c>
      <c r="V2" s="1880"/>
      <c r="W2" s="1880"/>
      <c r="X2" s="1880"/>
      <c r="Y2" s="1867"/>
      <c r="Z2" s="1868"/>
      <c r="AA2" s="1869" t="s">
        <v>505</v>
      </c>
      <c r="AB2" s="1869"/>
      <c r="AC2" s="1869"/>
      <c r="AD2" s="1869"/>
      <c r="AE2" s="1869"/>
      <c r="AF2" s="1869"/>
      <c r="AG2" s="1869"/>
      <c r="AH2" s="1869"/>
      <c r="AI2" s="1869"/>
      <c r="AJ2" s="1869"/>
      <c r="AK2" s="1869"/>
      <c r="AL2" s="1869"/>
      <c r="AM2" s="1869"/>
      <c r="AN2" s="1869"/>
      <c r="AO2" s="1869"/>
      <c r="AP2" s="1869"/>
      <c r="AQ2" s="1869"/>
      <c r="AR2" s="1870"/>
      <c r="AS2" s="1871"/>
      <c r="AT2" s="1871"/>
      <c r="AU2" s="1871"/>
      <c r="AV2" s="1872"/>
      <c r="AW2" s="1860" t="s">
        <v>506</v>
      </c>
      <c r="AX2" s="1860"/>
      <c r="AY2" s="1873" t="s">
        <v>507</v>
      </c>
      <c r="AZ2" s="1874"/>
      <c r="BA2" s="1874"/>
      <c r="BB2" s="1874"/>
      <c r="BC2" s="1874"/>
      <c r="BD2" s="1874"/>
      <c r="BE2" s="1874"/>
      <c r="BF2" s="1874"/>
      <c r="BG2" s="1874"/>
      <c r="BH2" s="1874"/>
      <c r="BI2" s="1874"/>
      <c r="BJ2" s="1874"/>
      <c r="BK2" s="1875"/>
      <c r="BL2" s="553" t="s">
        <v>508</v>
      </c>
      <c r="BM2" s="1856" t="s">
        <v>509</v>
      </c>
      <c r="BN2" s="1856"/>
      <c r="BO2" s="1856"/>
      <c r="BP2" s="1856"/>
      <c r="BQ2" s="1856"/>
      <c r="BR2" s="1856"/>
      <c r="BS2" s="1856"/>
      <c r="BT2" s="1856"/>
      <c r="BU2" s="1856"/>
      <c r="BV2" s="1857"/>
      <c r="BW2" s="1858" t="s">
        <v>16</v>
      </c>
      <c r="BX2" s="1858"/>
      <c r="BY2" s="1858"/>
      <c r="BZ2" s="1858"/>
      <c r="CA2" s="1858"/>
      <c r="CB2" s="1858"/>
      <c r="CC2" s="1858"/>
      <c r="CD2" s="1858"/>
      <c r="CE2" s="1858"/>
      <c r="CF2" s="1858"/>
      <c r="CG2" s="1858"/>
      <c r="CH2" s="1858"/>
      <c r="CI2" s="1858"/>
      <c r="CJ2" s="1858"/>
      <c r="CK2" s="1858"/>
      <c r="CL2" s="1858"/>
      <c r="CM2" s="1858"/>
      <c r="CN2" s="1858"/>
      <c r="CO2" s="1858"/>
      <c r="CP2" s="554" t="s">
        <v>4</v>
      </c>
      <c r="CQ2" s="554" t="s">
        <v>4</v>
      </c>
      <c r="CR2" s="1859" t="s">
        <v>510</v>
      </c>
      <c r="CS2" s="1860"/>
      <c r="CT2" s="1860"/>
      <c r="CU2" s="1861"/>
      <c r="CV2" s="1861"/>
      <c r="CW2" s="1862"/>
      <c r="CX2" s="1863" t="s">
        <v>57</v>
      </c>
      <c r="CY2" s="1860"/>
      <c r="CZ2" s="1864"/>
      <c r="DA2" s="1865" t="s">
        <v>3</v>
      </c>
      <c r="DB2" s="1866"/>
      <c r="DC2" s="1866"/>
      <c r="DD2" s="1866"/>
      <c r="DE2" s="1866"/>
      <c r="DF2" s="1866"/>
      <c r="DG2" s="1866"/>
      <c r="DH2" s="1866"/>
      <c r="DI2" s="1866"/>
      <c r="DJ2" s="1583" t="s">
        <v>68</v>
      </c>
      <c r="DK2" s="1584"/>
      <c r="DL2" s="1584"/>
      <c r="DM2" s="1584"/>
      <c r="DN2" s="1584"/>
      <c r="DO2" s="1584"/>
      <c r="DP2" s="1584"/>
      <c r="DQ2" s="555" t="s">
        <v>511</v>
      </c>
      <c r="DR2" s="1847" t="s">
        <v>512</v>
      </c>
      <c r="DS2" s="1848"/>
      <c r="DT2" s="1848"/>
      <c r="DU2" s="1848"/>
      <c r="DV2" s="1849"/>
      <c r="DW2" s="1850" t="s">
        <v>165</v>
      </c>
      <c r="DX2" s="556" t="s">
        <v>500</v>
      </c>
    </row>
    <row r="3" spans="1:129" s="557" customFormat="1" ht="27" thickTop="1">
      <c r="A3" s="558" t="s">
        <v>513</v>
      </c>
      <c r="B3" s="559" t="s">
        <v>80</v>
      </c>
      <c r="C3" s="560" t="s">
        <v>80</v>
      </c>
      <c r="D3" s="560" t="s">
        <v>80</v>
      </c>
      <c r="E3" s="560" t="s">
        <v>80</v>
      </c>
      <c r="F3" s="560" t="s">
        <v>80</v>
      </c>
      <c r="G3" s="560" t="s">
        <v>80</v>
      </c>
      <c r="H3" s="560" t="s">
        <v>80</v>
      </c>
      <c r="I3" s="560" t="s">
        <v>80</v>
      </c>
      <c r="J3" s="561" t="s">
        <v>514</v>
      </c>
      <c r="K3" s="562" t="s">
        <v>514</v>
      </c>
      <c r="L3" s="562" t="s">
        <v>514</v>
      </c>
      <c r="M3" s="562" t="s">
        <v>514</v>
      </c>
      <c r="N3" s="143" t="s">
        <v>163</v>
      </c>
      <c r="O3" s="563" t="s">
        <v>515</v>
      </c>
      <c r="P3" s="564" t="s">
        <v>16</v>
      </c>
      <c r="Q3" s="288" t="s">
        <v>82</v>
      </c>
      <c r="R3" s="288" t="s">
        <v>82</v>
      </c>
      <c r="S3" s="565" t="s">
        <v>82</v>
      </c>
      <c r="T3" s="566" t="s">
        <v>82</v>
      </c>
      <c r="U3" s="567" t="s">
        <v>82</v>
      </c>
      <c r="V3" s="565" t="s">
        <v>82</v>
      </c>
      <c r="W3" s="565" t="s">
        <v>82</v>
      </c>
      <c r="X3" s="565" t="s">
        <v>82</v>
      </c>
      <c r="Y3" s="568" t="s">
        <v>82</v>
      </c>
      <c r="Z3" s="568" t="s">
        <v>83</v>
      </c>
      <c r="AA3" s="290" t="s">
        <v>83</v>
      </c>
      <c r="AB3" s="290" t="s">
        <v>83</v>
      </c>
      <c r="AC3" s="290" t="s">
        <v>83</v>
      </c>
      <c r="AD3" s="290" t="s">
        <v>83</v>
      </c>
      <c r="AE3" s="290" t="s">
        <v>83</v>
      </c>
      <c r="AF3" s="290" t="s">
        <v>83</v>
      </c>
      <c r="AG3" s="290" t="s">
        <v>83</v>
      </c>
      <c r="AH3" s="290" t="s">
        <v>83</v>
      </c>
      <c r="AI3" s="290" t="s">
        <v>83</v>
      </c>
      <c r="AJ3" s="290" t="s">
        <v>83</v>
      </c>
      <c r="AK3" s="290" t="s">
        <v>83</v>
      </c>
      <c r="AL3" s="290" t="s">
        <v>83</v>
      </c>
      <c r="AM3" s="291" t="s">
        <v>83</v>
      </c>
      <c r="AN3" s="291" t="s">
        <v>83</v>
      </c>
      <c r="AO3" s="291" t="s">
        <v>83</v>
      </c>
      <c r="AP3" s="291" t="s">
        <v>83</v>
      </c>
      <c r="AQ3" s="292" t="s">
        <v>83</v>
      </c>
      <c r="AR3" s="569" t="s">
        <v>89</v>
      </c>
      <c r="AS3" s="293" t="s">
        <v>89</v>
      </c>
      <c r="AT3" s="294" t="s">
        <v>89</v>
      </c>
      <c r="AU3" s="294" t="s">
        <v>89</v>
      </c>
      <c r="AV3" s="295" t="s">
        <v>89</v>
      </c>
      <c r="AW3" s="570" t="s">
        <v>506</v>
      </c>
      <c r="AX3" s="296" t="s">
        <v>506</v>
      </c>
      <c r="AY3" s="571" t="s">
        <v>76</v>
      </c>
      <c r="AZ3" s="571" t="s">
        <v>76</v>
      </c>
      <c r="BA3" s="572" t="s">
        <v>76</v>
      </c>
      <c r="BB3" s="572" t="s">
        <v>76</v>
      </c>
      <c r="BC3" s="572" t="s">
        <v>76</v>
      </c>
      <c r="BD3" s="572" t="s">
        <v>76</v>
      </c>
      <c r="BE3" s="572" t="s">
        <v>76</v>
      </c>
      <c r="BF3" s="572" t="s">
        <v>76</v>
      </c>
      <c r="BG3" s="572" t="s">
        <v>76</v>
      </c>
      <c r="BH3" s="572" t="s">
        <v>76</v>
      </c>
      <c r="BI3" s="572" t="s">
        <v>76</v>
      </c>
      <c r="BJ3" s="572" t="s">
        <v>76</v>
      </c>
      <c r="BK3" s="572" t="s">
        <v>76</v>
      </c>
      <c r="BL3" s="573" t="s">
        <v>508</v>
      </c>
      <c r="BM3" s="299" t="s">
        <v>79</v>
      </c>
      <c r="BN3" s="299" t="s">
        <v>79</v>
      </c>
      <c r="BO3" s="300" t="s">
        <v>79</v>
      </c>
      <c r="BP3" s="300" t="s">
        <v>79</v>
      </c>
      <c r="BQ3" s="300" t="s">
        <v>79</v>
      </c>
      <c r="BR3" s="300" t="s">
        <v>79</v>
      </c>
      <c r="BS3" s="300" t="s">
        <v>79</v>
      </c>
      <c r="BT3" s="300" t="s">
        <v>79</v>
      </c>
      <c r="BU3" s="300" t="s">
        <v>79</v>
      </c>
      <c r="BV3" s="300" t="s">
        <v>79</v>
      </c>
      <c r="BW3" s="301" t="s">
        <v>16</v>
      </c>
      <c r="BX3" s="302" t="s">
        <v>16</v>
      </c>
      <c r="BY3" s="302" t="s">
        <v>16</v>
      </c>
      <c r="BZ3" s="303" t="s">
        <v>16</v>
      </c>
      <c r="CA3" s="303" t="s">
        <v>16</v>
      </c>
      <c r="CB3" s="303" t="s">
        <v>16</v>
      </c>
      <c r="CC3" s="303" t="s">
        <v>16</v>
      </c>
      <c r="CD3" s="304" t="s">
        <v>16</v>
      </c>
      <c r="CE3" s="304" t="s">
        <v>16</v>
      </c>
      <c r="CF3" s="304" t="s">
        <v>16</v>
      </c>
      <c r="CG3" s="304" t="s">
        <v>16</v>
      </c>
      <c r="CH3" s="303" t="s">
        <v>16</v>
      </c>
      <c r="CI3" s="303" t="s">
        <v>16</v>
      </c>
      <c r="CJ3" s="303" t="s">
        <v>16</v>
      </c>
      <c r="CK3" s="303" t="s">
        <v>16</v>
      </c>
      <c r="CL3" s="303" t="s">
        <v>16</v>
      </c>
      <c r="CM3" s="303" t="s">
        <v>16</v>
      </c>
      <c r="CN3" s="303" t="s">
        <v>16</v>
      </c>
      <c r="CO3" s="303" t="s">
        <v>16</v>
      </c>
      <c r="CP3" s="574" t="s">
        <v>4</v>
      </c>
      <c r="CQ3" s="574" t="s">
        <v>4</v>
      </c>
      <c r="CR3" s="575" t="s">
        <v>178</v>
      </c>
      <c r="CS3" s="576" t="s">
        <v>178</v>
      </c>
      <c r="CT3" s="576" t="s">
        <v>178</v>
      </c>
      <c r="CU3" s="576" t="s">
        <v>178</v>
      </c>
      <c r="CV3" s="576" t="s">
        <v>178</v>
      </c>
      <c r="CW3" s="296" t="s">
        <v>178</v>
      </c>
      <c r="CX3" s="307" t="s">
        <v>57</v>
      </c>
      <c r="CY3" s="307" t="s">
        <v>57</v>
      </c>
      <c r="CZ3" s="296" t="s">
        <v>78</v>
      </c>
      <c r="DA3" s="309" t="s">
        <v>3</v>
      </c>
      <c r="DB3" s="310" t="s">
        <v>3</v>
      </c>
      <c r="DC3" s="310" t="s">
        <v>3</v>
      </c>
      <c r="DD3" s="310" t="s">
        <v>3</v>
      </c>
      <c r="DE3" s="310" t="s">
        <v>3</v>
      </c>
      <c r="DF3" s="310" t="s">
        <v>3</v>
      </c>
      <c r="DG3" s="310" t="s">
        <v>3</v>
      </c>
      <c r="DH3" s="310" t="s">
        <v>3</v>
      </c>
      <c r="DI3" s="310" t="s">
        <v>3</v>
      </c>
      <c r="DJ3" s="311" t="s">
        <v>68</v>
      </c>
      <c r="DK3" s="312" t="s">
        <v>68</v>
      </c>
      <c r="DL3" s="312" t="s">
        <v>68</v>
      </c>
      <c r="DM3" s="312" t="s">
        <v>68</v>
      </c>
      <c r="DN3" s="312" t="s">
        <v>68</v>
      </c>
      <c r="DO3" s="312" t="s">
        <v>68</v>
      </c>
      <c r="DP3" s="312" t="s">
        <v>68</v>
      </c>
      <c r="DQ3" s="1805" t="s">
        <v>511</v>
      </c>
      <c r="DR3" s="1852" t="s">
        <v>512</v>
      </c>
      <c r="DS3" s="1853"/>
      <c r="DT3" s="1853"/>
      <c r="DU3" s="1853"/>
      <c r="DV3" s="1854"/>
      <c r="DW3" s="1851"/>
      <c r="DX3" s="558" t="s">
        <v>513</v>
      </c>
      <c r="DY3" s="578"/>
    </row>
    <row r="4" spans="1:129" s="557" customFormat="1" ht="26.4">
      <c r="A4" s="558" t="s">
        <v>74</v>
      </c>
      <c r="B4" s="579" t="s">
        <v>46</v>
      </c>
      <c r="C4" s="313" t="s">
        <v>46</v>
      </c>
      <c r="D4" s="313" t="s">
        <v>46</v>
      </c>
      <c r="E4" s="313" t="s">
        <v>46</v>
      </c>
      <c r="F4" s="313" t="s">
        <v>46</v>
      </c>
      <c r="G4" s="313" t="s">
        <v>88</v>
      </c>
      <c r="H4" s="313" t="s">
        <v>293</v>
      </c>
      <c r="I4" s="313" t="s">
        <v>46</v>
      </c>
      <c r="J4" s="580" t="s">
        <v>46</v>
      </c>
      <c r="K4" s="581" t="s">
        <v>46</v>
      </c>
      <c r="L4" s="581" t="s">
        <v>46</v>
      </c>
      <c r="M4" s="581" t="s">
        <v>46</v>
      </c>
      <c r="N4" s="314" t="s">
        <v>46</v>
      </c>
      <c r="O4" s="582" t="s">
        <v>19</v>
      </c>
      <c r="P4" s="583" t="s">
        <v>20</v>
      </c>
      <c r="Q4" s="315" t="s">
        <v>46</v>
      </c>
      <c r="R4" s="287" t="s">
        <v>294</v>
      </c>
      <c r="S4" s="584" t="s">
        <v>46</v>
      </c>
      <c r="T4" s="585" t="s">
        <v>46</v>
      </c>
      <c r="U4" s="586" t="s">
        <v>46</v>
      </c>
      <c r="V4" s="587" t="s">
        <v>46</v>
      </c>
      <c r="W4" s="1586" t="s">
        <v>293</v>
      </c>
      <c r="X4" s="588" t="s">
        <v>294</v>
      </c>
      <c r="Y4" s="589" t="s">
        <v>46</v>
      </c>
      <c r="Z4" s="589" t="s">
        <v>63</v>
      </c>
      <c r="AA4" s="290" t="s">
        <v>19</v>
      </c>
      <c r="AB4" s="290" t="s">
        <v>19</v>
      </c>
      <c r="AC4" s="290" t="s">
        <v>516</v>
      </c>
      <c r="AD4" s="290" t="s">
        <v>294</v>
      </c>
      <c r="AE4" s="290" t="s">
        <v>293</v>
      </c>
      <c r="AF4" s="290" t="s">
        <v>293</v>
      </c>
      <c r="AG4" s="290" t="s">
        <v>19</v>
      </c>
      <c r="AH4" s="290" t="s">
        <v>19</v>
      </c>
      <c r="AI4" s="290" t="s">
        <v>20</v>
      </c>
      <c r="AJ4" s="290" t="s">
        <v>753</v>
      </c>
      <c r="AK4" s="1809" t="s">
        <v>19</v>
      </c>
      <c r="AL4" s="290" t="s">
        <v>20</v>
      </c>
      <c r="AM4" s="292" t="s">
        <v>20</v>
      </c>
      <c r="AN4" s="292" t="s">
        <v>517</v>
      </c>
      <c r="AO4" s="291" t="s">
        <v>19</v>
      </c>
      <c r="AP4" s="291" t="s">
        <v>19</v>
      </c>
      <c r="AQ4" s="292" t="s">
        <v>174</v>
      </c>
      <c r="AR4" s="569" t="s">
        <v>19</v>
      </c>
      <c r="AS4" s="293" t="s">
        <v>19</v>
      </c>
      <c r="AT4" s="294" t="s">
        <v>19</v>
      </c>
      <c r="AU4" s="294" t="s">
        <v>19</v>
      </c>
      <c r="AV4" s="295" t="s">
        <v>19</v>
      </c>
      <c r="AW4" s="570" t="s">
        <v>166</v>
      </c>
      <c r="AX4" s="296" t="s">
        <v>166</v>
      </c>
      <c r="AY4" s="297" t="s">
        <v>19</v>
      </c>
      <c r="AZ4" s="297" t="s">
        <v>19</v>
      </c>
      <c r="BA4" s="298" t="s">
        <v>20</v>
      </c>
      <c r="BB4" s="298" t="s">
        <v>20</v>
      </c>
      <c r="BC4" s="298" t="s">
        <v>58</v>
      </c>
      <c r="BD4" s="298" t="s">
        <v>293</v>
      </c>
      <c r="BE4" s="298" t="s">
        <v>63</v>
      </c>
      <c r="BF4" s="298" t="s">
        <v>753</v>
      </c>
      <c r="BG4" s="298" t="s">
        <v>493</v>
      </c>
      <c r="BH4" s="298" t="s">
        <v>81</v>
      </c>
      <c r="BI4" s="298" t="s">
        <v>293</v>
      </c>
      <c r="BJ4" s="298" t="s">
        <v>294</v>
      </c>
      <c r="BK4" s="298" t="s">
        <v>19</v>
      </c>
      <c r="BL4" s="573" t="s">
        <v>19</v>
      </c>
      <c r="BM4" s="299" t="s">
        <v>19</v>
      </c>
      <c r="BN4" s="299" t="s">
        <v>19</v>
      </c>
      <c r="BO4" s="300" t="s">
        <v>20</v>
      </c>
      <c r="BP4" s="300" t="s">
        <v>753</v>
      </c>
      <c r="BQ4" s="300" t="s">
        <v>63</v>
      </c>
      <c r="BR4" s="300" t="s">
        <v>81</v>
      </c>
      <c r="BS4" s="300" t="s">
        <v>293</v>
      </c>
      <c r="BT4" s="300" t="s">
        <v>493</v>
      </c>
      <c r="BU4" s="300" t="s">
        <v>58</v>
      </c>
      <c r="BV4" s="316" t="s">
        <v>293</v>
      </c>
      <c r="BW4" s="301" t="s">
        <v>19</v>
      </c>
      <c r="BX4" s="302" t="s">
        <v>19</v>
      </c>
      <c r="BY4" s="302" t="s">
        <v>753</v>
      </c>
      <c r="BZ4" s="303" t="s">
        <v>19</v>
      </c>
      <c r="CA4" s="303" t="s">
        <v>19</v>
      </c>
      <c r="CB4" s="303" t="s">
        <v>19</v>
      </c>
      <c r="CC4" s="303" t="s">
        <v>19</v>
      </c>
      <c r="CD4" s="304" t="s">
        <v>20</v>
      </c>
      <c r="CE4" s="304" t="s">
        <v>20</v>
      </c>
      <c r="CF4" s="304" t="s">
        <v>517</v>
      </c>
      <c r="CG4" s="304" t="s">
        <v>294</v>
      </c>
      <c r="CH4" s="303" t="s">
        <v>293</v>
      </c>
      <c r="CI4" s="303" t="s">
        <v>293</v>
      </c>
      <c r="CJ4" s="303" t="s">
        <v>293</v>
      </c>
      <c r="CK4" s="303" t="s">
        <v>296</v>
      </c>
      <c r="CL4" s="303" t="s">
        <v>516</v>
      </c>
      <c r="CM4" s="303" t="s">
        <v>516</v>
      </c>
      <c r="CN4" s="303" t="s">
        <v>516</v>
      </c>
      <c r="CO4" s="303" t="s">
        <v>88</v>
      </c>
      <c r="CP4" s="574" t="s">
        <v>19</v>
      </c>
      <c r="CQ4" s="574" t="s">
        <v>293</v>
      </c>
      <c r="CR4" s="575" t="s">
        <v>19</v>
      </c>
      <c r="CS4" s="318" t="s">
        <v>293</v>
      </c>
      <c r="CT4" s="318" t="s">
        <v>20</v>
      </c>
      <c r="CU4" s="318" t="s">
        <v>294</v>
      </c>
      <c r="CV4" s="318" t="s">
        <v>517</v>
      </c>
      <c r="CW4" s="296" t="s">
        <v>19</v>
      </c>
      <c r="CX4" s="318" t="s">
        <v>517</v>
      </c>
      <c r="CY4" s="307" t="s">
        <v>20</v>
      </c>
      <c r="CZ4" s="296" t="s">
        <v>19</v>
      </c>
      <c r="DA4" s="309" t="s">
        <v>85</v>
      </c>
      <c r="DB4" s="310" t="s">
        <v>20</v>
      </c>
      <c r="DC4" s="310" t="s">
        <v>20</v>
      </c>
      <c r="DD4" s="310" t="s">
        <v>293</v>
      </c>
      <c r="DE4" s="310" t="s">
        <v>293</v>
      </c>
      <c r="DF4" s="310" t="s">
        <v>294</v>
      </c>
      <c r="DG4" s="310" t="s">
        <v>88</v>
      </c>
      <c r="DH4" s="310" t="s">
        <v>85</v>
      </c>
      <c r="DI4" s="577" t="s">
        <v>516</v>
      </c>
      <c r="DJ4" s="311" t="s">
        <v>46</v>
      </c>
      <c r="DK4" s="319" t="s">
        <v>46</v>
      </c>
      <c r="DL4" s="312" t="s">
        <v>19</v>
      </c>
      <c r="DM4" s="312" t="s">
        <v>19</v>
      </c>
      <c r="DN4" s="312" t="s">
        <v>19</v>
      </c>
      <c r="DO4" s="312" t="s">
        <v>814</v>
      </c>
      <c r="DP4" s="312" t="s">
        <v>814</v>
      </c>
      <c r="DQ4" s="1805"/>
      <c r="DR4" s="590"/>
      <c r="DS4" s="1805"/>
      <c r="DT4" s="1805"/>
      <c r="DU4" s="1805"/>
      <c r="DV4" s="1806"/>
      <c r="DW4" s="1851"/>
      <c r="DX4" s="558" t="s">
        <v>74</v>
      </c>
      <c r="DY4" s="578"/>
    </row>
    <row r="5" spans="1:129" s="557" customFormat="1" ht="95.25" customHeight="1" thickBot="1">
      <c r="A5" s="558" t="s">
        <v>518</v>
      </c>
      <c r="B5" s="591" t="s">
        <v>124</v>
      </c>
      <c r="C5" s="320" t="s">
        <v>131</v>
      </c>
      <c r="D5" s="320" t="s">
        <v>297</v>
      </c>
      <c r="E5" s="320" t="s">
        <v>164</v>
      </c>
      <c r="F5" s="320" t="s">
        <v>106</v>
      </c>
      <c r="G5" s="320" t="s">
        <v>298</v>
      </c>
      <c r="H5" s="320" t="s">
        <v>815</v>
      </c>
      <c r="I5" s="320" t="s">
        <v>107</v>
      </c>
      <c r="J5" s="592" t="s">
        <v>299</v>
      </c>
      <c r="K5" s="593" t="s">
        <v>300</v>
      </c>
      <c r="L5" s="593" t="s">
        <v>406</v>
      </c>
      <c r="M5" s="593" t="s">
        <v>422</v>
      </c>
      <c r="N5" s="321" t="s">
        <v>162</v>
      </c>
      <c r="O5" s="1807" t="s">
        <v>87</v>
      </c>
      <c r="P5" s="323" t="s">
        <v>155</v>
      </c>
      <c r="Q5" s="315" t="s">
        <v>143</v>
      </c>
      <c r="R5" s="287" t="s">
        <v>492</v>
      </c>
      <c r="S5" s="584" t="s">
        <v>788</v>
      </c>
      <c r="T5" s="585" t="s">
        <v>789</v>
      </c>
      <c r="U5" s="586" t="s">
        <v>301</v>
      </c>
      <c r="V5" s="565" t="s">
        <v>302</v>
      </c>
      <c r="W5" s="1587" t="s">
        <v>816</v>
      </c>
      <c r="X5" s="1810" t="s">
        <v>907</v>
      </c>
      <c r="Y5" s="589" t="s">
        <v>790</v>
      </c>
      <c r="Z5" s="589" t="s">
        <v>791</v>
      </c>
      <c r="AA5" s="290" t="s">
        <v>792</v>
      </c>
      <c r="AB5" s="290" t="s">
        <v>303</v>
      </c>
      <c r="AC5" s="290" t="s">
        <v>519</v>
      </c>
      <c r="AD5" s="290" t="s">
        <v>390</v>
      </c>
      <c r="AE5" s="290" t="s">
        <v>817</v>
      </c>
      <c r="AF5" s="290" t="s">
        <v>818</v>
      </c>
      <c r="AG5" s="290" t="s">
        <v>793</v>
      </c>
      <c r="AH5" s="290" t="s">
        <v>480</v>
      </c>
      <c r="AI5" s="290" t="s">
        <v>468</v>
      </c>
      <c r="AJ5" s="1811" t="s">
        <v>846</v>
      </c>
      <c r="AK5" s="1811" t="s">
        <v>784</v>
      </c>
      <c r="AL5" s="290" t="s">
        <v>794</v>
      </c>
      <c r="AM5" s="324" t="s">
        <v>795</v>
      </c>
      <c r="AN5" s="324" t="s">
        <v>474</v>
      </c>
      <c r="AO5" s="291" t="s">
        <v>304</v>
      </c>
      <c r="AP5" s="291" t="s">
        <v>421</v>
      </c>
      <c r="AQ5" s="292" t="s">
        <v>175</v>
      </c>
      <c r="AR5" s="594" t="s">
        <v>796</v>
      </c>
      <c r="AS5" s="595" t="s">
        <v>305</v>
      </c>
      <c r="AT5" s="596" t="s">
        <v>775</v>
      </c>
      <c r="AU5" s="596" t="s">
        <v>306</v>
      </c>
      <c r="AV5" s="597" t="s">
        <v>307</v>
      </c>
      <c r="AW5" s="570" t="s">
        <v>308</v>
      </c>
      <c r="AX5" s="296" t="s">
        <v>167</v>
      </c>
      <c r="AY5" s="297" t="s">
        <v>797</v>
      </c>
      <c r="AZ5" s="297" t="s">
        <v>798</v>
      </c>
      <c r="BA5" s="298" t="s">
        <v>799</v>
      </c>
      <c r="BB5" s="298" t="s">
        <v>800</v>
      </c>
      <c r="BC5" s="298" t="s">
        <v>97</v>
      </c>
      <c r="BD5" s="298" t="s">
        <v>309</v>
      </c>
      <c r="BE5" s="298" t="s">
        <v>146</v>
      </c>
      <c r="BF5" s="298" t="s">
        <v>754</v>
      </c>
      <c r="BG5" s="298" t="s">
        <v>494</v>
      </c>
      <c r="BH5" s="298" t="s">
        <v>905</v>
      </c>
      <c r="BI5" s="298" t="s">
        <v>819</v>
      </c>
      <c r="BJ5" s="298" t="s">
        <v>475</v>
      </c>
      <c r="BK5" s="298" t="s">
        <v>801</v>
      </c>
      <c r="BL5" s="573" t="s">
        <v>310</v>
      </c>
      <c r="BM5" s="299" t="s">
        <v>802</v>
      </c>
      <c r="BN5" s="299" t="s">
        <v>479</v>
      </c>
      <c r="BO5" s="300" t="s">
        <v>803</v>
      </c>
      <c r="BP5" s="300" t="s">
        <v>755</v>
      </c>
      <c r="BQ5" s="300" t="s">
        <v>144</v>
      </c>
      <c r="BR5" s="300" t="s">
        <v>906</v>
      </c>
      <c r="BS5" s="300" t="s">
        <v>820</v>
      </c>
      <c r="BT5" s="300" t="s">
        <v>495</v>
      </c>
      <c r="BU5" s="300" t="s">
        <v>98</v>
      </c>
      <c r="BV5" s="316" t="s">
        <v>311</v>
      </c>
      <c r="BW5" s="301" t="s">
        <v>312</v>
      </c>
      <c r="BX5" s="302" t="s">
        <v>313</v>
      </c>
      <c r="BY5" s="302" t="s">
        <v>756</v>
      </c>
      <c r="BZ5" s="303" t="s">
        <v>417</v>
      </c>
      <c r="CA5" s="303" t="s">
        <v>452</v>
      </c>
      <c r="CB5" s="303" t="s">
        <v>482</v>
      </c>
      <c r="CC5" s="303" t="s">
        <v>483</v>
      </c>
      <c r="CD5" s="304" t="s">
        <v>314</v>
      </c>
      <c r="CE5" s="304" t="s">
        <v>315</v>
      </c>
      <c r="CF5" s="304" t="s">
        <v>473</v>
      </c>
      <c r="CG5" s="304" t="s">
        <v>806</v>
      </c>
      <c r="CH5" s="303" t="s">
        <v>465</v>
      </c>
      <c r="CI5" s="303" t="s">
        <v>821</v>
      </c>
      <c r="CJ5" s="303" t="s">
        <v>822</v>
      </c>
      <c r="CK5" s="303" t="s">
        <v>317</v>
      </c>
      <c r="CL5" s="303" t="s">
        <v>487</v>
      </c>
      <c r="CM5" s="303" t="s">
        <v>488</v>
      </c>
      <c r="CN5" s="303" t="s">
        <v>489</v>
      </c>
      <c r="CO5" s="303" t="s">
        <v>101</v>
      </c>
      <c r="CP5" s="574" t="s">
        <v>419</v>
      </c>
      <c r="CQ5" s="574" t="s">
        <v>823</v>
      </c>
      <c r="CR5" s="575" t="s">
        <v>778</v>
      </c>
      <c r="CS5" s="318" t="s">
        <v>824</v>
      </c>
      <c r="CT5" s="318" t="s">
        <v>176</v>
      </c>
      <c r="CU5" s="318" t="s">
        <v>807</v>
      </c>
      <c r="CV5" s="318" t="s">
        <v>471</v>
      </c>
      <c r="CW5" s="296" t="s">
        <v>418</v>
      </c>
      <c r="CX5" s="296" t="s">
        <v>472</v>
      </c>
      <c r="CY5" s="307" t="s">
        <v>318</v>
      </c>
      <c r="CZ5" s="296" t="s">
        <v>135</v>
      </c>
      <c r="DA5" s="309" t="s">
        <v>420</v>
      </c>
      <c r="DB5" s="310" t="s">
        <v>91</v>
      </c>
      <c r="DC5" s="310" t="s">
        <v>92</v>
      </c>
      <c r="DD5" s="310" t="s">
        <v>466</v>
      </c>
      <c r="DE5" s="310" t="s">
        <v>825</v>
      </c>
      <c r="DF5" s="310" t="s">
        <v>319</v>
      </c>
      <c r="DG5" s="310" t="s">
        <v>96</v>
      </c>
      <c r="DH5" s="577" t="s">
        <v>469</v>
      </c>
      <c r="DI5" s="577" t="s">
        <v>491</v>
      </c>
      <c r="DJ5" s="311" t="s">
        <v>320</v>
      </c>
      <c r="DK5" s="312" t="s">
        <v>321</v>
      </c>
      <c r="DL5" s="319" t="s">
        <v>757</v>
      </c>
      <c r="DM5" s="319" t="s">
        <v>758</v>
      </c>
      <c r="DN5" s="319" t="s">
        <v>759</v>
      </c>
      <c r="DO5" s="319" t="s">
        <v>322</v>
      </c>
      <c r="DP5" s="312" t="s">
        <v>160</v>
      </c>
      <c r="DQ5" s="1805" t="s">
        <v>511</v>
      </c>
      <c r="DR5" s="590" t="s">
        <v>525</v>
      </c>
      <c r="DS5" s="1853" t="s">
        <v>526</v>
      </c>
      <c r="DT5" s="1855"/>
      <c r="DU5" s="1853" t="s">
        <v>527</v>
      </c>
      <c r="DV5" s="1854"/>
      <c r="DW5" s="1851"/>
      <c r="DX5" s="558" t="s">
        <v>518</v>
      </c>
      <c r="DY5" s="578"/>
    </row>
    <row r="6" spans="1:129" outlineLevel="1" thickTop="1">
      <c r="A6" s="598" t="s">
        <v>528</v>
      </c>
      <c r="B6" s="599" t="s">
        <v>529</v>
      </c>
      <c r="C6" s="599" t="s">
        <v>530</v>
      </c>
      <c r="D6" s="599" t="s">
        <v>531</v>
      </c>
      <c r="E6" s="599" t="s">
        <v>532</v>
      </c>
      <c r="F6" s="599" t="s">
        <v>533</v>
      </c>
      <c r="G6" s="599" t="s">
        <v>534</v>
      </c>
      <c r="H6" s="599" t="s">
        <v>826</v>
      </c>
      <c r="I6" s="600" t="s">
        <v>535</v>
      </c>
      <c r="J6" s="599" t="s">
        <v>536</v>
      </c>
      <c r="K6" s="599" t="s">
        <v>537</v>
      </c>
      <c r="L6" s="599" t="s">
        <v>538</v>
      </c>
      <c r="M6" s="599" t="s">
        <v>539</v>
      </c>
      <c r="N6" s="601" t="s">
        <v>541</v>
      </c>
      <c r="O6" s="602" t="s">
        <v>542</v>
      </c>
      <c r="P6" s="600" t="s">
        <v>543</v>
      </c>
      <c r="Q6" s="599">
        <v>3503984</v>
      </c>
      <c r="R6" s="603" t="s">
        <v>544</v>
      </c>
      <c r="S6" s="604" t="s">
        <v>545</v>
      </c>
      <c r="T6" s="605" t="s">
        <v>546</v>
      </c>
      <c r="U6" s="606" t="s">
        <v>547</v>
      </c>
      <c r="V6" s="604" t="s">
        <v>548</v>
      </c>
      <c r="W6" s="604" t="s">
        <v>827</v>
      </c>
      <c r="X6" s="1812" t="s">
        <v>908</v>
      </c>
      <c r="Y6" s="601" t="s">
        <v>550</v>
      </c>
      <c r="Z6" s="599" t="s">
        <v>551</v>
      </c>
      <c r="AA6" s="607" t="s">
        <v>552</v>
      </c>
      <c r="AB6" s="607" t="s">
        <v>553</v>
      </c>
      <c r="AC6" s="607" t="s">
        <v>554</v>
      </c>
      <c r="AD6" s="607" t="s">
        <v>555</v>
      </c>
      <c r="AE6" s="607" t="s">
        <v>828</v>
      </c>
      <c r="AF6" s="607" t="s">
        <v>829</v>
      </c>
      <c r="AG6" s="607" t="s">
        <v>556</v>
      </c>
      <c r="AH6" s="607" t="s">
        <v>557</v>
      </c>
      <c r="AI6" s="607" t="s">
        <v>558</v>
      </c>
      <c r="AJ6" s="1813" t="s">
        <v>847</v>
      </c>
      <c r="AK6" s="1813" t="s">
        <v>785</v>
      </c>
      <c r="AL6" s="607" t="s">
        <v>559</v>
      </c>
      <c r="AM6" s="608" t="s">
        <v>560</v>
      </c>
      <c r="AN6" s="608" t="s">
        <v>561</v>
      </c>
      <c r="AO6" s="609" t="s">
        <v>562</v>
      </c>
      <c r="AP6" s="609" t="s">
        <v>563</v>
      </c>
      <c r="AQ6" s="599" t="s">
        <v>564</v>
      </c>
      <c r="AR6" s="610" t="s">
        <v>565</v>
      </c>
      <c r="AS6" s="610" t="s">
        <v>566</v>
      </c>
      <c r="AT6" s="611" t="s">
        <v>776</v>
      </c>
      <c r="AU6" s="611" t="s">
        <v>567</v>
      </c>
      <c r="AV6" s="612" t="s">
        <v>568</v>
      </c>
      <c r="AW6" s="613" t="s">
        <v>569</v>
      </c>
      <c r="AX6" s="614" t="s">
        <v>570</v>
      </c>
      <c r="AY6" s="615" t="s">
        <v>571</v>
      </c>
      <c r="AZ6" s="615" t="s">
        <v>572</v>
      </c>
      <c r="BA6" s="607" t="s">
        <v>573</v>
      </c>
      <c r="BB6" s="607" t="s">
        <v>574</v>
      </c>
      <c r="BC6" s="599">
        <v>327193010</v>
      </c>
      <c r="BD6" s="603" t="s">
        <v>575</v>
      </c>
      <c r="BE6" s="603" t="s">
        <v>576</v>
      </c>
      <c r="BF6" s="603" t="s">
        <v>760</v>
      </c>
      <c r="BG6" s="603" t="s">
        <v>577</v>
      </c>
      <c r="BH6" s="603" t="s">
        <v>909</v>
      </c>
      <c r="BI6" s="603" t="s">
        <v>830</v>
      </c>
      <c r="BJ6" s="603" t="s">
        <v>578</v>
      </c>
      <c r="BK6" s="603" t="s">
        <v>579</v>
      </c>
      <c r="BL6" s="602" t="s">
        <v>580</v>
      </c>
      <c r="BM6" s="615" t="s">
        <v>581</v>
      </c>
      <c r="BN6" s="615" t="s">
        <v>582</v>
      </c>
      <c r="BO6" s="607" t="s">
        <v>583</v>
      </c>
      <c r="BP6" s="599" t="s">
        <v>761</v>
      </c>
      <c r="BQ6" s="599" t="s">
        <v>584</v>
      </c>
      <c r="BR6" s="599" t="s">
        <v>910</v>
      </c>
      <c r="BS6" s="599" t="s">
        <v>831</v>
      </c>
      <c r="BT6" s="599" t="s">
        <v>585</v>
      </c>
      <c r="BU6" s="599">
        <v>327192013</v>
      </c>
      <c r="BV6" s="599" t="s">
        <v>586</v>
      </c>
      <c r="BW6" s="601" t="s">
        <v>587</v>
      </c>
      <c r="BX6" s="615" t="s">
        <v>588</v>
      </c>
      <c r="BY6" s="615" t="s">
        <v>762</v>
      </c>
      <c r="BZ6" s="607" t="s">
        <v>590</v>
      </c>
      <c r="CA6" s="607" t="s">
        <v>591</v>
      </c>
      <c r="CB6" s="607" t="s">
        <v>592</v>
      </c>
      <c r="CC6" s="607" t="s">
        <v>593</v>
      </c>
      <c r="CD6" s="609" t="s">
        <v>594</v>
      </c>
      <c r="CE6" s="609" t="s">
        <v>595</v>
      </c>
      <c r="CF6" s="609" t="s">
        <v>596</v>
      </c>
      <c r="CG6" s="609" t="s">
        <v>597</v>
      </c>
      <c r="CH6" s="609" t="s">
        <v>598</v>
      </c>
      <c r="CI6" s="609" t="s">
        <v>832</v>
      </c>
      <c r="CJ6" s="609" t="s">
        <v>833</v>
      </c>
      <c r="CK6" s="607" t="s">
        <v>599</v>
      </c>
      <c r="CL6" s="607" t="s">
        <v>600</v>
      </c>
      <c r="CM6" s="607" t="s">
        <v>601</v>
      </c>
      <c r="CN6" s="607" t="s">
        <v>602</v>
      </c>
      <c r="CO6" s="607">
        <v>326635016</v>
      </c>
      <c r="CP6" s="602" t="s">
        <v>603</v>
      </c>
      <c r="CQ6" s="603" t="s">
        <v>834</v>
      </c>
      <c r="CR6" s="616" t="s">
        <v>604</v>
      </c>
      <c r="CS6" s="603" t="s">
        <v>835</v>
      </c>
      <c r="CT6" s="603" t="s">
        <v>605</v>
      </c>
      <c r="CU6" s="617" t="s">
        <v>606</v>
      </c>
      <c r="CV6" s="617" t="s">
        <v>607</v>
      </c>
      <c r="CW6" s="613" t="s">
        <v>608</v>
      </c>
      <c r="CX6" s="613" t="s">
        <v>609</v>
      </c>
      <c r="CY6" s="602" t="s">
        <v>610</v>
      </c>
      <c r="CZ6" s="613" t="s">
        <v>611</v>
      </c>
      <c r="DA6" s="615" t="s">
        <v>612</v>
      </c>
      <c r="DB6" s="615" t="s">
        <v>613</v>
      </c>
      <c r="DC6" s="615" t="s">
        <v>614</v>
      </c>
      <c r="DD6" s="615" t="s">
        <v>615</v>
      </c>
      <c r="DE6" s="615" t="s">
        <v>836</v>
      </c>
      <c r="DF6" s="607" t="s">
        <v>616</v>
      </c>
      <c r="DG6" s="607">
        <v>326636013</v>
      </c>
      <c r="DH6" s="599" t="s">
        <v>617</v>
      </c>
      <c r="DI6" s="603" t="s">
        <v>618</v>
      </c>
      <c r="DJ6" s="601" t="s">
        <v>619</v>
      </c>
      <c r="DK6" s="615" t="s">
        <v>620</v>
      </c>
      <c r="DL6" s="603" t="s">
        <v>763</v>
      </c>
      <c r="DM6" s="603" t="s">
        <v>764</v>
      </c>
      <c r="DN6" s="603" t="s">
        <v>765</v>
      </c>
      <c r="DO6" s="599" t="s">
        <v>621</v>
      </c>
      <c r="DP6" s="599" t="s">
        <v>623</v>
      </c>
      <c r="DQ6" s="603"/>
      <c r="DR6" s="602" t="s">
        <v>624</v>
      </c>
      <c r="DS6" s="1843" t="s">
        <v>625</v>
      </c>
      <c r="DT6" s="1844"/>
      <c r="DU6" s="1845" t="s">
        <v>626</v>
      </c>
      <c r="DV6" s="1846"/>
      <c r="DW6" s="613"/>
      <c r="DX6" s="598" t="s">
        <v>528</v>
      </c>
      <c r="DY6" s="144"/>
    </row>
    <row r="7" spans="1:129" ht="15" customHeight="1">
      <c r="A7" s="637" t="s">
        <v>627</v>
      </c>
      <c r="B7" s="619">
        <v>3.2</v>
      </c>
      <c r="C7" s="619">
        <v>3</v>
      </c>
      <c r="D7" s="619">
        <v>3</v>
      </c>
      <c r="E7" s="619">
        <v>3</v>
      </c>
      <c r="F7" s="619">
        <v>2.96</v>
      </c>
      <c r="G7" s="619">
        <v>6</v>
      </c>
      <c r="H7" s="619">
        <v>3.09</v>
      </c>
      <c r="I7" s="620">
        <v>3</v>
      </c>
      <c r="J7" s="619">
        <v>2.2400000000000002</v>
      </c>
      <c r="K7" s="619">
        <v>2.3199999999999998</v>
      </c>
      <c r="L7" s="619">
        <v>2.3199999999999998</v>
      </c>
      <c r="M7" s="619">
        <v>2.3199999999999998</v>
      </c>
      <c r="N7" s="622">
        <v>3</v>
      </c>
      <c r="O7" s="621">
        <v>2.96</v>
      </c>
      <c r="P7" s="620">
        <v>3</v>
      </c>
      <c r="Q7" s="619">
        <v>2.2400000000000002</v>
      </c>
      <c r="R7" s="619">
        <v>2.39</v>
      </c>
      <c r="S7" s="619">
        <f>8*0.28</f>
        <v>2.2400000000000002</v>
      </c>
      <c r="T7" s="623">
        <f>0.2*9</f>
        <v>1.8</v>
      </c>
      <c r="U7" s="624">
        <v>1.2</v>
      </c>
      <c r="V7" s="619">
        <v>1.35</v>
      </c>
      <c r="W7" s="619">
        <v>1.35</v>
      </c>
      <c r="X7" s="622">
        <v>1.38</v>
      </c>
      <c r="Y7" s="625">
        <f>0.37*6</f>
        <v>2.2199999999999998</v>
      </c>
      <c r="Z7" s="619">
        <f>0.37*6</f>
        <v>2.2199999999999998</v>
      </c>
      <c r="AA7" s="626">
        <f>0.46*8</f>
        <v>3.68</v>
      </c>
      <c r="AB7" s="626">
        <v>1.2</v>
      </c>
      <c r="AC7" s="626">
        <v>1.35</v>
      </c>
      <c r="AD7" s="626">
        <v>1.2</v>
      </c>
      <c r="AE7" s="626">
        <v>1.35</v>
      </c>
      <c r="AF7" s="626">
        <v>2.4500000000000002</v>
      </c>
      <c r="AG7" s="626">
        <f>0.28*8</f>
        <v>2.2400000000000002</v>
      </c>
      <c r="AH7" s="626">
        <f>0.28*8</f>
        <v>2.2400000000000002</v>
      </c>
      <c r="AI7" s="626">
        <v>9.6</v>
      </c>
      <c r="AJ7" s="626">
        <v>2.02</v>
      </c>
      <c r="AK7" s="626">
        <v>9.6</v>
      </c>
      <c r="AL7" s="626">
        <f>0.46*8</f>
        <v>3.68</v>
      </c>
      <c r="AM7" s="627">
        <v>1.8</v>
      </c>
      <c r="AN7" s="627">
        <v>1.8</v>
      </c>
      <c r="AO7" s="628">
        <v>6</v>
      </c>
      <c r="AP7" s="628">
        <v>1.35</v>
      </c>
      <c r="AQ7" s="619">
        <v>9.1999999999999993</v>
      </c>
      <c r="AR7" s="629">
        <f>0.26*8</f>
        <v>2.08</v>
      </c>
      <c r="AS7" s="629">
        <v>1.94</v>
      </c>
      <c r="AT7" s="630">
        <v>1.94</v>
      </c>
      <c r="AU7" s="630">
        <v>1.94</v>
      </c>
      <c r="AV7" s="631">
        <v>1.94</v>
      </c>
      <c r="AW7" s="631">
        <f>4</f>
        <v>4</v>
      </c>
      <c r="AX7" s="632">
        <v>7</v>
      </c>
      <c r="AY7" s="625">
        <v>1</v>
      </c>
      <c r="AZ7" s="625">
        <f>0.125*8</f>
        <v>1</v>
      </c>
      <c r="BA7" s="626">
        <f>0.125*8</f>
        <v>1</v>
      </c>
      <c r="BB7" s="626">
        <v>0.8</v>
      </c>
      <c r="BC7" s="619">
        <v>1.2</v>
      </c>
      <c r="BD7" s="626">
        <v>1.5</v>
      </c>
      <c r="BE7" s="622">
        <v>1.5</v>
      </c>
      <c r="BF7" s="622">
        <v>1.57</v>
      </c>
      <c r="BG7" s="622">
        <v>1.54</v>
      </c>
      <c r="BH7" s="622">
        <v>1.2</v>
      </c>
      <c r="BI7" s="622">
        <v>1.93</v>
      </c>
      <c r="BJ7" s="622">
        <v>1</v>
      </c>
      <c r="BK7" s="622">
        <v>1</v>
      </c>
      <c r="BL7" s="621">
        <f>0.2*8</f>
        <v>1.6</v>
      </c>
      <c r="BM7" s="625">
        <v>1</v>
      </c>
      <c r="BN7" s="625">
        <v>1</v>
      </c>
      <c r="BO7" s="626">
        <f>0.1*8</f>
        <v>0.8</v>
      </c>
      <c r="BP7" s="619">
        <v>1.57</v>
      </c>
      <c r="BQ7" s="619">
        <v>1.5</v>
      </c>
      <c r="BR7" s="619">
        <v>1.2</v>
      </c>
      <c r="BS7" s="619">
        <v>1.93</v>
      </c>
      <c r="BT7" s="619">
        <v>1.54</v>
      </c>
      <c r="BU7" s="619">
        <v>1.2</v>
      </c>
      <c r="BV7" s="619">
        <v>1.5</v>
      </c>
      <c r="BW7" s="633">
        <v>1.5</v>
      </c>
      <c r="BX7" s="625">
        <v>3</v>
      </c>
      <c r="BY7" s="625">
        <v>1.42</v>
      </c>
      <c r="BZ7" s="626">
        <v>1.08</v>
      </c>
      <c r="CA7" s="626">
        <f>6*0.14</f>
        <v>0.84000000000000008</v>
      </c>
      <c r="CB7" s="626">
        <v>1.8</v>
      </c>
      <c r="CC7" s="626">
        <v>2.04</v>
      </c>
      <c r="CD7" s="628">
        <v>3</v>
      </c>
      <c r="CE7" s="628">
        <v>1.2</v>
      </c>
      <c r="CF7" s="628">
        <v>1.2</v>
      </c>
      <c r="CG7" s="628">
        <v>1.08</v>
      </c>
      <c r="CH7" s="628">
        <v>1.5</v>
      </c>
      <c r="CI7" s="628">
        <v>1.42</v>
      </c>
      <c r="CJ7" s="628">
        <v>1.42</v>
      </c>
      <c r="CK7" s="628">
        <v>1.2</v>
      </c>
      <c r="CL7" s="628">
        <v>1.42</v>
      </c>
      <c r="CM7" s="628">
        <v>1.42</v>
      </c>
      <c r="CN7" s="628">
        <v>1.42</v>
      </c>
      <c r="CO7" s="626">
        <v>1.5</v>
      </c>
      <c r="CP7" s="621">
        <v>3</v>
      </c>
      <c r="CQ7" s="622">
        <v>1.72</v>
      </c>
      <c r="CR7" s="634">
        <v>3</v>
      </c>
      <c r="CS7" s="622">
        <v>1.42</v>
      </c>
      <c r="CT7" s="622">
        <v>1.2</v>
      </c>
      <c r="CU7" s="635">
        <v>1.08</v>
      </c>
      <c r="CV7" s="635">
        <v>1.2</v>
      </c>
      <c r="CW7" s="631">
        <f>6*0.18</f>
        <v>1.08</v>
      </c>
      <c r="CX7" s="621">
        <f>6*0.18</f>
        <v>1.08</v>
      </c>
      <c r="CY7" s="621">
        <f>6*0.18</f>
        <v>1.08</v>
      </c>
      <c r="CZ7" s="631">
        <v>1.08</v>
      </c>
      <c r="DA7" s="625" t="s">
        <v>628</v>
      </c>
      <c r="DB7" s="625">
        <v>1.5</v>
      </c>
      <c r="DC7" s="625">
        <v>3</v>
      </c>
      <c r="DD7" s="625">
        <v>1.5</v>
      </c>
      <c r="DE7" s="625">
        <v>1.42</v>
      </c>
      <c r="DF7" s="626">
        <v>1.5</v>
      </c>
      <c r="DG7" s="626">
        <v>1.5</v>
      </c>
      <c r="DH7" s="619">
        <v>3</v>
      </c>
      <c r="DI7" s="622">
        <v>1.42</v>
      </c>
      <c r="DJ7" s="633">
        <v>3</v>
      </c>
      <c r="DK7" s="625">
        <v>6</v>
      </c>
      <c r="DL7" s="625">
        <v>3</v>
      </c>
      <c r="DM7" s="625">
        <v>3</v>
      </c>
      <c r="DN7" s="625">
        <v>3</v>
      </c>
      <c r="DO7" s="625">
        <v>6</v>
      </c>
      <c r="DP7" s="619">
        <v>6</v>
      </c>
      <c r="DQ7" s="622"/>
      <c r="DR7" s="633"/>
      <c r="DS7" s="622"/>
      <c r="DT7" s="625"/>
      <c r="DU7" s="622"/>
      <c r="DV7" s="631"/>
      <c r="DW7" s="631"/>
      <c r="DX7" s="618" t="s">
        <v>627</v>
      </c>
    </row>
    <row r="8" spans="1:129" ht="15.75" customHeight="1">
      <c r="A8" s="636" t="s">
        <v>629</v>
      </c>
      <c r="B8" s="637" t="s">
        <v>287</v>
      </c>
      <c r="C8" s="637"/>
      <c r="D8" s="637"/>
      <c r="E8" s="637"/>
      <c r="F8" s="637"/>
      <c r="G8" s="637"/>
      <c r="H8" s="637"/>
      <c r="I8" s="638"/>
      <c r="J8" s="637"/>
      <c r="K8" s="637"/>
      <c r="L8" s="637"/>
      <c r="M8" s="637"/>
      <c r="N8" s="639"/>
      <c r="O8" s="639"/>
      <c r="P8" s="638"/>
      <c r="Q8" s="637"/>
      <c r="R8" s="637"/>
      <c r="S8" s="637"/>
      <c r="T8" s="640"/>
      <c r="U8" s="641"/>
      <c r="V8" s="642"/>
      <c r="W8" s="1588"/>
      <c r="X8" s="1588"/>
      <c r="Y8" s="641"/>
      <c r="Z8" s="637"/>
      <c r="AA8" s="643"/>
      <c r="AB8" s="643"/>
      <c r="AC8" s="643"/>
      <c r="AD8" s="643"/>
      <c r="AE8" s="643"/>
      <c r="AF8" s="643"/>
      <c r="AG8" s="643"/>
      <c r="AH8" s="643"/>
      <c r="AI8" s="643"/>
      <c r="AJ8" s="643"/>
      <c r="AK8" s="643"/>
      <c r="AL8" s="643"/>
      <c r="AM8" s="644"/>
      <c r="AN8" s="644"/>
      <c r="AO8" s="645"/>
      <c r="AP8" s="645"/>
      <c r="AQ8" s="637"/>
      <c r="AR8" s="646"/>
      <c r="AS8" s="646"/>
      <c r="AT8" s="647"/>
      <c r="AU8" s="647"/>
      <c r="AV8" s="648"/>
      <c r="AW8" s="641"/>
      <c r="AX8" s="641"/>
      <c r="AY8" s="641"/>
      <c r="AZ8" s="641"/>
      <c r="BA8" s="643"/>
      <c r="BB8" s="643"/>
      <c r="BC8" s="637"/>
      <c r="BD8" s="649"/>
      <c r="BE8" s="649"/>
      <c r="BF8" s="649"/>
      <c r="BG8" s="649"/>
      <c r="BH8" s="649"/>
      <c r="BI8" s="649"/>
      <c r="BJ8" s="649"/>
      <c r="BK8" s="649"/>
      <c r="BL8" s="641"/>
      <c r="BM8" s="641"/>
      <c r="BN8" s="641"/>
      <c r="BO8" s="643"/>
      <c r="BP8" s="637"/>
      <c r="BQ8" s="637"/>
      <c r="BR8" s="637"/>
      <c r="BS8" s="637"/>
      <c r="BT8" s="637"/>
      <c r="BU8" s="637"/>
      <c r="BV8" s="637"/>
      <c r="BW8" s="650"/>
      <c r="BX8" s="641"/>
      <c r="BY8" s="641"/>
      <c r="BZ8" s="643"/>
      <c r="CA8" s="643"/>
      <c r="CB8" s="643"/>
      <c r="CC8" s="643"/>
      <c r="CD8" s="645"/>
      <c r="CE8" s="645" t="s">
        <v>40</v>
      </c>
      <c r="CF8" s="645"/>
      <c r="CG8" s="645"/>
      <c r="CH8" s="645"/>
      <c r="CI8" s="645"/>
      <c r="CJ8" s="645"/>
      <c r="CK8" s="643"/>
      <c r="CL8" s="643"/>
      <c r="CM8" s="643"/>
      <c r="CN8" s="643"/>
      <c r="CO8" s="643"/>
      <c r="CP8" s="638"/>
      <c r="CQ8" s="654"/>
      <c r="CR8" s="641"/>
      <c r="CS8" s="654"/>
      <c r="CT8" s="651"/>
      <c r="CU8" s="652"/>
      <c r="CV8" s="653"/>
      <c r="CW8" s="638"/>
      <c r="CX8" s="638"/>
      <c r="CY8" s="638"/>
      <c r="CZ8" s="641"/>
      <c r="DA8" s="650"/>
      <c r="DB8" s="641"/>
      <c r="DC8" s="641"/>
      <c r="DD8" s="641"/>
      <c r="DE8" s="641"/>
      <c r="DF8" s="643"/>
      <c r="DG8" s="643"/>
      <c r="DH8" s="637"/>
      <c r="DI8" s="654"/>
      <c r="DJ8" s="650"/>
      <c r="DK8" s="641"/>
      <c r="DL8" s="654"/>
      <c r="DM8" s="654"/>
      <c r="DN8" s="654"/>
      <c r="DO8" s="637"/>
      <c r="DP8" s="637"/>
      <c r="DQ8" s="654"/>
      <c r="DR8" s="650"/>
      <c r="DS8" s="655" t="s">
        <v>630</v>
      </c>
      <c r="DT8" s="656" t="s">
        <v>631</v>
      </c>
      <c r="DU8" s="655" t="s">
        <v>630</v>
      </c>
      <c r="DV8" s="656" t="s">
        <v>631</v>
      </c>
      <c r="DW8" s="657"/>
      <c r="DX8" s="658" t="s">
        <v>629</v>
      </c>
      <c r="DY8" s="659"/>
    </row>
    <row r="9" spans="1:129" ht="15.75" customHeight="1">
      <c r="A9" s="660">
        <v>44193</v>
      </c>
      <c r="B9" s="637"/>
      <c r="C9" s="637"/>
      <c r="D9" s="637"/>
      <c r="E9" s="637"/>
      <c r="F9" s="637"/>
      <c r="G9" s="637"/>
      <c r="H9" s="637"/>
      <c r="I9" s="637"/>
      <c r="J9" s="637"/>
      <c r="K9" s="637"/>
      <c r="L9" s="637"/>
      <c r="M9" s="637"/>
      <c r="N9" s="637"/>
      <c r="O9" s="637"/>
      <c r="P9" s="637" t="s">
        <v>40</v>
      </c>
      <c r="Q9" s="637"/>
      <c r="R9" s="637"/>
      <c r="S9" s="637"/>
      <c r="T9" s="637"/>
      <c r="U9" s="637"/>
      <c r="V9" s="637"/>
      <c r="W9" s="637"/>
      <c r="X9" s="637"/>
      <c r="Y9" s="637"/>
      <c r="Z9" s="637"/>
      <c r="AA9" s="637"/>
      <c r="AB9" s="637"/>
      <c r="AC9" s="637"/>
      <c r="AD9" s="637"/>
      <c r="AE9" s="637"/>
      <c r="AF9" s="637"/>
      <c r="AG9" s="637"/>
      <c r="AH9" s="637"/>
      <c r="AI9" s="637" t="s">
        <v>40</v>
      </c>
      <c r="AJ9" s="637"/>
      <c r="AK9" s="637" t="s">
        <v>40</v>
      </c>
      <c r="AL9" s="637"/>
      <c r="AM9" s="637"/>
      <c r="AN9" s="637"/>
      <c r="AO9" s="637"/>
      <c r="AP9" s="637"/>
      <c r="AQ9" s="637"/>
      <c r="AR9" s="637"/>
      <c r="AS9" s="637"/>
      <c r="AT9" s="637"/>
      <c r="AU9" s="637"/>
      <c r="AV9" s="637"/>
      <c r="AW9" s="637"/>
      <c r="AX9" s="637"/>
      <c r="AY9" s="637"/>
      <c r="AZ9" s="637"/>
      <c r="BA9" s="637"/>
      <c r="BB9" s="637"/>
      <c r="BC9" s="637"/>
      <c r="BD9" s="637"/>
      <c r="BE9" s="637"/>
      <c r="BF9" s="637"/>
      <c r="BG9" s="637"/>
      <c r="BH9" s="637"/>
      <c r="BI9" s="637"/>
      <c r="BJ9" s="637"/>
      <c r="BK9" s="637"/>
      <c r="BL9" s="637"/>
      <c r="BM9" s="637"/>
      <c r="BN9" s="637"/>
      <c r="BO9" s="637"/>
      <c r="BP9" s="637"/>
      <c r="BQ9" s="637"/>
      <c r="BR9" s="637"/>
      <c r="BS9" s="637"/>
      <c r="BT9" s="637"/>
      <c r="BU9" s="637"/>
      <c r="BV9" s="637"/>
      <c r="BW9" s="637"/>
      <c r="BX9" s="637"/>
      <c r="BY9" s="637"/>
      <c r="BZ9" s="637"/>
      <c r="CA9" s="637"/>
      <c r="CB9" s="637"/>
      <c r="CC9" s="637"/>
      <c r="CD9" s="637"/>
      <c r="CE9" s="637"/>
      <c r="CF9" s="637"/>
      <c r="CG9" s="637"/>
      <c r="CH9" s="637"/>
      <c r="CI9" s="637"/>
      <c r="CJ9" s="637"/>
      <c r="CK9" s="637"/>
      <c r="CL9" s="637" t="s">
        <v>40</v>
      </c>
      <c r="CM9" s="637"/>
      <c r="CN9" s="637"/>
      <c r="CO9" s="637"/>
      <c r="CP9" s="637"/>
      <c r="CQ9" s="637"/>
      <c r="CR9" s="637" t="s">
        <v>40</v>
      </c>
      <c r="CS9" s="637" t="s">
        <v>40</v>
      </c>
      <c r="CT9" s="637"/>
      <c r="CU9" s="637"/>
      <c r="CV9" s="637" t="s">
        <v>40</v>
      </c>
      <c r="CW9" s="637" t="s">
        <v>40</v>
      </c>
      <c r="CX9" s="637"/>
      <c r="CY9" s="637"/>
      <c r="CZ9" s="637"/>
      <c r="DA9" s="637"/>
      <c r="DB9" s="637" t="s">
        <v>40</v>
      </c>
      <c r="DC9" s="637" t="s">
        <v>40</v>
      </c>
      <c r="DD9" s="637"/>
      <c r="DE9" s="637"/>
      <c r="DF9" s="637"/>
      <c r="DG9" s="637"/>
      <c r="DH9" s="637"/>
      <c r="DI9" s="637"/>
      <c r="DJ9" s="637"/>
      <c r="DK9" s="637"/>
      <c r="DL9" s="637"/>
      <c r="DM9" s="637" t="s">
        <v>40</v>
      </c>
      <c r="DN9" s="637"/>
      <c r="DO9" s="637"/>
      <c r="DP9" s="637"/>
      <c r="DQ9" s="654"/>
      <c r="DR9" s="650"/>
      <c r="DS9" s="661"/>
      <c r="DT9" s="662"/>
      <c r="DU9" s="661"/>
      <c r="DV9" s="663"/>
      <c r="DW9" s="657">
        <f t="shared" ref="DW9:DW27" si="0">SUM(B9:DR9)</f>
        <v>0</v>
      </c>
      <c r="DX9" s="660">
        <f t="shared" ref="DX9:DX72" si="1">A9</f>
        <v>44193</v>
      </c>
      <c r="DY9" s="659"/>
    </row>
    <row r="10" spans="1:129" ht="15.75" customHeight="1">
      <c r="A10" s="660">
        <v>44194</v>
      </c>
      <c r="B10" s="637"/>
      <c r="C10" s="637"/>
      <c r="D10" s="637"/>
      <c r="E10" s="637"/>
      <c r="F10" s="637"/>
      <c r="G10" s="637"/>
      <c r="H10" s="637"/>
      <c r="I10" s="637"/>
      <c r="J10" s="637"/>
      <c r="K10" s="637"/>
      <c r="L10" s="637"/>
      <c r="M10" s="637"/>
      <c r="N10" s="637"/>
      <c r="O10" s="637"/>
      <c r="P10" s="637"/>
      <c r="Q10" s="637"/>
      <c r="R10" s="637"/>
      <c r="S10" s="637"/>
      <c r="T10" s="637"/>
      <c r="U10" s="637"/>
      <c r="V10" s="637"/>
      <c r="W10" s="637"/>
      <c r="X10" s="637"/>
      <c r="Y10" s="637"/>
      <c r="Z10" s="637"/>
      <c r="AA10" s="637"/>
      <c r="AB10" s="637"/>
      <c r="AC10" s="637"/>
      <c r="AD10" s="637"/>
      <c r="AE10" s="637"/>
      <c r="AF10" s="637"/>
      <c r="AG10" s="637"/>
      <c r="AH10" s="637"/>
      <c r="AI10" s="637" t="s">
        <v>40</v>
      </c>
      <c r="AJ10" s="637"/>
      <c r="AK10" s="637"/>
      <c r="AL10" s="637"/>
      <c r="AM10" s="637" t="s">
        <v>40</v>
      </c>
      <c r="AN10" s="637"/>
      <c r="AO10" s="637"/>
      <c r="AP10" s="637"/>
      <c r="AQ10" s="637"/>
      <c r="AR10" s="637"/>
      <c r="AS10" s="637"/>
      <c r="AT10" s="637"/>
      <c r="AU10" s="637"/>
      <c r="AV10" s="637"/>
      <c r="AW10" s="637"/>
      <c r="AX10" s="637"/>
      <c r="AY10" s="637"/>
      <c r="AZ10" s="637"/>
      <c r="BA10" s="637"/>
      <c r="BB10" s="637"/>
      <c r="BC10" s="637"/>
      <c r="BD10" s="637"/>
      <c r="BE10" s="637"/>
      <c r="BF10" s="637"/>
      <c r="BG10" s="637"/>
      <c r="BH10" s="637"/>
      <c r="BI10" s="637"/>
      <c r="BJ10" s="637"/>
      <c r="BK10" s="637"/>
      <c r="BL10" s="637"/>
      <c r="BM10" s="637"/>
      <c r="BN10" s="637"/>
      <c r="BO10" s="637"/>
      <c r="BP10" s="637"/>
      <c r="BQ10" s="637"/>
      <c r="BR10" s="637"/>
      <c r="BS10" s="637"/>
      <c r="BT10" s="637"/>
      <c r="BU10" s="637"/>
      <c r="BV10" s="637"/>
      <c r="BW10" s="637"/>
      <c r="BX10" s="637"/>
      <c r="BY10" s="637" t="s">
        <v>40</v>
      </c>
      <c r="BZ10" s="637"/>
      <c r="CA10" s="637"/>
      <c r="CB10" s="637"/>
      <c r="CC10" s="637"/>
      <c r="CD10" s="637"/>
      <c r="CE10" s="637" t="s">
        <v>40</v>
      </c>
      <c r="CF10" s="637" t="s">
        <v>40</v>
      </c>
      <c r="CG10" s="637"/>
      <c r="CH10" s="637"/>
      <c r="CI10" s="637"/>
      <c r="CJ10" s="637"/>
      <c r="CK10" s="637"/>
      <c r="CL10" s="637"/>
      <c r="CM10" s="637"/>
      <c r="CN10" s="637"/>
      <c r="CO10" s="637"/>
      <c r="CP10" s="637"/>
      <c r="CQ10" s="637"/>
      <c r="CR10" s="637" t="s">
        <v>40</v>
      </c>
      <c r="CS10" s="637"/>
      <c r="CT10" s="637"/>
      <c r="CU10" s="637"/>
      <c r="CV10" s="637"/>
      <c r="CW10" s="637"/>
      <c r="CX10" s="637"/>
      <c r="CY10" s="637"/>
      <c r="CZ10" s="637" t="s">
        <v>40</v>
      </c>
      <c r="DA10" s="637" t="s">
        <v>40</v>
      </c>
      <c r="DB10" s="637"/>
      <c r="DC10" s="637"/>
      <c r="DD10" s="637"/>
      <c r="DE10" s="637"/>
      <c r="DF10" s="637"/>
      <c r="DG10" s="637"/>
      <c r="DH10" s="637"/>
      <c r="DI10" s="637"/>
      <c r="DJ10" s="637"/>
      <c r="DK10" s="637"/>
      <c r="DL10" s="637" t="s">
        <v>40</v>
      </c>
      <c r="DM10" s="637"/>
      <c r="DN10" s="637"/>
      <c r="DO10" s="637"/>
      <c r="DP10" s="637"/>
      <c r="DQ10" s="654"/>
      <c r="DR10" s="650"/>
      <c r="DS10" s="661"/>
      <c r="DT10" s="662"/>
      <c r="DU10" s="661"/>
      <c r="DV10" s="663"/>
      <c r="DW10" s="657">
        <f t="shared" si="0"/>
        <v>0</v>
      </c>
      <c r="DX10" s="660">
        <f t="shared" si="1"/>
        <v>44194</v>
      </c>
      <c r="DY10" s="659"/>
    </row>
    <row r="11" spans="1:129" ht="15.75" customHeight="1">
      <c r="A11" s="660">
        <v>44195</v>
      </c>
      <c r="B11" s="637"/>
      <c r="C11" s="637"/>
      <c r="D11" s="637"/>
      <c r="E11" s="637"/>
      <c r="F11" s="637"/>
      <c r="G11" s="637"/>
      <c r="H11" s="637"/>
      <c r="I11" s="637"/>
      <c r="J11" s="637"/>
      <c r="K11" s="637"/>
      <c r="L11" s="637"/>
      <c r="M11" s="637"/>
      <c r="N11" s="637"/>
      <c r="O11" s="637"/>
      <c r="P11" s="637"/>
      <c r="Q11" s="637"/>
      <c r="R11" s="637"/>
      <c r="S11" s="637"/>
      <c r="T11" s="637"/>
      <c r="U11" s="637"/>
      <c r="V11" s="637"/>
      <c r="W11" s="637"/>
      <c r="X11" s="637"/>
      <c r="Y11" s="637"/>
      <c r="Z11" s="637"/>
      <c r="AA11" s="637"/>
      <c r="AB11" s="637"/>
      <c r="AC11" s="637"/>
      <c r="AD11" s="637"/>
      <c r="AE11" s="637"/>
      <c r="AF11" s="637"/>
      <c r="AG11" s="637"/>
      <c r="AH11" s="637"/>
      <c r="AI11" s="637"/>
      <c r="AJ11" s="637"/>
      <c r="AK11" s="637"/>
      <c r="AL11" s="637"/>
      <c r="AM11" s="637" t="s">
        <v>40</v>
      </c>
      <c r="AN11" s="637"/>
      <c r="AO11" s="637"/>
      <c r="AP11" s="637"/>
      <c r="AQ11" s="637"/>
      <c r="AR11" s="637"/>
      <c r="AS11" s="637"/>
      <c r="AT11" s="637"/>
      <c r="AU11" s="637"/>
      <c r="AV11" s="637"/>
      <c r="AW11" s="637"/>
      <c r="AX11" s="637"/>
      <c r="AY11" s="637"/>
      <c r="AZ11" s="637"/>
      <c r="BA11" s="637"/>
      <c r="BB11" s="637"/>
      <c r="BC11" s="637"/>
      <c r="BD11" s="637"/>
      <c r="BE11" s="637"/>
      <c r="BF11" s="637"/>
      <c r="BG11" s="637"/>
      <c r="BH11" s="637"/>
      <c r="BI11" s="637"/>
      <c r="BJ11" s="637"/>
      <c r="BK11" s="637"/>
      <c r="BL11" s="637"/>
      <c r="BM11" s="637"/>
      <c r="BN11" s="637"/>
      <c r="BO11" s="637"/>
      <c r="BP11" s="637"/>
      <c r="BQ11" s="637"/>
      <c r="BR11" s="637"/>
      <c r="BS11" s="637"/>
      <c r="BT11" s="637"/>
      <c r="BU11" s="637"/>
      <c r="BV11" s="637"/>
      <c r="BW11" s="637"/>
      <c r="BX11" s="637"/>
      <c r="BY11" s="637"/>
      <c r="BZ11" s="637"/>
      <c r="CA11" s="637"/>
      <c r="CB11" s="637"/>
      <c r="CC11" s="637"/>
      <c r="CD11" s="637"/>
      <c r="CE11" s="637" t="s">
        <v>40</v>
      </c>
      <c r="CF11" s="637"/>
      <c r="CG11" s="637"/>
      <c r="CH11" s="637"/>
      <c r="CI11" s="637"/>
      <c r="CJ11" s="637"/>
      <c r="CK11" s="637"/>
      <c r="CL11" s="637"/>
      <c r="CM11" s="637"/>
      <c r="CN11" s="637"/>
      <c r="CO11" s="637"/>
      <c r="CP11" s="637"/>
      <c r="CQ11" s="637"/>
      <c r="CR11" s="637"/>
      <c r="CS11" s="637"/>
      <c r="CT11" s="637"/>
      <c r="CU11" s="637"/>
      <c r="CV11" s="637"/>
      <c r="CW11" s="637"/>
      <c r="CX11" s="637"/>
      <c r="CY11" s="637"/>
      <c r="CZ11" s="637"/>
      <c r="DA11" s="637" t="s">
        <v>40</v>
      </c>
      <c r="DB11" s="637"/>
      <c r="DC11" s="637"/>
      <c r="DD11" s="637"/>
      <c r="DE11" s="637"/>
      <c r="DF11" s="637" t="s">
        <v>40</v>
      </c>
      <c r="DG11" s="637"/>
      <c r="DH11" s="637" t="s">
        <v>40</v>
      </c>
      <c r="DI11" s="637"/>
      <c r="DJ11" s="637"/>
      <c r="DK11" s="637"/>
      <c r="DL11" s="637"/>
      <c r="DM11" s="637"/>
      <c r="DN11" s="637">
        <v>222</v>
      </c>
      <c r="DO11" s="637"/>
      <c r="DP11" s="637"/>
      <c r="DQ11" s="654"/>
      <c r="DR11" s="650"/>
      <c r="DS11" s="661"/>
      <c r="DT11" s="662"/>
      <c r="DU11" s="661"/>
      <c r="DV11" s="663"/>
      <c r="DW11" s="657">
        <f t="shared" si="0"/>
        <v>222</v>
      </c>
      <c r="DX11" s="660">
        <f t="shared" si="1"/>
        <v>44195</v>
      </c>
      <c r="DY11" s="659"/>
    </row>
    <row r="12" spans="1:129" ht="15.75" customHeight="1">
      <c r="A12" s="660">
        <v>44196</v>
      </c>
      <c r="B12" s="637" t="s">
        <v>40</v>
      </c>
      <c r="C12" s="637"/>
      <c r="D12" s="637"/>
      <c r="E12" s="637"/>
      <c r="F12" s="637" t="s">
        <v>40</v>
      </c>
      <c r="G12" s="637"/>
      <c r="H12" s="637"/>
      <c r="I12" s="637" t="s">
        <v>40</v>
      </c>
      <c r="J12" s="637" t="s">
        <v>40</v>
      </c>
      <c r="K12" s="637"/>
      <c r="L12" s="637"/>
      <c r="M12" s="637"/>
      <c r="N12" s="637"/>
      <c r="O12" s="637"/>
      <c r="P12" s="637"/>
      <c r="Q12" s="637"/>
      <c r="R12" s="637"/>
      <c r="S12" s="637"/>
      <c r="T12" s="637"/>
      <c r="U12" s="637"/>
      <c r="V12" s="637"/>
      <c r="W12" s="637"/>
      <c r="X12" s="637"/>
      <c r="Y12" s="637" t="s">
        <v>40</v>
      </c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 t="s">
        <v>40</v>
      </c>
      <c r="AM12" s="637"/>
      <c r="AN12" s="637"/>
      <c r="AO12" s="637"/>
      <c r="AP12" s="637"/>
      <c r="AQ12" s="637"/>
      <c r="AR12" s="637" t="s">
        <v>40</v>
      </c>
      <c r="AS12" s="637" t="s">
        <v>40</v>
      </c>
      <c r="AT12" s="637" t="s">
        <v>40</v>
      </c>
      <c r="AU12" s="637"/>
      <c r="AV12" s="637"/>
      <c r="AW12" s="637"/>
      <c r="AX12" s="637"/>
      <c r="AY12" s="637"/>
      <c r="AZ12" s="637"/>
      <c r="BA12" s="637"/>
      <c r="BB12" s="637"/>
      <c r="BC12" s="637"/>
      <c r="BD12" s="637"/>
      <c r="BE12" s="637"/>
      <c r="BF12" s="637"/>
      <c r="BG12" s="637"/>
      <c r="BH12" s="637"/>
      <c r="BI12" s="637"/>
      <c r="BJ12" s="637"/>
      <c r="BK12" s="637"/>
      <c r="BL12" s="637"/>
      <c r="BM12" s="637"/>
      <c r="BN12" s="637"/>
      <c r="BO12" s="637"/>
      <c r="BP12" s="637"/>
      <c r="BQ12" s="637"/>
      <c r="BR12" s="637"/>
      <c r="BS12" s="637"/>
      <c r="BT12" s="637"/>
      <c r="BU12" s="637"/>
      <c r="BV12" s="637"/>
      <c r="BW12" s="637"/>
      <c r="BX12" s="637"/>
      <c r="BY12" s="637"/>
      <c r="BZ12" s="637"/>
      <c r="CA12" s="637"/>
      <c r="CB12" s="637"/>
      <c r="CC12" s="637"/>
      <c r="CD12" s="637"/>
      <c r="CE12" s="637"/>
      <c r="CF12" s="637"/>
      <c r="CG12" s="637"/>
      <c r="CH12" s="637"/>
      <c r="CI12" s="637"/>
      <c r="CJ12" s="637"/>
      <c r="CK12" s="637" t="s">
        <v>40</v>
      </c>
      <c r="CL12" s="637"/>
      <c r="CM12" s="637"/>
      <c r="CN12" s="637"/>
      <c r="CO12" s="637"/>
      <c r="CP12" s="637"/>
      <c r="CQ12" s="637"/>
      <c r="CR12" s="637"/>
      <c r="CS12" s="637"/>
      <c r="CT12" s="637"/>
      <c r="CU12" s="637"/>
      <c r="CV12" s="637"/>
      <c r="CW12" s="637"/>
      <c r="CX12" s="637"/>
      <c r="CY12" s="637"/>
      <c r="CZ12" s="637"/>
      <c r="DA12" s="637"/>
      <c r="DB12" s="637" t="s">
        <v>40</v>
      </c>
      <c r="DC12" s="637"/>
      <c r="DD12" s="637"/>
      <c r="DE12" s="637"/>
      <c r="DF12" s="637"/>
      <c r="DG12" s="637"/>
      <c r="DH12" s="637"/>
      <c r="DI12" s="637"/>
      <c r="DJ12" s="637"/>
      <c r="DK12" s="637" t="s">
        <v>40</v>
      </c>
      <c r="DL12" s="637"/>
      <c r="DM12" s="637"/>
      <c r="DN12" s="637"/>
      <c r="DO12" s="637" t="s">
        <v>40</v>
      </c>
      <c r="DP12" s="637"/>
      <c r="DQ12" s="654"/>
      <c r="DR12" s="650"/>
      <c r="DS12" s="661"/>
      <c r="DT12" s="662"/>
      <c r="DU12" s="661"/>
      <c r="DV12" s="663"/>
      <c r="DW12" s="657">
        <f t="shared" si="0"/>
        <v>0</v>
      </c>
      <c r="DX12" s="660">
        <f t="shared" si="1"/>
        <v>44196</v>
      </c>
      <c r="DY12" s="659"/>
    </row>
    <row r="13" spans="1:129" ht="15.75" customHeight="1">
      <c r="A13" s="660">
        <v>44197</v>
      </c>
      <c r="B13" s="637"/>
      <c r="C13" s="637"/>
      <c r="D13" s="637"/>
      <c r="E13" s="637"/>
      <c r="F13" s="637"/>
      <c r="G13" s="637"/>
      <c r="H13" s="637"/>
      <c r="I13" s="637"/>
      <c r="J13" s="637"/>
      <c r="K13" s="637"/>
      <c r="L13" s="637"/>
      <c r="M13" s="637"/>
      <c r="N13" s="637"/>
      <c r="O13" s="637"/>
      <c r="P13" s="637"/>
      <c r="Q13" s="637"/>
      <c r="R13" s="637"/>
      <c r="S13" s="637"/>
      <c r="T13" s="637"/>
      <c r="U13" s="637"/>
      <c r="V13" s="637"/>
      <c r="W13" s="637"/>
      <c r="X13" s="637"/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  <c r="AM13" s="637"/>
      <c r="AN13" s="637"/>
      <c r="AO13" s="637"/>
      <c r="AP13" s="637"/>
      <c r="AQ13" s="637"/>
      <c r="AR13" s="637"/>
      <c r="AS13" s="637"/>
      <c r="AT13" s="637"/>
      <c r="AU13" s="637"/>
      <c r="AV13" s="637"/>
      <c r="AW13" s="637"/>
      <c r="AX13" s="637"/>
      <c r="AY13" s="637"/>
      <c r="AZ13" s="637"/>
      <c r="BA13" s="637"/>
      <c r="BB13" s="637"/>
      <c r="BC13" s="637"/>
      <c r="BD13" s="637"/>
      <c r="BE13" s="637"/>
      <c r="BF13" s="637"/>
      <c r="BG13" s="637"/>
      <c r="BH13" s="637"/>
      <c r="BI13" s="637"/>
      <c r="BJ13" s="637"/>
      <c r="BK13" s="637"/>
      <c r="BL13" s="637"/>
      <c r="BM13" s="637"/>
      <c r="BN13" s="637"/>
      <c r="BO13" s="637"/>
      <c r="BP13" s="637"/>
      <c r="BQ13" s="637"/>
      <c r="BR13" s="637"/>
      <c r="BS13" s="637"/>
      <c r="BT13" s="637"/>
      <c r="BU13" s="637"/>
      <c r="BV13" s="637"/>
      <c r="BW13" s="637"/>
      <c r="BX13" s="637"/>
      <c r="BY13" s="637"/>
      <c r="BZ13" s="637"/>
      <c r="CA13" s="637"/>
      <c r="CB13" s="637"/>
      <c r="CC13" s="637"/>
      <c r="CD13" s="637"/>
      <c r="CE13" s="637"/>
      <c r="CF13" s="637"/>
      <c r="CG13" s="637"/>
      <c r="CH13" s="637"/>
      <c r="CI13" s="637"/>
      <c r="CJ13" s="637"/>
      <c r="CK13" s="637"/>
      <c r="CL13" s="637"/>
      <c r="CM13" s="637"/>
      <c r="CN13" s="637"/>
      <c r="CO13" s="637"/>
      <c r="CP13" s="637"/>
      <c r="CQ13" s="637"/>
      <c r="CR13" s="637"/>
      <c r="CS13" s="637"/>
      <c r="CT13" s="637"/>
      <c r="CU13" s="637"/>
      <c r="CV13" s="637"/>
      <c r="CW13" s="637"/>
      <c r="CX13" s="637"/>
      <c r="CY13" s="637"/>
      <c r="CZ13" s="637"/>
      <c r="DA13" s="637"/>
      <c r="DB13" s="637"/>
      <c r="DC13" s="637"/>
      <c r="DD13" s="637"/>
      <c r="DE13" s="637"/>
      <c r="DF13" s="637"/>
      <c r="DG13" s="637"/>
      <c r="DH13" s="637"/>
      <c r="DI13" s="637"/>
      <c r="DJ13" s="637"/>
      <c r="DK13" s="637"/>
      <c r="DL13" s="637"/>
      <c r="DM13" s="637"/>
      <c r="DN13" s="637"/>
      <c r="DO13" s="637"/>
      <c r="DP13" s="637"/>
      <c r="DQ13" s="654"/>
      <c r="DR13" s="650"/>
      <c r="DS13" s="661"/>
      <c r="DT13" s="662"/>
      <c r="DU13" s="661"/>
      <c r="DV13" s="663"/>
      <c r="DW13" s="657">
        <f t="shared" si="0"/>
        <v>0</v>
      </c>
      <c r="DX13" s="660">
        <f t="shared" si="1"/>
        <v>44197</v>
      </c>
      <c r="DY13" s="659"/>
    </row>
    <row r="14" spans="1:129" ht="15.75" customHeight="1">
      <c r="A14" s="660">
        <v>44198</v>
      </c>
      <c r="B14" s="637"/>
      <c r="C14" s="637"/>
      <c r="D14" s="637"/>
      <c r="E14" s="637"/>
      <c r="F14" s="637"/>
      <c r="G14" s="637"/>
      <c r="H14" s="637"/>
      <c r="I14" s="637"/>
      <c r="J14" s="637"/>
      <c r="K14" s="637"/>
      <c r="L14" s="637"/>
      <c r="M14" s="637"/>
      <c r="N14" s="637" t="s">
        <v>40</v>
      </c>
      <c r="O14" s="637"/>
      <c r="P14" s="637" t="s">
        <v>40</v>
      </c>
      <c r="Q14" s="637" t="s">
        <v>40</v>
      </c>
      <c r="R14" s="637" t="s">
        <v>40</v>
      </c>
      <c r="S14" s="637"/>
      <c r="T14" s="637"/>
      <c r="U14" s="637"/>
      <c r="V14" s="637"/>
      <c r="W14" s="637"/>
      <c r="X14" s="637" t="s">
        <v>40</v>
      </c>
      <c r="Y14" s="637"/>
      <c r="Z14" s="637"/>
      <c r="AA14" s="637"/>
      <c r="AB14" s="637"/>
      <c r="AC14" s="637"/>
      <c r="AD14" s="637" t="s">
        <v>40</v>
      </c>
      <c r="AE14" s="637"/>
      <c r="AF14" s="637" t="s">
        <v>40</v>
      </c>
      <c r="AG14" s="637" t="s">
        <v>40</v>
      </c>
      <c r="AH14" s="637"/>
      <c r="AI14" s="637"/>
      <c r="AJ14" s="637"/>
      <c r="AK14" s="637" t="s">
        <v>40</v>
      </c>
      <c r="AL14" s="637"/>
      <c r="AM14" s="637"/>
      <c r="AN14" s="637"/>
      <c r="AO14" s="637"/>
      <c r="AP14" s="637"/>
      <c r="AQ14" s="637"/>
      <c r="AR14" s="637" t="s">
        <v>40</v>
      </c>
      <c r="AS14" s="637"/>
      <c r="AT14" s="637"/>
      <c r="AU14" s="637"/>
      <c r="AV14" s="637"/>
      <c r="AW14" s="637"/>
      <c r="AX14" s="637"/>
      <c r="AY14" s="637"/>
      <c r="AZ14" s="637"/>
      <c r="BA14" s="637" t="s">
        <v>40</v>
      </c>
      <c r="BB14" s="637"/>
      <c r="BC14" s="637"/>
      <c r="BD14" s="637"/>
      <c r="BE14" s="637"/>
      <c r="BF14" s="637" t="s">
        <v>40</v>
      </c>
      <c r="BG14" s="637"/>
      <c r="BH14" s="637"/>
      <c r="BI14" s="637"/>
      <c r="BJ14" s="637" t="s">
        <v>40</v>
      </c>
      <c r="BK14" s="637"/>
      <c r="BL14" s="637"/>
      <c r="BM14" s="637"/>
      <c r="BN14" s="637"/>
      <c r="BO14" s="637"/>
      <c r="BP14" s="637"/>
      <c r="BQ14" s="637"/>
      <c r="BR14" s="637"/>
      <c r="BS14" s="637"/>
      <c r="BT14" s="637"/>
      <c r="BU14" s="637"/>
      <c r="BV14" s="637"/>
      <c r="BW14" s="637"/>
      <c r="BX14" s="637" t="s">
        <v>40</v>
      </c>
      <c r="BY14" s="637"/>
      <c r="BZ14" s="637"/>
      <c r="CA14" s="637"/>
      <c r="CB14" s="637" t="s">
        <v>40</v>
      </c>
      <c r="CC14" s="637"/>
      <c r="CD14" s="637"/>
      <c r="CE14" s="637"/>
      <c r="CF14" s="637"/>
      <c r="CG14" s="637"/>
      <c r="CH14" s="637"/>
      <c r="CI14" s="637"/>
      <c r="CJ14" s="637"/>
      <c r="CK14" s="637"/>
      <c r="CL14" s="637"/>
      <c r="CM14" s="637"/>
      <c r="CN14" s="637"/>
      <c r="CO14" s="637"/>
      <c r="CP14" s="637" t="s">
        <v>40</v>
      </c>
      <c r="CQ14" s="637"/>
      <c r="CR14" s="637"/>
      <c r="CS14" s="637" t="s">
        <v>40</v>
      </c>
      <c r="CT14" s="637"/>
      <c r="CU14" s="637"/>
      <c r="CV14" s="637"/>
      <c r="CW14" s="637"/>
      <c r="CX14" s="637"/>
      <c r="CY14" s="637"/>
      <c r="CZ14" s="637"/>
      <c r="DA14" s="637"/>
      <c r="DB14" s="637" t="s">
        <v>40</v>
      </c>
      <c r="DC14" s="637" t="s">
        <v>40</v>
      </c>
      <c r="DD14" s="637" t="s">
        <v>40</v>
      </c>
      <c r="DE14" s="637"/>
      <c r="DF14" s="637" t="s">
        <v>40</v>
      </c>
      <c r="DG14" s="637"/>
      <c r="DH14" s="637"/>
      <c r="DI14" s="637"/>
      <c r="DJ14" s="637" t="s">
        <v>40</v>
      </c>
      <c r="DK14" s="637" t="s">
        <v>40</v>
      </c>
      <c r="DL14" s="637"/>
      <c r="DM14" s="637"/>
      <c r="DN14" s="637"/>
      <c r="DO14" s="637"/>
      <c r="DP14" s="637" t="s">
        <v>40</v>
      </c>
      <c r="DQ14" s="654"/>
      <c r="DR14" s="650"/>
      <c r="DS14" s="661"/>
      <c r="DT14" s="662"/>
      <c r="DU14" s="661"/>
      <c r="DV14" s="663"/>
      <c r="DW14" s="657">
        <f t="shared" si="0"/>
        <v>0</v>
      </c>
      <c r="DX14" s="660">
        <f t="shared" si="1"/>
        <v>44198</v>
      </c>
      <c r="DY14" s="659"/>
    </row>
    <row r="15" spans="1:129" ht="15.75" customHeight="1">
      <c r="A15" s="660">
        <v>44199</v>
      </c>
      <c r="B15" s="637"/>
      <c r="C15" s="637"/>
      <c r="D15" s="637"/>
      <c r="E15" s="637"/>
      <c r="F15" s="637"/>
      <c r="G15" s="637"/>
      <c r="H15" s="637"/>
      <c r="I15" s="637"/>
      <c r="J15" s="637"/>
      <c r="K15" s="637"/>
      <c r="L15" s="637"/>
      <c r="M15" s="637"/>
      <c r="N15" s="637"/>
      <c r="O15" s="637"/>
      <c r="P15" s="637"/>
      <c r="Q15" s="637"/>
      <c r="R15" s="637"/>
      <c r="S15" s="637"/>
      <c r="T15" s="637"/>
      <c r="U15" s="637"/>
      <c r="V15" s="637"/>
      <c r="W15" s="637" t="s">
        <v>40</v>
      </c>
      <c r="X15" s="637"/>
      <c r="Y15" s="637"/>
      <c r="Z15" s="637"/>
      <c r="AA15" s="637"/>
      <c r="AB15" s="637"/>
      <c r="AC15" s="637"/>
      <c r="AD15" s="637"/>
      <c r="AE15" s="637" t="s">
        <v>40</v>
      </c>
      <c r="AF15" s="637"/>
      <c r="AG15" s="637"/>
      <c r="AH15" s="637"/>
      <c r="AI15" s="637"/>
      <c r="AJ15" s="637"/>
      <c r="AK15" s="637"/>
      <c r="AL15" s="637"/>
      <c r="AM15" s="637"/>
      <c r="AN15" s="637"/>
      <c r="AO15" s="637" t="s">
        <v>40</v>
      </c>
      <c r="AP15" s="637"/>
      <c r="AQ15" s="637"/>
      <c r="AR15" s="637"/>
      <c r="AS15" s="637"/>
      <c r="AT15" s="637"/>
      <c r="AU15" s="637"/>
      <c r="AV15" s="637"/>
      <c r="AW15" s="637"/>
      <c r="AX15" s="637"/>
      <c r="AY15" s="637" t="s">
        <v>40</v>
      </c>
      <c r="AZ15" s="637"/>
      <c r="BA15" s="637"/>
      <c r="BB15" s="637" t="s">
        <v>40</v>
      </c>
      <c r="BC15" s="637"/>
      <c r="BD15" s="637" t="s">
        <v>40</v>
      </c>
      <c r="BE15" s="637"/>
      <c r="BF15" s="637"/>
      <c r="BG15" s="637"/>
      <c r="BH15" s="637"/>
      <c r="BI15" s="637"/>
      <c r="BJ15" s="637"/>
      <c r="BK15" s="637" t="s">
        <v>40</v>
      </c>
      <c r="BL15" s="637" t="s">
        <v>40</v>
      </c>
      <c r="BM15" s="637" t="s">
        <v>40</v>
      </c>
      <c r="BN15" s="637" t="s">
        <v>40</v>
      </c>
      <c r="BO15" s="637"/>
      <c r="BP15" s="637"/>
      <c r="BQ15" s="637"/>
      <c r="BR15" s="637"/>
      <c r="BS15" s="637"/>
      <c r="BT15" s="637"/>
      <c r="BU15" s="637"/>
      <c r="BV15" s="637" t="s">
        <v>40</v>
      </c>
      <c r="BW15" s="637"/>
      <c r="BX15" s="637"/>
      <c r="BY15" s="637"/>
      <c r="BZ15" s="637"/>
      <c r="CA15" s="637"/>
      <c r="CB15" s="637"/>
      <c r="CC15" s="637"/>
      <c r="CD15" s="637" t="s">
        <v>40</v>
      </c>
      <c r="CE15" s="637"/>
      <c r="CF15" s="637"/>
      <c r="CG15" s="637"/>
      <c r="CH15" s="637" t="s">
        <v>40</v>
      </c>
      <c r="CI15" s="637" t="s">
        <v>40</v>
      </c>
      <c r="CJ15" s="637"/>
      <c r="CK15" s="637"/>
      <c r="CL15" s="637"/>
      <c r="CM15" s="637"/>
      <c r="CN15" s="637"/>
      <c r="CO15" s="637"/>
      <c r="CP15" s="637"/>
      <c r="CQ15" s="637"/>
      <c r="CR15" s="637" t="s">
        <v>40</v>
      </c>
      <c r="CS15" s="637"/>
      <c r="CT15" s="637"/>
      <c r="CU15" s="637"/>
      <c r="CV15" s="637"/>
      <c r="CW15" s="637"/>
      <c r="CX15" s="637"/>
      <c r="CY15" s="637"/>
      <c r="CZ15" s="637"/>
      <c r="DA15" s="637"/>
      <c r="DB15" s="637" t="s">
        <v>40</v>
      </c>
      <c r="DC15" s="637" t="s">
        <v>40</v>
      </c>
      <c r="DD15" s="637" t="s">
        <v>40</v>
      </c>
      <c r="DE15" s="637" t="s">
        <v>40</v>
      </c>
      <c r="DF15" s="637"/>
      <c r="DG15" s="637"/>
      <c r="DH15" s="637" t="s">
        <v>40</v>
      </c>
      <c r="DI15" s="637"/>
      <c r="DJ15" s="637" t="s">
        <v>40</v>
      </c>
      <c r="DK15" s="637"/>
      <c r="DL15" s="637"/>
      <c r="DM15" s="637"/>
      <c r="DN15" s="637"/>
      <c r="DO15" s="637">
        <v>121</v>
      </c>
      <c r="DP15" s="637"/>
      <c r="DQ15" s="654"/>
      <c r="DR15" s="650"/>
      <c r="DS15" s="661"/>
      <c r="DT15" s="662"/>
      <c r="DU15" s="661"/>
      <c r="DV15" s="663"/>
      <c r="DW15" s="657">
        <f t="shared" si="0"/>
        <v>121</v>
      </c>
      <c r="DX15" s="660">
        <f t="shared" si="1"/>
        <v>44199</v>
      </c>
      <c r="DY15" s="659"/>
    </row>
    <row r="16" spans="1:129" ht="15.75" customHeight="1">
      <c r="A16" s="660">
        <v>44200</v>
      </c>
      <c r="B16" s="637"/>
      <c r="C16" s="637"/>
      <c r="D16" s="637"/>
      <c r="E16" s="637"/>
      <c r="F16" s="637"/>
      <c r="G16" s="637"/>
      <c r="H16" s="637"/>
      <c r="I16" s="637"/>
      <c r="J16" s="637"/>
      <c r="K16" s="637"/>
      <c r="L16" s="637"/>
      <c r="M16" s="637"/>
      <c r="N16" s="637"/>
      <c r="O16" s="637"/>
      <c r="P16" s="637"/>
      <c r="Q16" s="637"/>
      <c r="R16" s="637"/>
      <c r="S16" s="637" t="s">
        <v>40</v>
      </c>
      <c r="T16" s="637"/>
      <c r="U16" s="637"/>
      <c r="V16" s="637"/>
      <c r="W16" s="637"/>
      <c r="X16" s="637"/>
      <c r="Y16" s="637"/>
      <c r="Z16" s="637"/>
      <c r="AA16" s="637"/>
      <c r="AB16" s="637"/>
      <c r="AC16" s="637"/>
      <c r="AD16" s="637"/>
      <c r="AE16" s="637"/>
      <c r="AF16" s="637"/>
      <c r="AG16" s="637"/>
      <c r="AH16" s="637"/>
      <c r="AI16" s="637"/>
      <c r="AJ16" s="637"/>
      <c r="AK16" s="637"/>
      <c r="AL16" s="637"/>
      <c r="AM16" s="637"/>
      <c r="AN16" s="637"/>
      <c r="AO16" s="637"/>
      <c r="AP16" s="637"/>
      <c r="AQ16" s="637"/>
      <c r="AR16" s="637"/>
      <c r="AS16" s="637"/>
      <c r="AT16" s="637"/>
      <c r="AU16" s="637"/>
      <c r="AV16" s="637"/>
      <c r="AW16" s="637"/>
      <c r="AX16" s="637"/>
      <c r="AY16" s="637"/>
      <c r="AZ16" s="637"/>
      <c r="BA16" s="637"/>
      <c r="BB16" s="637"/>
      <c r="BC16" s="637"/>
      <c r="BD16" s="637"/>
      <c r="BE16" s="637"/>
      <c r="BF16" s="637"/>
      <c r="BG16" s="637"/>
      <c r="BH16" s="637"/>
      <c r="BI16" s="637"/>
      <c r="BJ16" s="637"/>
      <c r="BK16" s="637"/>
      <c r="BL16" s="637"/>
      <c r="BM16" s="637"/>
      <c r="BN16" s="637"/>
      <c r="BO16" s="637"/>
      <c r="BP16" s="637"/>
      <c r="BQ16" s="637"/>
      <c r="BR16" s="637"/>
      <c r="BS16" s="637"/>
      <c r="BT16" s="637"/>
      <c r="BU16" s="637"/>
      <c r="BV16" s="637"/>
      <c r="BW16" s="637"/>
      <c r="BX16" s="637"/>
      <c r="BY16" s="637"/>
      <c r="BZ16" s="637" t="s">
        <v>40</v>
      </c>
      <c r="CA16" s="637"/>
      <c r="CB16" s="637"/>
      <c r="CC16" s="637"/>
      <c r="CD16" s="637"/>
      <c r="CE16" s="637"/>
      <c r="CF16" s="637"/>
      <c r="CG16" s="637"/>
      <c r="CH16" s="637"/>
      <c r="CI16" s="637"/>
      <c r="CJ16" s="637" t="s">
        <v>40</v>
      </c>
      <c r="CK16" s="637"/>
      <c r="CL16" s="637"/>
      <c r="CM16" s="637" t="s">
        <v>40</v>
      </c>
      <c r="CN16" s="637" t="s">
        <v>40</v>
      </c>
      <c r="CO16" s="637"/>
      <c r="CP16" s="637"/>
      <c r="CQ16" s="637"/>
      <c r="CR16" s="637"/>
      <c r="CS16" s="637" t="s">
        <v>40</v>
      </c>
      <c r="CT16" s="637"/>
      <c r="CU16" s="637" t="s">
        <v>40</v>
      </c>
      <c r="CV16" s="637"/>
      <c r="CW16" s="637"/>
      <c r="CX16" s="637"/>
      <c r="CY16" s="637"/>
      <c r="CZ16" s="637"/>
      <c r="DA16" s="637"/>
      <c r="DB16" s="637"/>
      <c r="DC16" s="637"/>
      <c r="DD16" s="637"/>
      <c r="DE16" s="637"/>
      <c r="DF16" s="637"/>
      <c r="DG16" s="637"/>
      <c r="DH16" s="637"/>
      <c r="DI16" s="637"/>
      <c r="DJ16" s="637" t="s">
        <v>40</v>
      </c>
      <c r="DK16" s="637" t="s">
        <v>40</v>
      </c>
      <c r="DL16" s="637"/>
      <c r="DM16" s="637"/>
      <c r="DN16" s="637"/>
      <c r="DO16" s="637"/>
      <c r="DP16" s="637"/>
      <c r="DQ16" s="654"/>
      <c r="DR16" s="650"/>
      <c r="DS16" s="661"/>
      <c r="DT16" s="662"/>
      <c r="DU16" s="661"/>
      <c r="DV16" s="663"/>
      <c r="DW16" s="657">
        <f t="shared" si="0"/>
        <v>0</v>
      </c>
      <c r="DX16" s="660">
        <f t="shared" si="1"/>
        <v>44200</v>
      </c>
      <c r="DY16" s="659"/>
    </row>
    <row r="17" spans="1:129" ht="15.75" customHeight="1">
      <c r="A17" s="660">
        <v>44201</v>
      </c>
      <c r="B17" s="637" t="s">
        <v>40</v>
      </c>
      <c r="C17" s="637" t="s">
        <v>40</v>
      </c>
      <c r="D17" s="637" t="s">
        <v>40</v>
      </c>
      <c r="E17" s="637" t="s">
        <v>40</v>
      </c>
      <c r="F17" s="637"/>
      <c r="G17" s="637"/>
      <c r="H17" s="637"/>
      <c r="I17" s="637"/>
      <c r="J17" s="637" t="s">
        <v>40</v>
      </c>
      <c r="K17" s="637"/>
      <c r="L17" s="637" t="s">
        <v>40</v>
      </c>
      <c r="M17" s="637"/>
      <c r="N17" s="637"/>
      <c r="O17" s="637"/>
      <c r="P17" s="637"/>
      <c r="Q17" s="637" t="s">
        <v>40</v>
      </c>
      <c r="R17" s="637" t="s">
        <v>40</v>
      </c>
      <c r="S17" s="637" t="s">
        <v>40</v>
      </c>
      <c r="T17" s="637"/>
      <c r="U17" s="637"/>
      <c r="V17" s="637" t="s">
        <v>40</v>
      </c>
      <c r="W17" s="637"/>
      <c r="X17" s="637" t="s">
        <v>40</v>
      </c>
      <c r="Y17" s="637" t="s">
        <v>40</v>
      </c>
      <c r="Z17" s="637"/>
      <c r="AA17" s="637"/>
      <c r="AB17" s="637" t="s">
        <v>40</v>
      </c>
      <c r="AC17" s="637"/>
      <c r="AD17" s="637" t="s">
        <v>40</v>
      </c>
      <c r="AE17" s="637"/>
      <c r="AF17" s="637"/>
      <c r="AG17" s="637" t="s">
        <v>40</v>
      </c>
      <c r="AH17" s="637" t="s">
        <v>40</v>
      </c>
      <c r="AI17" s="637"/>
      <c r="AJ17" s="637"/>
      <c r="AK17" s="637"/>
      <c r="AL17" s="637"/>
      <c r="AM17" s="637"/>
      <c r="AN17" s="637"/>
      <c r="AO17" s="637"/>
      <c r="AP17" s="637" t="s">
        <v>40</v>
      </c>
      <c r="AQ17" s="637"/>
      <c r="AR17" s="637"/>
      <c r="AS17" s="637"/>
      <c r="AT17" s="637" t="s">
        <v>40</v>
      </c>
      <c r="AU17" s="637" t="s">
        <v>40</v>
      </c>
      <c r="AV17" s="637"/>
      <c r="AW17" s="637"/>
      <c r="AX17" s="637"/>
      <c r="AY17" s="637" t="s">
        <v>40</v>
      </c>
      <c r="AZ17" s="637"/>
      <c r="BA17" s="637"/>
      <c r="BB17" s="637" t="s">
        <v>40</v>
      </c>
      <c r="BC17" s="637"/>
      <c r="BD17" s="637" t="s">
        <v>40</v>
      </c>
      <c r="BE17" s="637" t="s">
        <v>40</v>
      </c>
      <c r="BF17" s="637"/>
      <c r="BG17" s="637"/>
      <c r="BH17" s="637"/>
      <c r="BI17" s="637"/>
      <c r="BJ17" s="637" t="s">
        <v>40</v>
      </c>
      <c r="BK17" s="637" t="s">
        <v>40</v>
      </c>
      <c r="BL17" s="637"/>
      <c r="BM17" s="637" t="s">
        <v>40</v>
      </c>
      <c r="BN17" s="637"/>
      <c r="BO17" s="637"/>
      <c r="BP17" s="637"/>
      <c r="BQ17" s="637"/>
      <c r="BR17" s="637"/>
      <c r="BS17" s="637" t="s">
        <v>40</v>
      </c>
      <c r="BT17" s="637"/>
      <c r="BU17" s="637"/>
      <c r="BV17" s="637"/>
      <c r="BW17" s="637" t="s">
        <v>40</v>
      </c>
      <c r="BX17" s="637" t="s">
        <v>40</v>
      </c>
      <c r="BY17" s="637"/>
      <c r="BZ17" s="637" t="s">
        <v>40</v>
      </c>
      <c r="CA17" s="637" t="s">
        <v>40</v>
      </c>
      <c r="CB17" s="637" t="s">
        <v>40</v>
      </c>
      <c r="CC17" s="637"/>
      <c r="CD17" s="637" t="s">
        <v>40</v>
      </c>
      <c r="CE17" s="637"/>
      <c r="CF17" s="637"/>
      <c r="CG17" s="637" t="s">
        <v>40</v>
      </c>
      <c r="CH17" s="637"/>
      <c r="CI17" s="637" t="s">
        <v>40</v>
      </c>
      <c r="CJ17" s="637" t="s">
        <v>40</v>
      </c>
      <c r="CK17" s="637"/>
      <c r="CL17" s="637"/>
      <c r="CM17" s="637"/>
      <c r="CN17" s="637" t="s">
        <v>40</v>
      </c>
      <c r="CO17" s="637"/>
      <c r="CP17" s="637"/>
      <c r="CQ17" s="637"/>
      <c r="CR17" s="637" t="s">
        <v>40</v>
      </c>
      <c r="CS17" s="637"/>
      <c r="CT17" s="637"/>
      <c r="CU17" s="637"/>
      <c r="CV17" s="637"/>
      <c r="CW17" s="637"/>
      <c r="CX17" s="637">
        <v>19.440000000000001</v>
      </c>
      <c r="CY17" s="637"/>
      <c r="CZ17" s="637" t="s">
        <v>40</v>
      </c>
      <c r="DA17" s="637"/>
      <c r="DB17" s="637"/>
      <c r="DC17" s="637"/>
      <c r="DD17" s="637" t="s">
        <v>40</v>
      </c>
      <c r="DE17" s="637"/>
      <c r="DF17" s="637"/>
      <c r="DG17" s="637" t="s">
        <v>40</v>
      </c>
      <c r="DH17" s="637"/>
      <c r="DI17" s="637"/>
      <c r="DJ17" s="637" t="s">
        <v>40</v>
      </c>
      <c r="DK17" s="637" t="s">
        <v>40</v>
      </c>
      <c r="DL17" s="637"/>
      <c r="DM17" s="637"/>
      <c r="DN17" s="637"/>
      <c r="DO17" s="637"/>
      <c r="DP17" s="637"/>
      <c r="DQ17" s="654"/>
      <c r="DR17" s="650"/>
      <c r="DS17" s="661"/>
      <c r="DT17" s="662"/>
      <c r="DU17" s="661"/>
      <c r="DV17" s="663"/>
      <c r="DW17" s="657">
        <f t="shared" si="0"/>
        <v>19.440000000000001</v>
      </c>
      <c r="DX17" s="660">
        <f t="shared" si="1"/>
        <v>44201</v>
      </c>
      <c r="DY17" s="659"/>
    </row>
    <row r="18" spans="1:129" ht="15.75" customHeight="1">
      <c r="A18" s="660">
        <v>44202</v>
      </c>
      <c r="B18" s="637"/>
      <c r="C18" s="637"/>
      <c r="D18" s="637"/>
      <c r="E18" s="637"/>
      <c r="F18" s="637"/>
      <c r="G18" s="637"/>
      <c r="H18" s="637"/>
      <c r="I18" s="637"/>
      <c r="J18" s="637"/>
      <c r="K18" s="637"/>
      <c r="L18" s="637"/>
      <c r="M18" s="637"/>
      <c r="N18" s="637"/>
      <c r="O18" s="637"/>
      <c r="P18" s="637"/>
      <c r="Q18" s="637"/>
      <c r="R18" s="637"/>
      <c r="S18" s="637" t="s">
        <v>40</v>
      </c>
      <c r="T18" s="637" t="s">
        <v>40</v>
      </c>
      <c r="U18" s="637" t="s">
        <v>40</v>
      </c>
      <c r="V18" s="637"/>
      <c r="W18" s="637"/>
      <c r="X18" s="637"/>
      <c r="Y18" s="637"/>
      <c r="Z18" s="637"/>
      <c r="AA18" s="637" t="s">
        <v>40</v>
      </c>
      <c r="AB18" s="637"/>
      <c r="AC18" s="637" t="s">
        <v>40</v>
      </c>
      <c r="AD18" s="637"/>
      <c r="AE18" s="637" t="s">
        <v>40</v>
      </c>
      <c r="AF18" s="637" t="s">
        <v>40</v>
      </c>
      <c r="AG18" s="637"/>
      <c r="AH18" s="637"/>
      <c r="AI18" s="637"/>
      <c r="AJ18" s="637"/>
      <c r="AK18" s="637"/>
      <c r="AL18" s="637"/>
      <c r="AM18" s="637" t="s">
        <v>40</v>
      </c>
      <c r="AN18" s="637"/>
      <c r="AO18" s="637"/>
      <c r="AP18" s="637"/>
      <c r="AQ18" s="637" t="s">
        <v>40</v>
      </c>
      <c r="AR18" s="637"/>
      <c r="AS18" s="637"/>
      <c r="AT18" s="637" t="s">
        <v>40</v>
      </c>
      <c r="AU18" s="637"/>
      <c r="AV18" s="637"/>
      <c r="AW18" s="637"/>
      <c r="AX18" s="637"/>
      <c r="AY18" s="637" t="s">
        <v>40</v>
      </c>
      <c r="AZ18" s="637"/>
      <c r="BA18" s="637"/>
      <c r="BB18" s="637" t="s">
        <v>40</v>
      </c>
      <c r="BC18" s="637"/>
      <c r="BD18" s="637"/>
      <c r="BE18" s="637"/>
      <c r="BF18" s="637"/>
      <c r="BG18" s="637"/>
      <c r="BH18" s="637"/>
      <c r="BI18" s="637"/>
      <c r="BJ18" s="637" t="s">
        <v>40</v>
      </c>
      <c r="BK18" s="637"/>
      <c r="BL18" s="637" t="s">
        <v>40</v>
      </c>
      <c r="BM18" s="637"/>
      <c r="BN18" s="637"/>
      <c r="BO18" s="637" t="s">
        <v>40</v>
      </c>
      <c r="BP18" s="637"/>
      <c r="BQ18" s="637"/>
      <c r="BR18" s="637" t="s">
        <v>40</v>
      </c>
      <c r="BS18" s="637"/>
      <c r="BT18" s="637"/>
      <c r="BU18" s="637"/>
      <c r="BV18" s="637"/>
      <c r="BW18" s="637" t="s">
        <v>40</v>
      </c>
      <c r="BX18" s="637">
        <v>429</v>
      </c>
      <c r="BY18" s="637"/>
      <c r="BZ18" s="637"/>
      <c r="CA18" s="637"/>
      <c r="CB18" s="637"/>
      <c r="CC18" s="637"/>
      <c r="CD18" s="637" t="s">
        <v>40</v>
      </c>
      <c r="CE18" s="637"/>
      <c r="CF18" s="637"/>
      <c r="CG18" s="637"/>
      <c r="CH18" s="637" t="s">
        <v>40</v>
      </c>
      <c r="CI18" s="637"/>
      <c r="CJ18" s="637"/>
      <c r="CK18" s="637"/>
      <c r="CL18" s="637"/>
      <c r="CM18" s="637"/>
      <c r="CN18" s="637"/>
      <c r="CO18" s="637">
        <v>4.5</v>
      </c>
      <c r="CP18" s="637" t="s">
        <v>40</v>
      </c>
      <c r="CQ18" s="637" t="s">
        <v>40</v>
      </c>
      <c r="CR18" s="637" t="s">
        <v>40</v>
      </c>
      <c r="CS18" s="637"/>
      <c r="CT18" s="637"/>
      <c r="CU18" s="637"/>
      <c r="CV18" s="637"/>
      <c r="CW18" s="637"/>
      <c r="CX18" s="637"/>
      <c r="CY18" s="637"/>
      <c r="CZ18" s="637"/>
      <c r="DA18" s="637" t="s">
        <v>40</v>
      </c>
      <c r="DB18" s="637" t="s">
        <v>40</v>
      </c>
      <c r="DC18" s="637"/>
      <c r="DD18" s="637" t="s">
        <v>40</v>
      </c>
      <c r="DE18" s="637" t="s">
        <v>40</v>
      </c>
      <c r="DF18" s="637"/>
      <c r="DG18" s="637"/>
      <c r="DH18" s="637" t="s">
        <v>40</v>
      </c>
      <c r="DI18" s="637" t="s">
        <v>40</v>
      </c>
      <c r="DJ18" s="637"/>
      <c r="DK18" s="637" t="s">
        <v>40</v>
      </c>
      <c r="DL18" s="637">
        <v>309</v>
      </c>
      <c r="DM18" s="637"/>
      <c r="DN18" s="637"/>
      <c r="DO18" s="637"/>
      <c r="DP18" s="637" t="s">
        <v>40</v>
      </c>
      <c r="DQ18" s="654"/>
      <c r="DR18" s="650"/>
      <c r="DS18" s="661"/>
      <c r="DT18" s="662"/>
      <c r="DU18" s="661"/>
      <c r="DV18" s="663"/>
      <c r="DW18" s="657">
        <f t="shared" si="0"/>
        <v>742.5</v>
      </c>
      <c r="DX18" s="660">
        <f t="shared" si="1"/>
        <v>44202</v>
      </c>
      <c r="DY18" s="659"/>
    </row>
    <row r="19" spans="1:129" ht="15.75" customHeight="1">
      <c r="A19" s="660">
        <v>44203</v>
      </c>
      <c r="B19" s="637" t="s">
        <v>40</v>
      </c>
      <c r="C19" s="637"/>
      <c r="D19" s="637"/>
      <c r="E19" s="637" t="s">
        <v>40</v>
      </c>
      <c r="F19" s="637" t="s">
        <v>40</v>
      </c>
      <c r="G19" s="637"/>
      <c r="H19" s="637" t="s">
        <v>40</v>
      </c>
      <c r="I19" s="637"/>
      <c r="J19" s="637"/>
      <c r="K19" s="637"/>
      <c r="L19" s="637"/>
      <c r="M19" s="637"/>
      <c r="N19" s="637" t="s">
        <v>40</v>
      </c>
      <c r="O19" s="637"/>
      <c r="P19" s="637" t="s">
        <v>40</v>
      </c>
      <c r="Q19" s="637"/>
      <c r="R19" s="637"/>
      <c r="S19" s="637" t="s">
        <v>40</v>
      </c>
      <c r="T19" s="637"/>
      <c r="U19" s="637"/>
      <c r="V19" s="637"/>
      <c r="W19" s="637"/>
      <c r="X19" s="637"/>
      <c r="Y19" s="637"/>
      <c r="Z19" s="637"/>
      <c r="AA19" s="637"/>
      <c r="AB19" s="637"/>
      <c r="AC19" s="637"/>
      <c r="AD19" s="637"/>
      <c r="AE19" s="637"/>
      <c r="AF19" s="637"/>
      <c r="AG19" s="637"/>
      <c r="AH19" s="637"/>
      <c r="AI19" s="637" t="s">
        <v>40</v>
      </c>
      <c r="AJ19" s="637"/>
      <c r="AK19" s="637"/>
      <c r="AL19" s="637"/>
      <c r="AM19" s="637"/>
      <c r="AN19" s="637"/>
      <c r="AO19" s="637"/>
      <c r="AP19" s="637"/>
      <c r="AQ19" s="637"/>
      <c r="AR19" s="637"/>
      <c r="AS19" s="637"/>
      <c r="AT19" s="637"/>
      <c r="AU19" s="637"/>
      <c r="AV19" s="637"/>
      <c r="AW19" s="637"/>
      <c r="AX19" s="637"/>
      <c r="AY19" s="637"/>
      <c r="AZ19" s="637"/>
      <c r="BA19" s="637"/>
      <c r="BB19" s="637"/>
      <c r="BC19" s="637"/>
      <c r="BD19" s="637"/>
      <c r="BE19" s="637"/>
      <c r="BF19" s="637"/>
      <c r="BG19" s="637"/>
      <c r="BH19" s="637"/>
      <c r="BI19" s="637"/>
      <c r="BJ19" s="637"/>
      <c r="BK19" s="637"/>
      <c r="BL19" s="637"/>
      <c r="BM19" s="637"/>
      <c r="BN19" s="637"/>
      <c r="BO19" s="637"/>
      <c r="BP19" s="637"/>
      <c r="BQ19" s="637"/>
      <c r="BR19" s="637"/>
      <c r="BS19" s="637"/>
      <c r="BT19" s="637"/>
      <c r="BU19" s="637"/>
      <c r="BV19" s="637"/>
      <c r="BW19" s="637"/>
      <c r="BX19" s="637"/>
      <c r="BY19" s="637"/>
      <c r="BZ19" s="637"/>
      <c r="CA19" s="637"/>
      <c r="CB19" s="637"/>
      <c r="CC19" s="637"/>
      <c r="CD19" s="637"/>
      <c r="CE19" s="637"/>
      <c r="CF19" s="637"/>
      <c r="CG19" s="637"/>
      <c r="CH19" s="637"/>
      <c r="CI19" s="637"/>
      <c r="CJ19" s="637"/>
      <c r="CK19" s="637"/>
      <c r="CL19" s="637"/>
      <c r="CM19" s="637"/>
      <c r="CN19" s="637"/>
      <c r="CO19" s="637"/>
      <c r="CP19" s="637"/>
      <c r="CQ19" s="637"/>
      <c r="CR19" s="637"/>
      <c r="CS19" s="637"/>
      <c r="CT19" s="637"/>
      <c r="CU19" s="637"/>
      <c r="CV19" s="637"/>
      <c r="CW19" s="637"/>
      <c r="CX19" s="637"/>
      <c r="CY19" s="637"/>
      <c r="CZ19" s="637"/>
      <c r="DA19" s="637"/>
      <c r="DB19" s="637"/>
      <c r="DC19" s="637"/>
      <c r="DD19" s="637"/>
      <c r="DE19" s="637"/>
      <c r="DF19" s="637"/>
      <c r="DG19" s="637"/>
      <c r="DH19" s="637"/>
      <c r="DI19" s="637"/>
      <c r="DJ19" s="637"/>
      <c r="DK19" s="637"/>
      <c r="DL19" s="637"/>
      <c r="DM19" s="637"/>
      <c r="DN19" s="637"/>
      <c r="DO19" s="637"/>
      <c r="DP19" s="637"/>
      <c r="DQ19" s="654"/>
      <c r="DR19" s="650"/>
      <c r="DS19" s="661"/>
      <c r="DT19" s="662"/>
      <c r="DU19" s="661"/>
      <c r="DV19" s="663"/>
      <c r="DW19" s="657">
        <f t="shared" si="0"/>
        <v>0</v>
      </c>
      <c r="DX19" s="660">
        <f t="shared" si="1"/>
        <v>44203</v>
      </c>
      <c r="DY19" s="659"/>
    </row>
    <row r="20" spans="1:129" ht="15.75" customHeight="1">
      <c r="A20" s="660">
        <v>44204</v>
      </c>
      <c r="B20" s="637"/>
      <c r="C20" s="637" t="s">
        <v>40</v>
      </c>
      <c r="D20" s="637" t="s">
        <v>40</v>
      </c>
      <c r="E20" s="637"/>
      <c r="F20" s="637"/>
      <c r="G20" s="637" t="s">
        <v>40</v>
      </c>
      <c r="H20" s="637" t="s">
        <v>40</v>
      </c>
      <c r="I20" s="637" t="s">
        <v>40</v>
      </c>
      <c r="J20" s="637" t="s">
        <v>40</v>
      </c>
      <c r="K20" s="637" t="s">
        <v>40</v>
      </c>
      <c r="L20" s="637"/>
      <c r="M20" s="637"/>
      <c r="N20" s="637" t="s">
        <v>40</v>
      </c>
      <c r="O20" s="637" t="s">
        <v>40</v>
      </c>
      <c r="P20" s="637" t="s">
        <v>40</v>
      </c>
      <c r="Q20" s="637"/>
      <c r="R20" s="637"/>
      <c r="S20" s="637"/>
      <c r="T20" s="637"/>
      <c r="U20" s="637"/>
      <c r="V20" s="637" t="s">
        <v>40</v>
      </c>
      <c r="W20" s="637"/>
      <c r="X20" s="637" t="s">
        <v>40</v>
      </c>
      <c r="Y20" s="637" t="s">
        <v>40</v>
      </c>
      <c r="Z20" s="637"/>
      <c r="AA20" s="637" t="s">
        <v>40</v>
      </c>
      <c r="AB20" s="637"/>
      <c r="AC20" s="637"/>
      <c r="AD20" s="637"/>
      <c r="AE20" s="637"/>
      <c r="AF20" s="637"/>
      <c r="AG20" s="637" t="s">
        <v>40</v>
      </c>
      <c r="AH20" s="637"/>
      <c r="AI20" s="637" t="s">
        <v>40</v>
      </c>
      <c r="AJ20" s="637"/>
      <c r="AK20" s="637"/>
      <c r="AL20" s="637" t="s">
        <v>40</v>
      </c>
      <c r="AM20" s="637"/>
      <c r="AN20" s="637"/>
      <c r="AO20" s="637" t="s">
        <v>40</v>
      </c>
      <c r="AP20" s="637" t="s">
        <v>40</v>
      </c>
      <c r="AQ20" s="637"/>
      <c r="AR20" s="637" t="s">
        <v>40</v>
      </c>
      <c r="AS20" s="637"/>
      <c r="AT20" s="637"/>
      <c r="AU20" s="637"/>
      <c r="AV20" s="637"/>
      <c r="AW20" s="637"/>
      <c r="AX20" s="637"/>
      <c r="AY20" s="637" t="s">
        <v>40</v>
      </c>
      <c r="AZ20" s="637"/>
      <c r="BA20" s="637" t="s">
        <v>40</v>
      </c>
      <c r="BB20" s="637" t="s">
        <v>40</v>
      </c>
      <c r="BC20" s="637" t="s">
        <v>287</v>
      </c>
      <c r="BD20" s="637" t="s">
        <v>40</v>
      </c>
      <c r="BE20" s="637" t="s">
        <v>40</v>
      </c>
      <c r="BF20" s="637" t="s">
        <v>40</v>
      </c>
      <c r="BG20" s="637"/>
      <c r="BH20" s="637" t="s">
        <v>40</v>
      </c>
      <c r="BI20" s="637"/>
      <c r="BJ20" s="637"/>
      <c r="BK20" s="637" t="s">
        <v>40</v>
      </c>
      <c r="BL20" s="637" t="s">
        <v>40</v>
      </c>
      <c r="BM20" s="637" t="s">
        <v>40</v>
      </c>
      <c r="BN20" s="637"/>
      <c r="BO20" s="637" t="s">
        <v>40</v>
      </c>
      <c r="BP20" s="637"/>
      <c r="BQ20" s="637"/>
      <c r="BR20" s="637" t="s">
        <v>40</v>
      </c>
      <c r="BS20" s="637"/>
      <c r="BT20" s="637"/>
      <c r="BU20" s="637" t="s">
        <v>40</v>
      </c>
      <c r="BV20" s="637"/>
      <c r="BW20" s="637" t="s">
        <v>40</v>
      </c>
      <c r="BX20" s="637"/>
      <c r="BY20" s="637"/>
      <c r="BZ20" s="637"/>
      <c r="CA20" s="637"/>
      <c r="CB20" s="637" t="s">
        <v>40</v>
      </c>
      <c r="CC20" s="637"/>
      <c r="CD20" s="637" t="s">
        <v>40</v>
      </c>
      <c r="CE20" s="637" t="s">
        <v>40</v>
      </c>
      <c r="CF20" s="637"/>
      <c r="CG20" s="637"/>
      <c r="CH20" s="637" t="s">
        <v>40</v>
      </c>
      <c r="CI20" s="637" t="s">
        <v>40</v>
      </c>
      <c r="CJ20" s="637"/>
      <c r="CK20" s="637"/>
      <c r="CL20" s="637" t="s">
        <v>40</v>
      </c>
      <c r="CM20" s="637"/>
      <c r="CN20" s="637"/>
      <c r="CO20" s="637">
        <v>117</v>
      </c>
      <c r="CP20" s="637"/>
      <c r="CQ20" s="637"/>
      <c r="CR20" s="637"/>
      <c r="CS20" s="637"/>
      <c r="CT20" s="637"/>
      <c r="CU20" s="637"/>
      <c r="CV20" s="637"/>
      <c r="CW20" s="637"/>
      <c r="CX20" s="637"/>
      <c r="CY20" s="637"/>
      <c r="CZ20" s="637"/>
      <c r="DA20" s="637"/>
      <c r="DB20" s="637" t="s">
        <v>40</v>
      </c>
      <c r="DC20" s="637"/>
      <c r="DD20" s="637"/>
      <c r="DE20" s="637"/>
      <c r="DF20" s="637" t="s">
        <v>40</v>
      </c>
      <c r="DG20" s="637">
        <v>52.5</v>
      </c>
      <c r="DH20" s="637"/>
      <c r="DI20" s="637"/>
      <c r="DJ20" s="637" t="s">
        <v>40</v>
      </c>
      <c r="DK20" s="637"/>
      <c r="DL20" s="637"/>
      <c r="DM20" s="637">
        <v>477</v>
      </c>
      <c r="DN20" s="637"/>
      <c r="DO20" s="637"/>
      <c r="DP20" s="637"/>
      <c r="DQ20" s="654"/>
      <c r="DR20" s="650"/>
      <c r="DS20" s="661"/>
      <c r="DT20" s="662"/>
      <c r="DU20" s="661"/>
      <c r="DV20" s="663"/>
      <c r="DW20" s="657">
        <f t="shared" si="0"/>
        <v>646.5</v>
      </c>
      <c r="DX20" s="660">
        <f t="shared" si="1"/>
        <v>44204</v>
      </c>
      <c r="DY20" s="659"/>
    </row>
    <row r="21" spans="1:129" ht="15.75" customHeight="1">
      <c r="A21" s="660">
        <v>44205</v>
      </c>
      <c r="B21" s="637" t="s">
        <v>40</v>
      </c>
      <c r="C21" s="637" t="s">
        <v>40</v>
      </c>
      <c r="D21" s="637"/>
      <c r="E21" s="637"/>
      <c r="F21" s="637" t="s">
        <v>40</v>
      </c>
      <c r="G21" s="637"/>
      <c r="H21" s="637" t="s">
        <v>40</v>
      </c>
      <c r="I21" s="637" t="s">
        <v>40</v>
      </c>
      <c r="J21" s="637" t="s">
        <v>40</v>
      </c>
      <c r="K21" s="637"/>
      <c r="L21" s="637" t="s">
        <v>40</v>
      </c>
      <c r="M21" s="637"/>
      <c r="N21" s="637" t="s">
        <v>40</v>
      </c>
      <c r="O21" s="637" t="s">
        <v>40</v>
      </c>
      <c r="P21" s="637" t="s">
        <v>40</v>
      </c>
      <c r="Q21" s="637" t="s">
        <v>40</v>
      </c>
      <c r="R21" s="637" t="s">
        <v>40</v>
      </c>
      <c r="S21" s="637" t="s">
        <v>40</v>
      </c>
      <c r="T21" s="637"/>
      <c r="U21" s="637" t="s">
        <v>40</v>
      </c>
      <c r="V21" s="637"/>
      <c r="W21" s="637" t="s">
        <v>40</v>
      </c>
      <c r="X21" s="637"/>
      <c r="Y21" s="637"/>
      <c r="Z21" s="637"/>
      <c r="AA21" s="637"/>
      <c r="AB21" s="637" t="s">
        <v>40</v>
      </c>
      <c r="AC21" s="637" t="s">
        <v>40</v>
      </c>
      <c r="AD21" s="637" t="s">
        <v>40</v>
      </c>
      <c r="AE21" s="637" t="s">
        <v>40</v>
      </c>
      <c r="AF21" s="637" t="s">
        <v>40</v>
      </c>
      <c r="AG21" s="637" t="s">
        <v>40</v>
      </c>
      <c r="AH21" s="637" t="s">
        <v>40</v>
      </c>
      <c r="AI21" s="637"/>
      <c r="AJ21" s="637"/>
      <c r="AK21" s="637"/>
      <c r="AL21" s="637"/>
      <c r="AM21" s="637"/>
      <c r="AN21" s="637"/>
      <c r="AO21" s="637"/>
      <c r="AP21" s="637"/>
      <c r="AQ21" s="637"/>
      <c r="AR21" s="637"/>
      <c r="AS21" s="637"/>
      <c r="AT21" s="637" t="s">
        <v>40</v>
      </c>
      <c r="AU21" s="637" t="s">
        <v>40</v>
      </c>
      <c r="AV21" s="637"/>
      <c r="AW21" s="637"/>
      <c r="AX21" s="637"/>
      <c r="AY21" s="637" t="s">
        <v>40</v>
      </c>
      <c r="AZ21" s="637" t="s">
        <v>40</v>
      </c>
      <c r="BA21" s="637" t="s">
        <v>40</v>
      </c>
      <c r="BB21" s="637" t="s">
        <v>40</v>
      </c>
      <c r="BC21" s="637"/>
      <c r="BD21" s="637" t="s">
        <v>40</v>
      </c>
      <c r="BE21" s="637"/>
      <c r="BF21" s="637" t="s">
        <v>40</v>
      </c>
      <c r="BG21" s="637"/>
      <c r="BH21" s="637"/>
      <c r="BI21" s="637" t="s">
        <v>40</v>
      </c>
      <c r="BJ21" s="637"/>
      <c r="BK21" s="637"/>
      <c r="BL21" s="637" t="s">
        <v>40</v>
      </c>
      <c r="BM21" s="637" t="s">
        <v>40</v>
      </c>
      <c r="BN21" s="637" t="s">
        <v>40</v>
      </c>
      <c r="BO21" s="637" t="s">
        <v>40</v>
      </c>
      <c r="BP21" s="637" t="s">
        <v>40</v>
      </c>
      <c r="BQ21" s="637" t="s">
        <v>40</v>
      </c>
      <c r="BR21" s="637" t="s">
        <v>40</v>
      </c>
      <c r="BS21" s="637" t="s">
        <v>40</v>
      </c>
      <c r="BT21" s="637"/>
      <c r="BU21" s="637"/>
      <c r="BV21" s="637" t="s">
        <v>40</v>
      </c>
      <c r="BW21" s="637"/>
      <c r="BX21" s="637"/>
      <c r="BY21" s="637"/>
      <c r="BZ21" s="637"/>
      <c r="CA21" s="637"/>
      <c r="CB21" s="637"/>
      <c r="CC21" s="637"/>
      <c r="CD21" s="637"/>
      <c r="CE21" s="637" t="s">
        <v>40</v>
      </c>
      <c r="CF21" s="637"/>
      <c r="CG21" s="637" t="s">
        <v>40</v>
      </c>
      <c r="CH21" s="637" t="s">
        <v>40</v>
      </c>
      <c r="CI21" s="637"/>
      <c r="CJ21" s="637" t="s">
        <v>40</v>
      </c>
      <c r="CK21" s="637" t="s">
        <v>40</v>
      </c>
      <c r="CL21" s="637" t="s">
        <v>40</v>
      </c>
      <c r="CM21" s="637" t="s">
        <v>40</v>
      </c>
      <c r="CN21" s="637"/>
      <c r="CO21" s="637"/>
      <c r="CP21" s="637"/>
      <c r="CQ21" s="637"/>
      <c r="CR21" s="637" t="s">
        <v>40</v>
      </c>
      <c r="CS21" s="637"/>
      <c r="CT21" s="637"/>
      <c r="CU21" s="637" t="s">
        <v>40</v>
      </c>
      <c r="CV21" s="637"/>
      <c r="CW21" s="637"/>
      <c r="CX21" s="637"/>
      <c r="CY21" s="637"/>
      <c r="CZ21" s="637"/>
      <c r="DA21" s="637"/>
      <c r="DB21" s="637" t="s">
        <v>40</v>
      </c>
      <c r="DC21" s="637"/>
      <c r="DD21" s="637"/>
      <c r="DE21" s="637"/>
      <c r="DF21" s="637" t="s">
        <v>40</v>
      </c>
      <c r="DG21" s="637"/>
      <c r="DH21" s="637" t="s">
        <v>40</v>
      </c>
      <c r="DI21" s="637"/>
      <c r="DJ21" s="637" t="s">
        <v>40</v>
      </c>
      <c r="DK21" s="637" t="s">
        <v>40</v>
      </c>
      <c r="DL21" s="637"/>
      <c r="DM21" s="637"/>
      <c r="DN21" s="637"/>
      <c r="DO21" s="637"/>
      <c r="DP21" s="637"/>
      <c r="DQ21" s="654"/>
      <c r="DR21" s="650"/>
      <c r="DS21" s="661"/>
      <c r="DT21" s="662"/>
      <c r="DU21" s="661"/>
      <c r="DV21" s="663"/>
      <c r="DW21" s="657">
        <f t="shared" si="0"/>
        <v>0</v>
      </c>
      <c r="DX21" s="660">
        <f t="shared" si="1"/>
        <v>44205</v>
      </c>
      <c r="DY21" s="659"/>
    </row>
    <row r="22" spans="1:129" ht="15.75" customHeight="1">
      <c r="A22" s="660">
        <v>44206</v>
      </c>
      <c r="B22" s="637"/>
      <c r="C22" s="637"/>
      <c r="D22" s="637"/>
      <c r="E22" s="637"/>
      <c r="F22" s="637"/>
      <c r="G22" s="637"/>
      <c r="H22" s="637"/>
      <c r="I22" s="637"/>
      <c r="J22" s="637"/>
      <c r="K22" s="637"/>
      <c r="L22" s="637"/>
      <c r="M22" s="637"/>
      <c r="N22" s="637"/>
      <c r="O22" s="637"/>
      <c r="P22" s="637"/>
      <c r="Q22" s="637"/>
      <c r="R22" s="637"/>
      <c r="S22" s="637"/>
      <c r="T22" s="637"/>
      <c r="U22" s="637"/>
      <c r="V22" s="637"/>
      <c r="W22" s="637"/>
      <c r="X22" s="637"/>
      <c r="Y22" s="637"/>
      <c r="Z22" s="637"/>
      <c r="AA22" s="637"/>
      <c r="AB22" s="637"/>
      <c r="AC22" s="637"/>
      <c r="AD22" s="637"/>
      <c r="AE22" s="637"/>
      <c r="AF22" s="637"/>
      <c r="AG22" s="637"/>
      <c r="AH22" s="637"/>
      <c r="AI22" s="637"/>
      <c r="AJ22" s="637"/>
      <c r="AK22" s="637"/>
      <c r="AL22" s="637"/>
      <c r="AM22" s="637"/>
      <c r="AN22" s="637"/>
      <c r="AO22" s="637"/>
      <c r="AP22" s="637"/>
      <c r="AQ22" s="637"/>
      <c r="AR22" s="637"/>
      <c r="AS22" s="637"/>
      <c r="AT22" s="637"/>
      <c r="AU22" s="637"/>
      <c r="AV22" s="637"/>
      <c r="AW22" s="637"/>
      <c r="AX22" s="637"/>
      <c r="AY22" s="637"/>
      <c r="AZ22" s="637"/>
      <c r="BA22" s="637"/>
      <c r="BB22" s="637"/>
      <c r="BC22" s="637"/>
      <c r="BD22" s="637"/>
      <c r="BE22" s="637"/>
      <c r="BF22" s="637"/>
      <c r="BG22" s="637"/>
      <c r="BH22" s="637"/>
      <c r="BI22" s="637"/>
      <c r="BJ22" s="637"/>
      <c r="BK22" s="637"/>
      <c r="BL22" s="637"/>
      <c r="BM22" s="637"/>
      <c r="BN22" s="637"/>
      <c r="BO22" s="637"/>
      <c r="BP22" s="637"/>
      <c r="BQ22" s="637"/>
      <c r="BR22" s="637"/>
      <c r="BS22" s="637"/>
      <c r="BT22" s="637"/>
      <c r="BU22" s="637"/>
      <c r="BV22" s="637"/>
      <c r="BW22" s="637"/>
      <c r="BX22" s="637"/>
      <c r="BY22" s="637"/>
      <c r="BZ22" s="637"/>
      <c r="CA22" s="637"/>
      <c r="CB22" s="637"/>
      <c r="CC22" s="637"/>
      <c r="CD22" s="637"/>
      <c r="CE22" s="637" t="s">
        <v>40</v>
      </c>
      <c r="CF22" s="637"/>
      <c r="CG22" s="637"/>
      <c r="CH22" s="637"/>
      <c r="CI22" s="637"/>
      <c r="CJ22" s="637"/>
      <c r="CK22" s="637"/>
      <c r="CL22" s="637" t="s">
        <v>40</v>
      </c>
      <c r="CM22" s="637"/>
      <c r="CN22" s="637"/>
      <c r="CO22" s="637"/>
      <c r="CP22" s="637"/>
      <c r="CQ22" s="637"/>
      <c r="CR22" s="637" t="s">
        <v>40</v>
      </c>
      <c r="CS22" s="637"/>
      <c r="CT22" s="637" t="s">
        <v>40</v>
      </c>
      <c r="CU22" s="637" t="s">
        <v>40</v>
      </c>
      <c r="CV22" s="637"/>
      <c r="CW22" s="637"/>
      <c r="CX22" s="637"/>
      <c r="CY22" s="637"/>
      <c r="CZ22" s="637"/>
      <c r="DA22" s="637" t="s">
        <v>40</v>
      </c>
      <c r="DB22" s="637"/>
      <c r="DC22" s="637" t="s">
        <v>40</v>
      </c>
      <c r="DD22" s="637" t="s">
        <v>40</v>
      </c>
      <c r="DE22" s="637"/>
      <c r="DF22" s="637"/>
      <c r="DG22" s="637"/>
      <c r="DH22" s="637"/>
      <c r="DI22" s="637"/>
      <c r="DJ22" s="637"/>
      <c r="DK22" s="637"/>
      <c r="DL22" s="637"/>
      <c r="DM22" s="637"/>
      <c r="DN22" s="637">
        <v>336</v>
      </c>
      <c r="DO22" s="637"/>
      <c r="DP22" s="637"/>
      <c r="DQ22" s="654"/>
      <c r="DR22" s="650"/>
      <c r="DS22" s="661"/>
      <c r="DT22" s="662"/>
      <c r="DU22" s="661"/>
      <c r="DV22" s="663"/>
      <c r="DW22" s="657">
        <f t="shared" si="0"/>
        <v>336</v>
      </c>
      <c r="DX22" s="660">
        <f t="shared" si="1"/>
        <v>44206</v>
      </c>
      <c r="DY22" s="659"/>
    </row>
    <row r="23" spans="1:129" ht="15.75" customHeight="1">
      <c r="A23" s="660">
        <v>44207</v>
      </c>
      <c r="B23" s="637"/>
      <c r="C23" s="637"/>
      <c r="D23" s="637"/>
      <c r="E23" s="637"/>
      <c r="F23" s="637"/>
      <c r="G23" s="637"/>
      <c r="H23" s="637"/>
      <c r="I23" s="637"/>
      <c r="J23" s="637"/>
      <c r="K23" s="637"/>
      <c r="L23" s="637"/>
      <c r="M23" s="637"/>
      <c r="N23" s="637"/>
      <c r="O23" s="637"/>
      <c r="P23" s="637"/>
      <c r="Q23" s="637"/>
      <c r="R23" s="637"/>
      <c r="S23" s="637"/>
      <c r="T23" s="637"/>
      <c r="U23" s="637"/>
      <c r="V23" s="637"/>
      <c r="W23" s="637"/>
      <c r="X23" s="637"/>
      <c r="Y23" s="637"/>
      <c r="Z23" s="637"/>
      <c r="AA23" s="637"/>
      <c r="AB23" s="637"/>
      <c r="AC23" s="637"/>
      <c r="AD23" s="637"/>
      <c r="AE23" s="637"/>
      <c r="AF23" s="637"/>
      <c r="AG23" s="637"/>
      <c r="AH23" s="637"/>
      <c r="AI23" s="637"/>
      <c r="AJ23" s="637"/>
      <c r="AK23" s="637"/>
      <c r="AL23" s="637"/>
      <c r="AM23" s="637"/>
      <c r="AN23" s="637"/>
      <c r="AO23" s="637"/>
      <c r="AP23" s="637"/>
      <c r="AQ23" s="637"/>
      <c r="AR23" s="637"/>
      <c r="AS23" s="637"/>
      <c r="AT23" s="637"/>
      <c r="AU23" s="637"/>
      <c r="AV23" s="637"/>
      <c r="AW23" s="637"/>
      <c r="AX23" s="637"/>
      <c r="AY23" s="637"/>
      <c r="AZ23" s="637"/>
      <c r="BA23" s="637"/>
      <c r="BB23" s="637"/>
      <c r="BC23" s="637"/>
      <c r="BD23" s="637"/>
      <c r="BE23" s="637"/>
      <c r="BF23" s="637"/>
      <c r="BG23" s="637"/>
      <c r="BH23" s="637"/>
      <c r="BI23" s="637"/>
      <c r="BJ23" s="637"/>
      <c r="BK23" s="637"/>
      <c r="BL23" s="637"/>
      <c r="BM23" s="637"/>
      <c r="BN23" s="637"/>
      <c r="BO23" s="637"/>
      <c r="BP23" s="637"/>
      <c r="BQ23" s="637"/>
      <c r="BR23" s="637"/>
      <c r="BS23" s="637"/>
      <c r="BT23" s="637"/>
      <c r="BU23" s="637"/>
      <c r="BV23" s="637"/>
      <c r="BW23" s="637"/>
      <c r="BX23" s="637"/>
      <c r="BY23" s="637"/>
      <c r="BZ23" s="637"/>
      <c r="CA23" s="637"/>
      <c r="CB23" s="637"/>
      <c r="CC23" s="637"/>
      <c r="CD23" s="637"/>
      <c r="CE23" s="637"/>
      <c r="CF23" s="637"/>
      <c r="CG23" s="637"/>
      <c r="CH23" s="637"/>
      <c r="CI23" s="637"/>
      <c r="CJ23" s="637"/>
      <c r="CK23" s="637"/>
      <c r="CL23" s="637"/>
      <c r="CM23" s="637"/>
      <c r="CN23" s="637"/>
      <c r="CO23" s="637"/>
      <c r="CP23" s="637"/>
      <c r="CQ23" s="637"/>
      <c r="CR23" s="637"/>
      <c r="CS23" s="637"/>
      <c r="CT23" s="637"/>
      <c r="CU23" s="637"/>
      <c r="CV23" s="637"/>
      <c r="CW23" s="637"/>
      <c r="CX23" s="637"/>
      <c r="CY23" s="637"/>
      <c r="CZ23" s="637"/>
      <c r="DA23" s="637"/>
      <c r="DB23" s="637"/>
      <c r="DC23" s="637"/>
      <c r="DD23" s="637"/>
      <c r="DE23" s="637"/>
      <c r="DF23" s="637"/>
      <c r="DG23" s="637"/>
      <c r="DH23" s="637"/>
      <c r="DI23" s="637"/>
      <c r="DJ23" s="637"/>
      <c r="DK23" s="637"/>
      <c r="DL23" s="637"/>
      <c r="DM23" s="637"/>
      <c r="DN23" s="637"/>
      <c r="DO23" s="637"/>
      <c r="DP23" s="637"/>
      <c r="DQ23" s="654"/>
      <c r="DR23" s="650"/>
      <c r="DS23" s="661"/>
      <c r="DT23" s="662"/>
      <c r="DU23" s="661"/>
      <c r="DV23" s="663"/>
      <c r="DW23" s="657">
        <f t="shared" si="0"/>
        <v>0</v>
      </c>
      <c r="DX23" s="660">
        <f t="shared" si="1"/>
        <v>44207</v>
      </c>
      <c r="DY23" s="659"/>
    </row>
    <row r="24" spans="1:129" ht="15.75" customHeight="1">
      <c r="A24" s="660">
        <v>44208</v>
      </c>
      <c r="B24" s="637"/>
      <c r="C24" s="637" t="s">
        <v>40</v>
      </c>
      <c r="D24" s="637" t="s">
        <v>40</v>
      </c>
      <c r="E24" s="637"/>
      <c r="F24" s="637"/>
      <c r="G24" s="637" t="s">
        <v>40</v>
      </c>
      <c r="H24" s="637"/>
      <c r="I24" s="637"/>
      <c r="J24" s="637"/>
      <c r="K24" s="637" t="s">
        <v>40</v>
      </c>
      <c r="L24" s="637" t="s">
        <v>40</v>
      </c>
      <c r="M24" s="637"/>
      <c r="N24" s="637" t="s">
        <v>40</v>
      </c>
      <c r="O24" s="637" t="s">
        <v>40</v>
      </c>
      <c r="P24" s="637" t="s">
        <v>40</v>
      </c>
      <c r="Q24" s="637" t="s">
        <v>40</v>
      </c>
      <c r="R24" s="637"/>
      <c r="S24" s="637"/>
      <c r="T24" s="637" t="s">
        <v>40</v>
      </c>
      <c r="U24" s="637"/>
      <c r="V24" s="637"/>
      <c r="W24" s="637" t="s">
        <v>40</v>
      </c>
      <c r="X24" s="637" t="s">
        <v>40</v>
      </c>
      <c r="Y24" s="637" t="s">
        <v>40</v>
      </c>
      <c r="Z24" s="637"/>
      <c r="AA24" s="637"/>
      <c r="AB24" s="637" t="s">
        <v>40</v>
      </c>
      <c r="AC24" s="637" t="s">
        <v>40</v>
      </c>
      <c r="AD24" s="637"/>
      <c r="AE24" s="637" t="s">
        <v>40</v>
      </c>
      <c r="AF24" s="637" t="s">
        <v>40</v>
      </c>
      <c r="AG24" s="637" t="s">
        <v>40</v>
      </c>
      <c r="AH24" s="637"/>
      <c r="AI24" s="637"/>
      <c r="AJ24" s="637"/>
      <c r="AK24" s="637" t="s">
        <v>40</v>
      </c>
      <c r="AL24" s="637"/>
      <c r="AM24" s="637"/>
      <c r="AN24" s="637"/>
      <c r="AO24" s="637"/>
      <c r="AP24" s="637"/>
      <c r="AQ24" s="637"/>
      <c r="AR24" s="637"/>
      <c r="AS24" s="637" t="s">
        <v>40</v>
      </c>
      <c r="AT24" s="637" t="s">
        <v>40</v>
      </c>
      <c r="AU24" s="637" t="s">
        <v>40</v>
      </c>
      <c r="AV24" s="637"/>
      <c r="AW24" s="637"/>
      <c r="AX24" s="637"/>
      <c r="AY24" s="637" t="s">
        <v>40</v>
      </c>
      <c r="AZ24" s="637" t="s">
        <v>40</v>
      </c>
      <c r="BA24" s="637" t="s">
        <v>40</v>
      </c>
      <c r="BB24" s="637" t="s">
        <v>40</v>
      </c>
      <c r="BC24" s="637"/>
      <c r="BD24" s="637" t="s">
        <v>40</v>
      </c>
      <c r="BE24" s="637" t="s">
        <v>40</v>
      </c>
      <c r="BF24" s="637"/>
      <c r="BG24" s="637" t="s">
        <v>40</v>
      </c>
      <c r="BH24" s="637"/>
      <c r="BI24" s="637" t="s">
        <v>40</v>
      </c>
      <c r="BJ24" s="637" t="s">
        <v>40</v>
      </c>
      <c r="BK24" s="637" t="s">
        <v>40</v>
      </c>
      <c r="BL24" s="637" t="s">
        <v>40</v>
      </c>
      <c r="BM24" s="637" t="s">
        <v>40</v>
      </c>
      <c r="BN24" s="637" t="s">
        <v>40</v>
      </c>
      <c r="BO24" s="637"/>
      <c r="BP24" s="637"/>
      <c r="BQ24" s="637" t="s">
        <v>40</v>
      </c>
      <c r="BR24" s="637" t="s">
        <v>40</v>
      </c>
      <c r="BS24" s="637" t="s">
        <v>40</v>
      </c>
      <c r="BT24" s="637" t="s">
        <v>40</v>
      </c>
      <c r="BU24" s="637"/>
      <c r="BV24" s="637" t="s">
        <v>40</v>
      </c>
      <c r="BW24" s="637"/>
      <c r="BX24" s="637"/>
      <c r="BY24" s="637" t="s">
        <v>40</v>
      </c>
      <c r="BZ24" s="637"/>
      <c r="CA24" s="637"/>
      <c r="CB24" s="637" t="s">
        <v>40</v>
      </c>
      <c r="CC24" s="637"/>
      <c r="CD24" s="637"/>
      <c r="CE24" s="637"/>
      <c r="CF24" s="637"/>
      <c r="CG24" s="637"/>
      <c r="CH24" s="637"/>
      <c r="CI24" s="637" t="s">
        <v>40</v>
      </c>
      <c r="CJ24" s="637"/>
      <c r="CK24" s="637" t="s">
        <v>40</v>
      </c>
      <c r="CL24" s="637" t="s">
        <v>40</v>
      </c>
      <c r="CM24" s="637" t="s">
        <v>40</v>
      </c>
      <c r="CN24" s="637"/>
      <c r="CO24" s="637"/>
      <c r="CP24" s="637"/>
      <c r="CQ24" s="637"/>
      <c r="CR24" s="637"/>
      <c r="CS24" s="637"/>
      <c r="CT24" s="637" t="s">
        <v>40</v>
      </c>
      <c r="CU24" s="637"/>
      <c r="CV24" s="637"/>
      <c r="CW24" s="637" t="s">
        <v>40</v>
      </c>
      <c r="CX24" s="637"/>
      <c r="CY24" s="637" t="s">
        <v>40</v>
      </c>
      <c r="CZ24" s="637"/>
      <c r="DA24" s="637"/>
      <c r="DB24" s="637"/>
      <c r="DC24" s="637"/>
      <c r="DD24" s="637"/>
      <c r="DE24" s="637"/>
      <c r="DF24" s="637"/>
      <c r="DG24" s="637"/>
      <c r="DH24" s="637"/>
      <c r="DI24" s="637"/>
      <c r="DJ24" s="637" t="s">
        <v>40</v>
      </c>
      <c r="DK24" s="637" t="s">
        <v>40</v>
      </c>
      <c r="DL24" s="637"/>
      <c r="DM24" s="637"/>
      <c r="DN24" s="637"/>
      <c r="DO24" s="637"/>
      <c r="DP24" s="637"/>
      <c r="DQ24" s="654"/>
      <c r="DR24" s="650"/>
      <c r="DS24" s="661"/>
      <c r="DT24" s="662"/>
      <c r="DU24" s="661"/>
      <c r="DV24" s="663"/>
      <c r="DW24" s="657">
        <f t="shared" si="0"/>
        <v>0</v>
      </c>
      <c r="DX24" s="660">
        <f t="shared" si="1"/>
        <v>44208</v>
      </c>
      <c r="DY24" s="659"/>
    </row>
    <row r="25" spans="1:129" ht="15.75" customHeight="1">
      <c r="A25" s="660">
        <v>44209</v>
      </c>
      <c r="B25" s="637"/>
      <c r="C25" s="637"/>
      <c r="D25" s="637"/>
      <c r="E25" s="637"/>
      <c r="F25" s="637" t="s">
        <v>40</v>
      </c>
      <c r="G25" s="637"/>
      <c r="H25" s="637"/>
      <c r="I25" s="637"/>
      <c r="J25" s="637" t="s">
        <v>40</v>
      </c>
      <c r="K25" s="637" t="s">
        <v>40</v>
      </c>
      <c r="L25" s="637"/>
      <c r="M25" s="637"/>
      <c r="N25" s="637" t="s">
        <v>40</v>
      </c>
      <c r="O25" s="637"/>
      <c r="P25" s="637"/>
      <c r="Q25" s="637"/>
      <c r="R25" s="637"/>
      <c r="S25" s="637"/>
      <c r="T25" s="637"/>
      <c r="U25" s="637" t="s">
        <v>40</v>
      </c>
      <c r="V25" s="637"/>
      <c r="W25" s="637"/>
      <c r="X25" s="637"/>
      <c r="Y25" s="637"/>
      <c r="Z25" s="637"/>
      <c r="AA25" s="637" t="s">
        <v>40</v>
      </c>
      <c r="AB25" s="637" t="s">
        <v>40</v>
      </c>
      <c r="AC25" s="637"/>
      <c r="AD25" s="637"/>
      <c r="AE25" s="637"/>
      <c r="AF25" s="637"/>
      <c r="AG25" s="637"/>
      <c r="AH25" s="637"/>
      <c r="AI25" s="637"/>
      <c r="AJ25" s="637"/>
      <c r="AK25" s="637"/>
      <c r="AL25" s="637"/>
      <c r="AM25" s="637"/>
      <c r="AN25" s="637"/>
      <c r="AO25" s="637"/>
      <c r="AP25" s="637"/>
      <c r="AQ25" s="637" t="s">
        <v>40</v>
      </c>
      <c r="AR25" s="637"/>
      <c r="AS25" s="637" t="s">
        <v>40</v>
      </c>
      <c r="AT25" s="637" t="s">
        <v>40</v>
      </c>
      <c r="AU25" s="637" t="s">
        <v>40</v>
      </c>
      <c r="AV25" s="637"/>
      <c r="AW25" s="637"/>
      <c r="AX25" s="637" t="s">
        <v>40</v>
      </c>
      <c r="AY25" s="637"/>
      <c r="AZ25" s="637"/>
      <c r="BA25" s="637" t="s">
        <v>40</v>
      </c>
      <c r="BB25" s="637" t="s">
        <v>40</v>
      </c>
      <c r="BC25" s="637" t="s">
        <v>40</v>
      </c>
      <c r="BD25" s="637"/>
      <c r="BE25" s="637" t="s">
        <v>40</v>
      </c>
      <c r="BF25" s="637" t="s">
        <v>40</v>
      </c>
      <c r="BG25" s="637"/>
      <c r="BH25" s="637" t="s">
        <v>40</v>
      </c>
      <c r="BI25" s="637" t="s">
        <v>40</v>
      </c>
      <c r="BJ25" s="637"/>
      <c r="BK25" s="637" t="s">
        <v>40</v>
      </c>
      <c r="BL25" s="637"/>
      <c r="BM25" s="637"/>
      <c r="BN25" s="637" t="s">
        <v>40</v>
      </c>
      <c r="BO25" s="637"/>
      <c r="BP25" s="637"/>
      <c r="BQ25" s="637" t="s">
        <v>40</v>
      </c>
      <c r="BR25" s="637"/>
      <c r="BS25" s="637"/>
      <c r="BT25" s="637"/>
      <c r="BU25" s="637"/>
      <c r="BV25" s="637"/>
      <c r="BW25" s="637" t="s">
        <v>40</v>
      </c>
      <c r="BX25" s="637">
        <v>108</v>
      </c>
      <c r="BY25" s="637"/>
      <c r="BZ25" s="637"/>
      <c r="CA25" s="637"/>
      <c r="CB25" s="637"/>
      <c r="CC25" s="637"/>
      <c r="CD25" s="637"/>
      <c r="CE25" s="637"/>
      <c r="CF25" s="637"/>
      <c r="CG25" s="637"/>
      <c r="CH25" s="637"/>
      <c r="CI25" s="637"/>
      <c r="CJ25" s="637"/>
      <c r="CK25" s="637"/>
      <c r="CL25" s="637" t="s">
        <v>40</v>
      </c>
      <c r="CM25" s="637"/>
      <c r="CN25" s="637"/>
      <c r="CO25" s="637"/>
      <c r="CP25" s="637"/>
      <c r="CQ25" s="637"/>
      <c r="CR25" s="637"/>
      <c r="CS25" s="637"/>
      <c r="CT25" s="637"/>
      <c r="CU25" s="637"/>
      <c r="CV25" s="637"/>
      <c r="CW25" s="637"/>
      <c r="CX25" s="637"/>
      <c r="CY25" s="637"/>
      <c r="CZ25" s="637"/>
      <c r="DA25" s="637">
        <v>4.5</v>
      </c>
      <c r="DB25" s="637"/>
      <c r="DC25" s="637" t="s">
        <v>40</v>
      </c>
      <c r="DD25" s="637" t="s">
        <v>40</v>
      </c>
      <c r="DE25" s="637"/>
      <c r="DF25" s="637"/>
      <c r="DG25" s="637"/>
      <c r="DH25" s="637" t="s">
        <v>40</v>
      </c>
      <c r="DI25" s="637" t="s">
        <v>40</v>
      </c>
      <c r="DJ25" s="637" t="s">
        <v>40</v>
      </c>
      <c r="DK25" s="637">
        <v>702</v>
      </c>
      <c r="DL25" s="637"/>
      <c r="DM25" s="637"/>
      <c r="DN25" s="637"/>
      <c r="DO25" s="637"/>
      <c r="DP25" s="637"/>
      <c r="DQ25" s="654"/>
      <c r="DR25" s="650"/>
      <c r="DS25" s="661"/>
      <c r="DT25" s="662"/>
      <c r="DU25" s="661"/>
      <c r="DV25" s="663"/>
      <c r="DW25" s="657">
        <f t="shared" si="0"/>
        <v>814.5</v>
      </c>
      <c r="DX25" s="660">
        <f t="shared" si="1"/>
        <v>44209</v>
      </c>
      <c r="DY25" s="659"/>
    </row>
    <row r="26" spans="1:129" ht="15.75" customHeight="1">
      <c r="A26" s="660">
        <v>44210</v>
      </c>
      <c r="B26" s="637"/>
      <c r="C26" s="637"/>
      <c r="D26" s="637" t="s">
        <v>40</v>
      </c>
      <c r="E26" s="637"/>
      <c r="F26" s="637"/>
      <c r="G26" s="637"/>
      <c r="H26" s="637"/>
      <c r="I26" s="637"/>
      <c r="J26" s="637"/>
      <c r="K26" s="637"/>
      <c r="L26" s="637"/>
      <c r="M26" s="637"/>
      <c r="N26" s="637"/>
      <c r="O26" s="637"/>
      <c r="P26" s="637"/>
      <c r="Q26" s="637"/>
      <c r="R26" s="637"/>
      <c r="S26" s="637" t="s">
        <v>40</v>
      </c>
      <c r="T26" s="637"/>
      <c r="U26" s="637"/>
      <c r="V26" s="637"/>
      <c r="W26" s="637"/>
      <c r="X26" s="637"/>
      <c r="Y26" s="637"/>
      <c r="Z26" s="637"/>
      <c r="AA26" s="637"/>
      <c r="AB26" s="637"/>
      <c r="AC26" s="637"/>
      <c r="AD26" s="637"/>
      <c r="AE26" s="637"/>
      <c r="AF26" s="637"/>
      <c r="AG26" s="637"/>
      <c r="AH26" s="637"/>
      <c r="AI26" s="637"/>
      <c r="AJ26" s="637"/>
      <c r="AK26" s="637">
        <v>691.2</v>
      </c>
      <c r="AL26" s="637"/>
      <c r="AM26" s="637"/>
      <c r="AN26" s="637"/>
      <c r="AO26" s="637"/>
      <c r="AP26" s="637"/>
      <c r="AQ26" s="637"/>
      <c r="AR26" s="637"/>
      <c r="AS26" s="637"/>
      <c r="AT26" s="637"/>
      <c r="AU26" s="637"/>
      <c r="AV26" s="637"/>
      <c r="AW26" s="637"/>
      <c r="AX26" s="637"/>
      <c r="AY26" s="637"/>
      <c r="AZ26" s="637"/>
      <c r="BA26" s="637"/>
      <c r="BB26" s="637"/>
      <c r="BC26" s="637"/>
      <c r="BD26" s="637"/>
      <c r="BE26" s="637"/>
      <c r="BF26" s="637"/>
      <c r="BG26" s="637"/>
      <c r="BH26" s="637"/>
      <c r="BI26" s="637"/>
      <c r="BJ26" s="637"/>
      <c r="BK26" s="637"/>
      <c r="BL26" s="637"/>
      <c r="BM26" s="637"/>
      <c r="BN26" s="637"/>
      <c r="BO26" s="637"/>
      <c r="BP26" s="637"/>
      <c r="BQ26" s="637"/>
      <c r="BR26" s="637"/>
      <c r="BS26" s="637"/>
      <c r="BT26" s="637"/>
      <c r="BU26" s="637"/>
      <c r="BV26" s="637"/>
      <c r="BW26" s="637"/>
      <c r="BX26" s="637"/>
      <c r="BY26" s="637"/>
      <c r="BZ26" s="637"/>
      <c r="CA26" s="637" t="s">
        <v>40</v>
      </c>
      <c r="CB26" s="637"/>
      <c r="CC26" s="637"/>
      <c r="CD26" s="637"/>
      <c r="CE26" s="637"/>
      <c r="CF26" s="637"/>
      <c r="CG26" s="637"/>
      <c r="CH26" s="637"/>
      <c r="CI26" s="637"/>
      <c r="CJ26" s="637">
        <v>20.399999999999999</v>
      </c>
      <c r="CK26" s="637"/>
      <c r="CL26" s="637" t="s">
        <v>40</v>
      </c>
      <c r="CM26" s="637"/>
      <c r="CN26" s="637"/>
      <c r="CO26" s="637"/>
      <c r="CP26" s="637"/>
      <c r="CQ26" s="637"/>
      <c r="CR26" s="637" t="s">
        <v>40</v>
      </c>
      <c r="CS26" s="637"/>
      <c r="CT26" s="637"/>
      <c r="CU26" s="637"/>
      <c r="CV26" s="637"/>
      <c r="CW26" s="637" t="s">
        <v>40</v>
      </c>
      <c r="CX26" s="637"/>
      <c r="CY26" s="637"/>
      <c r="CZ26" s="637"/>
      <c r="DA26" s="637"/>
      <c r="DB26" s="637" t="s">
        <v>40</v>
      </c>
      <c r="DC26" s="637"/>
      <c r="DD26" s="637"/>
      <c r="DE26" s="637"/>
      <c r="DF26" s="637"/>
      <c r="DG26" s="637"/>
      <c r="DH26" s="637" t="s">
        <v>40</v>
      </c>
      <c r="DI26" s="637"/>
      <c r="DJ26" s="637">
        <v>93</v>
      </c>
      <c r="DK26" s="637"/>
      <c r="DL26" s="637"/>
      <c r="DM26" s="637"/>
      <c r="DN26" s="637"/>
      <c r="DO26" s="637"/>
      <c r="DP26" s="637"/>
      <c r="DQ26" s="654"/>
      <c r="DR26" s="650"/>
      <c r="DS26" s="661"/>
      <c r="DT26" s="662"/>
      <c r="DU26" s="661"/>
      <c r="DV26" s="663"/>
      <c r="DW26" s="657">
        <f t="shared" si="0"/>
        <v>804.6</v>
      </c>
      <c r="DX26" s="660">
        <f t="shared" si="1"/>
        <v>44210</v>
      </c>
      <c r="DY26" s="659"/>
    </row>
    <row r="27" spans="1:129" ht="15.75" customHeight="1">
      <c r="A27" s="660">
        <v>44211</v>
      </c>
      <c r="B27" s="637" t="s">
        <v>40</v>
      </c>
      <c r="C27" s="637" t="s">
        <v>40</v>
      </c>
      <c r="D27" s="637"/>
      <c r="E27" s="637"/>
      <c r="F27" s="637" t="s">
        <v>40</v>
      </c>
      <c r="G27" s="637" t="s">
        <v>40</v>
      </c>
      <c r="H27" s="637" t="s">
        <v>40</v>
      </c>
      <c r="I27" s="637" t="s">
        <v>40</v>
      </c>
      <c r="J27" s="637" t="s">
        <v>40</v>
      </c>
      <c r="K27" s="637" t="s">
        <v>40</v>
      </c>
      <c r="L27" s="637"/>
      <c r="M27" s="637"/>
      <c r="N27" s="637" t="s">
        <v>40</v>
      </c>
      <c r="O27" s="637" t="s">
        <v>40</v>
      </c>
      <c r="P27" s="637" t="s">
        <v>40</v>
      </c>
      <c r="Q27" s="637" t="s">
        <v>40</v>
      </c>
      <c r="R27" s="637" t="s">
        <v>40</v>
      </c>
      <c r="S27" s="637" t="s">
        <v>40</v>
      </c>
      <c r="T27" s="637"/>
      <c r="U27" s="637"/>
      <c r="V27" s="637" t="s">
        <v>40</v>
      </c>
      <c r="W27" s="637"/>
      <c r="X27" s="637"/>
      <c r="Y27" s="637"/>
      <c r="Z27" s="637"/>
      <c r="AA27" s="637" t="s">
        <v>40</v>
      </c>
      <c r="AB27" s="637"/>
      <c r="AC27" s="637"/>
      <c r="AD27" s="637"/>
      <c r="AE27" s="637"/>
      <c r="AF27" s="637"/>
      <c r="AG27" s="637" t="s">
        <v>40</v>
      </c>
      <c r="AH27" s="637" t="s">
        <v>40</v>
      </c>
      <c r="AI27" s="637"/>
      <c r="AJ27" s="637"/>
      <c r="AK27" s="637" t="s">
        <v>40</v>
      </c>
      <c r="AL27" s="637"/>
      <c r="AM27" s="637" t="s">
        <v>40</v>
      </c>
      <c r="AN27" s="637"/>
      <c r="AO27" s="637" t="s">
        <v>40</v>
      </c>
      <c r="AP27" s="637" t="s">
        <v>40</v>
      </c>
      <c r="AQ27" s="637"/>
      <c r="AR27" s="637"/>
      <c r="AS27" s="637"/>
      <c r="AT27" s="637" t="s">
        <v>40</v>
      </c>
      <c r="AU27" s="637" t="s">
        <v>40</v>
      </c>
      <c r="AV27" s="637"/>
      <c r="AW27" s="637"/>
      <c r="AX27" s="637"/>
      <c r="AY27" s="637"/>
      <c r="AZ27" s="637"/>
      <c r="BA27" s="637"/>
      <c r="BB27" s="637"/>
      <c r="BC27" s="637"/>
      <c r="BD27" s="637"/>
      <c r="BE27" s="637"/>
      <c r="BF27" s="637"/>
      <c r="BG27" s="637"/>
      <c r="BH27" s="637"/>
      <c r="BI27" s="637"/>
      <c r="BJ27" s="637"/>
      <c r="BK27" s="637"/>
      <c r="BL27" s="637"/>
      <c r="BM27" s="637"/>
      <c r="BN27" s="637"/>
      <c r="BO27" s="637"/>
      <c r="BP27" s="637"/>
      <c r="BQ27" s="637"/>
      <c r="BR27" s="637"/>
      <c r="BS27" s="637"/>
      <c r="BT27" s="637"/>
      <c r="BU27" s="637"/>
      <c r="BV27" s="637"/>
      <c r="BW27" s="637" t="s">
        <v>40</v>
      </c>
      <c r="BX27" s="637"/>
      <c r="BY27" s="637"/>
      <c r="BZ27" s="637"/>
      <c r="CA27" s="637" t="s">
        <v>40</v>
      </c>
      <c r="CB27" s="637" t="s">
        <v>40</v>
      </c>
      <c r="CC27" s="637"/>
      <c r="CD27" s="637"/>
      <c r="CE27" s="637" t="s">
        <v>40</v>
      </c>
      <c r="CF27" s="637"/>
      <c r="CG27" s="637"/>
      <c r="CH27" s="637">
        <v>541.5</v>
      </c>
      <c r="CI27" s="637"/>
      <c r="CJ27" s="637"/>
      <c r="CK27" s="637"/>
      <c r="CL27" s="637" t="s">
        <v>40</v>
      </c>
      <c r="CM27" s="637"/>
      <c r="CN27" s="637" t="s">
        <v>40</v>
      </c>
      <c r="CO27" s="637"/>
      <c r="CP27" s="637"/>
      <c r="CQ27" s="637"/>
      <c r="CR27" s="637" t="s">
        <v>40</v>
      </c>
      <c r="CS27" s="637" t="s">
        <v>40</v>
      </c>
      <c r="CT27" s="637"/>
      <c r="CU27" s="637" t="s">
        <v>40</v>
      </c>
      <c r="CV27" s="637"/>
      <c r="CW27" s="637"/>
      <c r="CX27" s="637"/>
      <c r="CY27" s="637"/>
      <c r="CZ27" s="637"/>
      <c r="DA27" s="637"/>
      <c r="DB27" s="637" t="s">
        <v>40</v>
      </c>
      <c r="DC27" s="637"/>
      <c r="DD27" s="637"/>
      <c r="DE27" s="637" t="s">
        <v>40</v>
      </c>
      <c r="DF27" s="637">
        <v>241.5</v>
      </c>
      <c r="DG27" s="637"/>
      <c r="DH27" s="637" t="s">
        <v>40</v>
      </c>
      <c r="DI27" s="637"/>
      <c r="DJ27" s="637">
        <v>414</v>
      </c>
      <c r="DK27" s="637">
        <v>486</v>
      </c>
      <c r="DL27" s="637"/>
      <c r="DM27" s="637"/>
      <c r="DN27" s="637"/>
      <c r="DO27" s="637"/>
      <c r="DP27" s="637">
        <v>432</v>
      </c>
      <c r="DQ27" s="654"/>
      <c r="DR27" s="650"/>
      <c r="DS27" s="661"/>
      <c r="DT27" s="662"/>
      <c r="DU27" s="661"/>
      <c r="DV27" s="663"/>
      <c r="DW27" s="657">
        <f t="shared" si="0"/>
        <v>2115</v>
      </c>
      <c r="DX27" s="660">
        <f t="shared" si="1"/>
        <v>44211</v>
      </c>
      <c r="DY27" s="659"/>
    </row>
    <row r="28" spans="1:129" ht="15.75" customHeight="1">
      <c r="A28" s="660">
        <v>44212</v>
      </c>
      <c r="B28" s="637" t="s">
        <v>40</v>
      </c>
      <c r="C28" s="637" t="s">
        <v>40</v>
      </c>
      <c r="D28" s="637" t="s">
        <v>40</v>
      </c>
      <c r="E28" s="637"/>
      <c r="F28" s="637" t="s">
        <v>40</v>
      </c>
      <c r="G28" s="637"/>
      <c r="H28" s="637" t="s">
        <v>40</v>
      </c>
      <c r="I28" s="637" t="s">
        <v>40</v>
      </c>
      <c r="J28" s="637" t="s">
        <v>40</v>
      </c>
      <c r="K28" s="637" t="s">
        <v>40</v>
      </c>
      <c r="L28" s="637" t="s">
        <v>40</v>
      </c>
      <c r="M28" s="637" t="s">
        <v>40</v>
      </c>
      <c r="N28" s="637"/>
      <c r="O28" s="637"/>
      <c r="P28" s="637"/>
      <c r="Q28" s="637"/>
      <c r="R28" s="637"/>
      <c r="S28" s="637"/>
      <c r="T28" s="637" t="s">
        <v>40</v>
      </c>
      <c r="U28" s="637" t="s">
        <v>40</v>
      </c>
      <c r="V28" s="637"/>
      <c r="W28" s="637"/>
      <c r="X28" s="637"/>
      <c r="Y28" s="637"/>
      <c r="Z28" s="637"/>
      <c r="AA28" s="637" t="s">
        <v>40</v>
      </c>
      <c r="AB28" s="637" t="s">
        <v>40</v>
      </c>
      <c r="AC28" s="637" t="s">
        <v>40</v>
      </c>
      <c r="AD28" s="637"/>
      <c r="AE28" s="637"/>
      <c r="AF28" s="637"/>
      <c r="AG28" s="637"/>
      <c r="AH28" s="637"/>
      <c r="AI28" s="637"/>
      <c r="AJ28" s="637"/>
      <c r="AK28" s="637"/>
      <c r="AL28" s="637"/>
      <c r="AM28" s="637"/>
      <c r="AN28" s="637">
        <v>14.4</v>
      </c>
      <c r="AO28" s="637"/>
      <c r="AP28" s="637"/>
      <c r="AQ28" s="637" t="s">
        <v>40</v>
      </c>
      <c r="AR28" s="637"/>
      <c r="AS28" s="637" t="s">
        <v>40</v>
      </c>
      <c r="AT28" s="637" t="s">
        <v>40</v>
      </c>
      <c r="AU28" s="637" t="s">
        <v>40</v>
      </c>
      <c r="AV28" s="637"/>
      <c r="AW28" s="637"/>
      <c r="AX28" s="637"/>
      <c r="AY28" s="637" t="s">
        <v>40</v>
      </c>
      <c r="AZ28" s="637" t="s">
        <v>40</v>
      </c>
      <c r="BA28" s="637" t="s">
        <v>40</v>
      </c>
      <c r="BB28" s="637" t="s">
        <v>40</v>
      </c>
      <c r="BC28" s="637" t="s">
        <v>40</v>
      </c>
      <c r="BD28" s="637" t="s">
        <v>40</v>
      </c>
      <c r="BE28" s="637" t="s">
        <v>40</v>
      </c>
      <c r="BF28" s="637"/>
      <c r="BG28" s="637"/>
      <c r="BH28" s="637" t="s">
        <v>40</v>
      </c>
      <c r="BI28" s="637" t="s">
        <v>40</v>
      </c>
      <c r="BJ28" s="637"/>
      <c r="BK28" s="637" t="s">
        <v>40</v>
      </c>
      <c r="BL28" s="637" t="s">
        <v>40</v>
      </c>
      <c r="BM28" s="637" t="s">
        <v>40</v>
      </c>
      <c r="BN28" s="637" t="s">
        <v>40</v>
      </c>
      <c r="BO28" s="637" t="s">
        <v>40</v>
      </c>
      <c r="BP28" s="637"/>
      <c r="BQ28" s="637" t="s">
        <v>40</v>
      </c>
      <c r="BR28" s="637" t="s">
        <v>40</v>
      </c>
      <c r="BS28" s="637" t="s">
        <v>40</v>
      </c>
      <c r="BT28" s="637"/>
      <c r="BU28" s="637" t="s">
        <v>40</v>
      </c>
      <c r="BV28" s="637" t="s">
        <v>40</v>
      </c>
      <c r="BW28" s="637"/>
      <c r="BX28" s="637"/>
      <c r="BY28" s="637">
        <v>290.39999999999998</v>
      </c>
      <c r="BZ28" s="637"/>
      <c r="CA28" s="637"/>
      <c r="CB28" s="637"/>
      <c r="CC28" s="637"/>
      <c r="CD28" s="637"/>
      <c r="CE28" s="637" t="s">
        <v>40</v>
      </c>
      <c r="CF28" s="637"/>
      <c r="CG28" s="637" t="s">
        <v>40</v>
      </c>
      <c r="CH28" s="637"/>
      <c r="CI28" s="637"/>
      <c r="CJ28" s="637"/>
      <c r="CK28" s="637" t="s">
        <v>40</v>
      </c>
      <c r="CL28" s="637" t="s">
        <v>40</v>
      </c>
      <c r="CM28" s="637"/>
      <c r="CN28" s="637"/>
      <c r="CO28" s="637"/>
      <c r="CP28" s="637" t="s">
        <v>40</v>
      </c>
      <c r="CQ28" s="637"/>
      <c r="CR28" s="637" t="s">
        <v>40</v>
      </c>
      <c r="CS28" s="637"/>
      <c r="CT28" s="637"/>
      <c r="CU28" s="637"/>
      <c r="CV28" s="637"/>
      <c r="CW28" s="637"/>
      <c r="CX28" s="637"/>
      <c r="CY28" s="637"/>
      <c r="CZ28" s="637"/>
      <c r="DA28" s="637"/>
      <c r="DB28" s="637"/>
      <c r="DC28" s="637" t="s">
        <v>40</v>
      </c>
      <c r="DD28" s="637"/>
      <c r="DE28" s="637"/>
      <c r="DF28" s="637"/>
      <c r="DG28" s="637"/>
      <c r="DH28" s="637" t="s">
        <v>40</v>
      </c>
      <c r="DI28" s="637"/>
      <c r="DJ28" s="637">
        <v>369</v>
      </c>
      <c r="DK28" s="637">
        <v>498</v>
      </c>
      <c r="DL28" s="637"/>
      <c r="DM28" s="637"/>
      <c r="DN28" s="637"/>
      <c r="DO28" s="637"/>
      <c r="DP28" s="637"/>
      <c r="DQ28" s="654"/>
      <c r="DR28" s="650"/>
      <c r="DS28" s="661"/>
      <c r="DT28" s="662"/>
      <c r="DU28" s="661"/>
      <c r="DV28" s="663"/>
      <c r="DW28" s="657">
        <f t="shared" ref="DW28:DW59" si="2">SUM(B28:DR28)</f>
        <v>1171.8</v>
      </c>
      <c r="DX28" s="660">
        <f t="shared" si="1"/>
        <v>44212</v>
      </c>
      <c r="DY28" s="659"/>
    </row>
    <row r="29" spans="1:129" ht="15.75" customHeight="1">
      <c r="A29" s="660">
        <v>44213</v>
      </c>
      <c r="B29" s="637"/>
      <c r="C29" s="637" t="s">
        <v>40</v>
      </c>
      <c r="D29" s="637"/>
      <c r="E29" s="637"/>
      <c r="F29" s="637" t="s">
        <v>40</v>
      </c>
      <c r="G29" s="637"/>
      <c r="H29" s="637"/>
      <c r="I29" s="637"/>
      <c r="J29" s="637"/>
      <c r="K29" s="637"/>
      <c r="L29" s="637"/>
      <c r="M29" s="637"/>
      <c r="N29" s="637"/>
      <c r="O29" s="637"/>
      <c r="P29" s="637"/>
      <c r="Q29" s="637"/>
      <c r="R29" s="637"/>
      <c r="S29" s="637"/>
      <c r="T29" s="637"/>
      <c r="U29" s="637"/>
      <c r="V29" s="637"/>
      <c r="W29" s="637"/>
      <c r="X29" s="637"/>
      <c r="Y29" s="637"/>
      <c r="Z29" s="637"/>
      <c r="AA29" s="637"/>
      <c r="AB29" s="637"/>
      <c r="AC29" s="637"/>
      <c r="AD29" s="637"/>
      <c r="AE29" s="637"/>
      <c r="AF29" s="637"/>
      <c r="AG29" s="637"/>
      <c r="AH29" s="637"/>
      <c r="AI29" s="637"/>
      <c r="AJ29" s="637"/>
      <c r="AK29" s="637"/>
      <c r="AL29" s="637"/>
      <c r="AM29" s="637" t="s">
        <v>40</v>
      </c>
      <c r="AN29" s="637"/>
      <c r="AO29" s="637"/>
      <c r="AP29" s="637"/>
      <c r="AQ29" s="637"/>
      <c r="AR29" s="637"/>
      <c r="AS29" s="637"/>
      <c r="AT29" s="637"/>
      <c r="AU29" s="637"/>
      <c r="AV29" s="637"/>
      <c r="AW29" s="637"/>
      <c r="AX29" s="637" t="s">
        <v>40</v>
      </c>
      <c r="AY29" s="637" t="s">
        <v>40</v>
      </c>
      <c r="AZ29" s="637"/>
      <c r="BA29" s="637" t="s">
        <v>40</v>
      </c>
      <c r="BB29" s="637" t="s">
        <v>40</v>
      </c>
      <c r="BC29" s="637"/>
      <c r="BD29" s="637"/>
      <c r="BE29" s="637" t="s">
        <v>40</v>
      </c>
      <c r="BF29" s="637" t="s">
        <v>40</v>
      </c>
      <c r="BG29" s="637" t="s">
        <v>40</v>
      </c>
      <c r="BH29" s="637" t="s">
        <v>40</v>
      </c>
      <c r="BI29" s="637"/>
      <c r="BJ29" s="637"/>
      <c r="BK29" s="637"/>
      <c r="BL29" s="637"/>
      <c r="BM29" s="637" t="s">
        <v>40</v>
      </c>
      <c r="BN29" s="637"/>
      <c r="BO29" s="637" t="s">
        <v>40</v>
      </c>
      <c r="BP29" s="637" t="s">
        <v>40</v>
      </c>
      <c r="BQ29" s="637"/>
      <c r="BR29" s="637" t="s">
        <v>40</v>
      </c>
      <c r="BS29" s="637"/>
      <c r="BT29" s="637" t="s">
        <v>40</v>
      </c>
      <c r="BU29" s="637"/>
      <c r="BV29" s="637"/>
      <c r="BW29" s="637"/>
      <c r="BX29" s="637"/>
      <c r="BY29" s="637">
        <v>188.4</v>
      </c>
      <c r="BZ29" s="637"/>
      <c r="CA29" s="637"/>
      <c r="CB29" s="637" t="s">
        <v>40</v>
      </c>
      <c r="CC29" s="637"/>
      <c r="CD29" s="637"/>
      <c r="CE29" s="637" t="s">
        <v>40</v>
      </c>
      <c r="CF29" s="637"/>
      <c r="CG29" s="637" t="s">
        <v>40</v>
      </c>
      <c r="CH29" s="637">
        <v>247.5</v>
      </c>
      <c r="CI29" s="637"/>
      <c r="CJ29" s="637"/>
      <c r="CK29" s="637"/>
      <c r="CL29" s="637" t="s">
        <v>40</v>
      </c>
      <c r="CM29" s="637"/>
      <c r="CN29" s="637"/>
      <c r="CO29" s="637"/>
      <c r="CP29" s="637"/>
      <c r="CQ29" s="637"/>
      <c r="CR29" s="637"/>
      <c r="CS29" s="637"/>
      <c r="CT29" s="637"/>
      <c r="CU29" s="637"/>
      <c r="CV29" s="637"/>
      <c r="CW29" s="637"/>
      <c r="CX29" s="637"/>
      <c r="CY29" s="637"/>
      <c r="CZ29" s="637"/>
      <c r="DA29" s="637"/>
      <c r="DB29" s="637"/>
      <c r="DC29" s="637"/>
      <c r="DD29" s="637"/>
      <c r="DE29" s="637"/>
      <c r="DF29" s="637"/>
      <c r="DG29" s="637"/>
      <c r="DH29" s="637"/>
      <c r="DI29" s="637"/>
      <c r="DJ29" s="637"/>
      <c r="DK29" s="637"/>
      <c r="DL29" s="637"/>
      <c r="DM29" s="637"/>
      <c r="DN29" s="637"/>
      <c r="DO29" s="637"/>
      <c r="DP29" s="637"/>
      <c r="DQ29" s="654"/>
      <c r="DR29" s="650"/>
      <c r="DS29" s="661"/>
      <c r="DT29" s="662"/>
      <c r="DU29" s="661"/>
      <c r="DV29" s="663"/>
      <c r="DW29" s="657">
        <f t="shared" si="2"/>
        <v>435.9</v>
      </c>
      <c r="DX29" s="660">
        <f t="shared" si="1"/>
        <v>44213</v>
      </c>
      <c r="DY29" s="659"/>
    </row>
    <row r="30" spans="1:129" ht="15.75" customHeight="1">
      <c r="A30" s="660">
        <v>44214</v>
      </c>
      <c r="B30" s="637" t="s">
        <v>40</v>
      </c>
      <c r="C30" s="637"/>
      <c r="D30" s="637"/>
      <c r="E30" s="637"/>
      <c r="F30" s="637"/>
      <c r="G30" s="637"/>
      <c r="H30" s="637"/>
      <c r="I30" s="637"/>
      <c r="J30" s="637"/>
      <c r="K30" s="637"/>
      <c r="L30" s="637"/>
      <c r="M30" s="637"/>
      <c r="N30" s="637" t="s">
        <v>40</v>
      </c>
      <c r="O30" s="637" t="s">
        <v>40</v>
      </c>
      <c r="P30" s="637" t="s">
        <v>40</v>
      </c>
      <c r="Q30" s="637"/>
      <c r="R30" s="637"/>
      <c r="S30" s="637" t="s">
        <v>40</v>
      </c>
      <c r="T30" s="637"/>
      <c r="U30" s="637"/>
      <c r="V30" s="637"/>
      <c r="W30" s="637"/>
      <c r="X30" s="637"/>
      <c r="Y30" s="637"/>
      <c r="Z30" s="637"/>
      <c r="AA30" s="637"/>
      <c r="AB30" s="637"/>
      <c r="AC30" s="637"/>
      <c r="AD30" s="637"/>
      <c r="AE30" s="637"/>
      <c r="AF30" s="637"/>
      <c r="AG30" s="637"/>
      <c r="AH30" s="637"/>
      <c r="AI30" s="637"/>
      <c r="AJ30" s="637"/>
      <c r="AK30" s="637"/>
      <c r="AL30" s="637"/>
      <c r="AM30" s="637"/>
      <c r="AN30" s="637"/>
      <c r="AO30" s="637"/>
      <c r="AP30" s="637"/>
      <c r="AQ30" s="637"/>
      <c r="AR30" s="637"/>
      <c r="AS30" s="637"/>
      <c r="AT30" s="637"/>
      <c r="AU30" s="637"/>
      <c r="AV30" s="637"/>
      <c r="AW30" s="637"/>
      <c r="AX30" s="637"/>
      <c r="AY30" s="637"/>
      <c r="AZ30" s="637"/>
      <c r="BA30" s="637"/>
      <c r="BB30" s="637"/>
      <c r="BC30" s="637"/>
      <c r="BD30" s="637"/>
      <c r="BE30" s="637"/>
      <c r="BF30" s="637"/>
      <c r="BG30" s="637"/>
      <c r="BH30" s="637"/>
      <c r="BI30" s="637"/>
      <c r="BJ30" s="637"/>
      <c r="BK30" s="637"/>
      <c r="BL30" s="637"/>
      <c r="BM30" s="637"/>
      <c r="BN30" s="637"/>
      <c r="BO30" s="637"/>
      <c r="BP30" s="637"/>
      <c r="BQ30" s="637"/>
      <c r="BR30" s="637"/>
      <c r="BS30" s="637"/>
      <c r="BT30" s="637"/>
      <c r="BU30" s="637"/>
      <c r="BV30" s="637"/>
      <c r="BW30" s="637"/>
      <c r="BX30" s="637"/>
      <c r="BY30" s="637"/>
      <c r="BZ30" s="637"/>
      <c r="CA30" s="637"/>
      <c r="CB30" s="637"/>
      <c r="CC30" s="637"/>
      <c r="CD30" s="637"/>
      <c r="CE30" s="637"/>
      <c r="CF30" s="637"/>
      <c r="CG30" s="637"/>
      <c r="CH30" s="637"/>
      <c r="CI30" s="637"/>
      <c r="CJ30" s="637"/>
      <c r="CK30" s="637"/>
      <c r="CL30" s="637" t="s">
        <v>40</v>
      </c>
      <c r="CM30" s="637"/>
      <c r="CN30" s="637"/>
      <c r="CO30" s="637"/>
      <c r="CP30" s="637"/>
      <c r="CQ30" s="637"/>
      <c r="CR30" s="637"/>
      <c r="CS30" s="637"/>
      <c r="CT30" s="637"/>
      <c r="CU30" s="637"/>
      <c r="CV30" s="637"/>
      <c r="CW30" s="637"/>
      <c r="CX30" s="637"/>
      <c r="CY30" s="637"/>
      <c r="CZ30" s="637"/>
      <c r="DA30" s="637"/>
      <c r="DB30" s="637"/>
      <c r="DC30" s="637"/>
      <c r="DD30" s="637"/>
      <c r="DE30" s="637"/>
      <c r="DF30" s="637"/>
      <c r="DG30" s="637"/>
      <c r="DH30" s="637"/>
      <c r="DI30" s="637"/>
      <c r="DJ30" s="637"/>
      <c r="DK30" s="637"/>
      <c r="DL30" s="637"/>
      <c r="DM30" s="637"/>
      <c r="DN30" s="637"/>
      <c r="DO30" s="637"/>
      <c r="DP30" s="637"/>
      <c r="DQ30" s="654"/>
      <c r="DR30" s="650"/>
      <c r="DS30" s="661"/>
      <c r="DT30" s="662"/>
      <c r="DU30" s="661"/>
      <c r="DV30" s="663"/>
      <c r="DW30" s="657">
        <f t="shared" si="2"/>
        <v>0</v>
      </c>
      <c r="DX30" s="660">
        <f t="shared" si="1"/>
        <v>44214</v>
      </c>
      <c r="DY30" s="659"/>
    </row>
    <row r="31" spans="1:129" ht="15.75" customHeight="1">
      <c r="A31" s="660">
        <v>44215</v>
      </c>
      <c r="B31" s="637" t="s">
        <v>40</v>
      </c>
      <c r="C31" s="637"/>
      <c r="D31" s="637" t="s">
        <v>40</v>
      </c>
      <c r="E31" s="637"/>
      <c r="F31" s="637" t="s">
        <v>40</v>
      </c>
      <c r="G31" s="637"/>
      <c r="H31" s="637" t="s">
        <v>40</v>
      </c>
      <c r="I31" s="637" t="s">
        <v>40</v>
      </c>
      <c r="J31" s="637" t="s">
        <v>40</v>
      </c>
      <c r="K31" s="637" t="s">
        <v>40</v>
      </c>
      <c r="L31" s="637"/>
      <c r="M31" s="637"/>
      <c r="N31" s="637" t="s">
        <v>40</v>
      </c>
      <c r="O31" s="637" t="s">
        <v>40</v>
      </c>
      <c r="P31" s="637" t="s">
        <v>40</v>
      </c>
      <c r="Q31" s="637"/>
      <c r="R31" s="637" t="s">
        <v>40</v>
      </c>
      <c r="S31" s="637" t="s">
        <v>40</v>
      </c>
      <c r="T31" s="637" t="s">
        <v>40</v>
      </c>
      <c r="U31" s="637" t="s">
        <v>40</v>
      </c>
      <c r="V31" s="637" t="s">
        <v>40</v>
      </c>
      <c r="W31" s="637" t="s">
        <v>40</v>
      </c>
      <c r="X31" s="637" t="s">
        <v>40</v>
      </c>
      <c r="Y31" s="637"/>
      <c r="Z31" s="637"/>
      <c r="AA31" s="637"/>
      <c r="AB31" s="637"/>
      <c r="AC31" s="637"/>
      <c r="AD31" s="637"/>
      <c r="AE31" s="637"/>
      <c r="AF31" s="637"/>
      <c r="AG31" s="637"/>
      <c r="AH31" s="637"/>
      <c r="AI31" s="637"/>
      <c r="AJ31" s="637"/>
      <c r="AK31" s="637"/>
      <c r="AL31" s="637" t="s">
        <v>40</v>
      </c>
      <c r="AM31" s="637"/>
      <c r="AN31" s="637"/>
      <c r="AO31" s="637" t="s">
        <v>40</v>
      </c>
      <c r="AP31" s="637" t="s">
        <v>40</v>
      </c>
      <c r="AQ31" s="637" t="s">
        <v>40</v>
      </c>
      <c r="AR31" s="637">
        <v>430.56</v>
      </c>
      <c r="AS31" s="637" t="s">
        <v>40</v>
      </c>
      <c r="AT31" s="637" t="s">
        <v>40</v>
      </c>
      <c r="AU31" s="637"/>
      <c r="AV31" s="637"/>
      <c r="AW31" s="637"/>
      <c r="AX31" s="637"/>
      <c r="AY31" s="637">
        <v>92</v>
      </c>
      <c r="AZ31" s="637" t="s">
        <v>40</v>
      </c>
      <c r="BA31" s="637" t="s">
        <v>40</v>
      </c>
      <c r="BB31" s="637" t="s">
        <v>40</v>
      </c>
      <c r="BC31" s="637"/>
      <c r="BD31" s="637" t="s">
        <v>40</v>
      </c>
      <c r="BE31" s="637" t="s">
        <v>40</v>
      </c>
      <c r="BF31" s="637" t="s">
        <v>40</v>
      </c>
      <c r="BG31" s="637" t="s">
        <v>40</v>
      </c>
      <c r="BH31" s="637" t="s">
        <v>40</v>
      </c>
      <c r="BI31" s="637" t="s">
        <v>40</v>
      </c>
      <c r="BJ31" s="637" t="s">
        <v>40</v>
      </c>
      <c r="BK31" s="637" t="s">
        <v>40</v>
      </c>
      <c r="BL31" s="637" t="s">
        <v>40</v>
      </c>
      <c r="BM31" s="637"/>
      <c r="BN31" s="637"/>
      <c r="BO31" s="637"/>
      <c r="BP31" s="637"/>
      <c r="BQ31" s="637" t="s">
        <v>40</v>
      </c>
      <c r="BR31" s="637" t="s">
        <v>40</v>
      </c>
      <c r="BS31" s="637" t="s">
        <v>40</v>
      </c>
      <c r="BT31" s="637" t="s">
        <v>40</v>
      </c>
      <c r="BU31" s="637"/>
      <c r="BV31" s="637" t="s">
        <v>40</v>
      </c>
      <c r="BW31" s="637"/>
      <c r="BX31" s="637"/>
      <c r="BY31" s="637"/>
      <c r="BZ31" s="637"/>
      <c r="CA31" s="637" t="s">
        <v>40</v>
      </c>
      <c r="CB31" s="637"/>
      <c r="CC31" s="637"/>
      <c r="CD31" s="637" t="s">
        <v>40</v>
      </c>
      <c r="CE31" s="637" t="s">
        <v>40</v>
      </c>
      <c r="CF31" s="637"/>
      <c r="CG31" s="637" t="s">
        <v>40</v>
      </c>
      <c r="CH31" s="637">
        <v>238.5</v>
      </c>
      <c r="CI31" s="637" t="s">
        <v>40</v>
      </c>
      <c r="CJ31" s="637"/>
      <c r="CK31" s="637"/>
      <c r="CL31" s="637" t="s">
        <v>40</v>
      </c>
      <c r="CM31" s="637" t="s">
        <v>40</v>
      </c>
      <c r="CN31" s="637" t="s">
        <v>40</v>
      </c>
      <c r="CO31" s="637"/>
      <c r="CP31" s="637"/>
      <c r="CQ31" s="637"/>
      <c r="CR31" s="637"/>
      <c r="CS31" s="637"/>
      <c r="CT31" s="637"/>
      <c r="CU31" s="637"/>
      <c r="CV31" s="637"/>
      <c r="CW31" s="637"/>
      <c r="CX31" s="637"/>
      <c r="CY31" s="637"/>
      <c r="CZ31" s="637"/>
      <c r="DA31" s="637"/>
      <c r="DB31" s="637" t="s">
        <v>40</v>
      </c>
      <c r="DC31" s="637"/>
      <c r="DD31" s="637" t="s">
        <v>40</v>
      </c>
      <c r="DE31" s="637">
        <v>178.8</v>
      </c>
      <c r="DF31" s="637" t="s">
        <v>40</v>
      </c>
      <c r="DG31" s="637"/>
      <c r="DH31" s="637"/>
      <c r="DI31" s="637">
        <v>2.4</v>
      </c>
      <c r="DJ31" s="637"/>
      <c r="DK31" s="637"/>
      <c r="DL31" s="637"/>
      <c r="DM31" s="637"/>
      <c r="DN31" s="637"/>
      <c r="DO31" s="637"/>
      <c r="DP31" s="637"/>
      <c r="DQ31" s="654"/>
      <c r="DR31" s="650"/>
      <c r="DS31" s="661"/>
      <c r="DT31" s="662"/>
      <c r="DU31" s="661"/>
      <c r="DV31" s="663"/>
      <c r="DW31" s="657">
        <f t="shared" si="2"/>
        <v>942.25999999999988</v>
      </c>
      <c r="DX31" s="660">
        <f t="shared" si="1"/>
        <v>44215</v>
      </c>
      <c r="DY31" s="659"/>
    </row>
    <row r="32" spans="1:129" ht="15.75" customHeight="1">
      <c r="A32" s="660">
        <v>44216</v>
      </c>
      <c r="B32" s="637"/>
      <c r="C32" s="637"/>
      <c r="D32" s="637"/>
      <c r="E32" s="637"/>
      <c r="F32" s="637"/>
      <c r="G32" s="637"/>
      <c r="H32" s="637"/>
      <c r="I32" s="637"/>
      <c r="J32" s="637"/>
      <c r="K32" s="637"/>
      <c r="L32" s="637"/>
      <c r="M32" s="637"/>
      <c r="N32" s="637" t="s">
        <v>40</v>
      </c>
      <c r="O32" s="637"/>
      <c r="P32" s="637" t="s">
        <v>40</v>
      </c>
      <c r="Q32" s="637"/>
      <c r="R32" s="637"/>
      <c r="S32" s="637"/>
      <c r="T32" s="637"/>
      <c r="U32" s="637"/>
      <c r="V32" s="637"/>
      <c r="W32" s="637"/>
      <c r="X32" s="637"/>
      <c r="Y32" s="637" t="s">
        <v>40</v>
      </c>
      <c r="Z32" s="637"/>
      <c r="AA32" s="637"/>
      <c r="AB32" s="637"/>
      <c r="AC32" s="637" t="s">
        <v>40</v>
      </c>
      <c r="AD32" s="637"/>
      <c r="AE32" s="637"/>
      <c r="AF32" s="637"/>
      <c r="AG32" s="637"/>
      <c r="AH32" s="637"/>
      <c r="AI32" s="637"/>
      <c r="AJ32" s="637"/>
      <c r="AK32" s="637"/>
      <c r="AL32" s="637" t="s">
        <v>40</v>
      </c>
      <c r="AM32" s="637"/>
      <c r="AN32" s="637"/>
      <c r="AO32" s="637"/>
      <c r="AP32" s="637"/>
      <c r="AQ32" s="637" t="s">
        <v>40</v>
      </c>
      <c r="AR32" s="637"/>
      <c r="AS32" s="637"/>
      <c r="AT32" s="637">
        <v>8.5</v>
      </c>
      <c r="AU32" s="637"/>
      <c r="AV32" s="637"/>
      <c r="AW32" s="637"/>
      <c r="AX32" s="637"/>
      <c r="AY32" s="637" t="s">
        <v>40</v>
      </c>
      <c r="AZ32" s="637">
        <v>3</v>
      </c>
      <c r="BA32" s="637"/>
      <c r="BB32" s="637">
        <v>4.8</v>
      </c>
      <c r="BC32" s="637" t="s">
        <v>40</v>
      </c>
      <c r="BD32" s="637"/>
      <c r="BE32" s="637"/>
      <c r="BF32" s="637" t="s">
        <v>40</v>
      </c>
      <c r="BG32" s="637"/>
      <c r="BH32" s="637"/>
      <c r="BI32" s="637" t="s">
        <v>40</v>
      </c>
      <c r="BJ32" s="637"/>
      <c r="BK32" s="637"/>
      <c r="BL32" s="637">
        <v>22.4</v>
      </c>
      <c r="BM32" s="637"/>
      <c r="BN32" s="637">
        <v>6</v>
      </c>
      <c r="BO32" s="637" t="s">
        <v>40</v>
      </c>
      <c r="BP32" s="637" t="s">
        <v>40</v>
      </c>
      <c r="BQ32" s="637"/>
      <c r="BR32" s="637" t="s">
        <v>40</v>
      </c>
      <c r="BS32" s="637"/>
      <c r="BT32" s="637"/>
      <c r="BU32" s="637" t="s">
        <v>40</v>
      </c>
      <c r="BV32" s="637" t="s">
        <v>40</v>
      </c>
      <c r="BW32" s="637" t="s">
        <v>40</v>
      </c>
      <c r="BX32" s="637"/>
      <c r="BY32" s="637"/>
      <c r="BZ32" s="637"/>
      <c r="CA32" s="637"/>
      <c r="CB32" s="637"/>
      <c r="CC32" s="637"/>
      <c r="CD32" s="637"/>
      <c r="CE32" s="637" t="s">
        <v>40</v>
      </c>
      <c r="CF32" s="637"/>
      <c r="CG32" s="637"/>
      <c r="CH32" s="637"/>
      <c r="CI32" s="637"/>
      <c r="CJ32" s="637"/>
      <c r="CK32" s="637" t="s">
        <v>40</v>
      </c>
      <c r="CL32" s="637" t="s">
        <v>40</v>
      </c>
      <c r="CM32" s="637"/>
      <c r="CN32" s="637"/>
      <c r="CO32" s="637"/>
      <c r="CP32" s="637"/>
      <c r="CQ32" s="637" t="s">
        <v>40</v>
      </c>
      <c r="CR32" s="637"/>
      <c r="CS32" s="637"/>
      <c r="CT32" s="637"/>
      <c r="CU32" s="637" t="s">
        <v>40</v>
      </c>
      <c r="CV32" s="637"/>
      <c r="CW32" s="637" t="s">
        <v>40</v>
      </c>
      <c r="CX32" s="637"/>
      <c r="CY32" s="637"/>
      <c r="CZ32" s="637" t="s">
        <v>40</v>
      </c>
      <c r="DA32" s="637"/>
      <c r="DB32" s="637"/>
      <c r="DC32" s="637"/>
      <c r="DD32" s="637"/>
      <c r="DE32" s="637"/>
      <c r="DF32" s="637">
        <v>480</v>
      </c>
      <c r="DG32" s="637"/>
      <c r="DH32" s="637"/>
      <c r="DI32" s="637"/>
      <c r="DJ32" s="637"/>
      <c r="DK32" s="637"/>
      <c r="DL32" s="637"/>
      <c r="DM32" s="637"/>
      <c r="DN32" s="637"/>
      <c r="DO32" s="637"/>
      <c r="DP32" s="637"/>
      <c r="DQ32" s="654"/>
      <c r="DR32" s="650"/>
      <c r="DS32" s="661"/>
      <c r="DT32" s="662"/>
      <c r="DU32" s="661"/>
      <c r="DV32" s="663"/>
      <c r="DW32" s="657">
        <f t="shared" si="2"/>
        <v>524.70000000000005</v>
      </c>
      <c r="DX32" s="660">
        <f t="shared" si="1"/>
        <v>44216</v>
      </c>
      <c r="DY32" s="659"/>
    </row>
    <row r="33" spans="1:129" ht="15.75" customHeight="1">
      <c r="A33" s="660">
        <v>44217</v>
      </c>
      <c r="B33" s="637"/>
      <c r="C33" s="637"/>
      <c r="D33" s="637" t="s">
        <v>40</v>
      </c>
      <c r="E33" s="637" t="s">
        <v>40</v>
      </c>
      <c r="F33" s="637"/>
      <c r="G33" s="637" t="s">
        <v>40</v>
      </c>
      <c r="H33" s="637"/>
      <c r="I33" s="637"/>
      <c r="J33" s="637"/>
      <c r="K33" s="637" t="s">
        <v>40</v>
      </c>
      <c r="L33" s="637"/>
      <c r="M33" s="637"/>
      <c r="N33" s="637"/>
      <c r="O33" s="637"/>
      <c r="P33" s="637"/>
      <c r="Q33" s="637"/>
      <c r="R33" s="637"/>
      <c r="S33" s="637"/>
      <c r="T33" s="637"/>
      <c r="U33" s="637"/>
      <c r="V33" s="637"/>
      <c r="W33" s="637"/>
      <c r="X33" s="637"/>
      <c r="Y33" s="637"/>
      <c r="Z33" s="637"/>
      <c r="AA33" s="637"/>
      <c r="AB33" s="637"/>
      <c r="AC33" s="637"/>
      <c r="AD33" s="637"/>
      <c r="AE33" s="637"/>
      <c r="AF33" s="637"/>
      <c r="AG33" s="637" t="s">
        <v>40</v>
      </c>
      <c r="AH33" s="637"/>
      <c r="AI33" s="637"/>
      <c r="AJ33" s="637"/>
      <c r="AK33" s="637"/>
      <c r="AL33" s="637"/>
      <c r="AM33" s="637"/>
      <c r="AN33" s="637"/>
      <c r="AO33" s="637"/>
      <c r="AP33" s="637"/>
      <c r="AQ33" s="637"/>
      <c r="AR33" s="637"/>
      <c r="AS33" s="637" t="s">
        <v>40</v>
      </c>
      <c r="AT33" s="637"/>
      <c r="AU33" s="637" t="s">
        <v>40</v>
      </c>
      <c r="AV33" s="637"/>
      <c r="AW33" s="637"/>
      <c r="AX33" s="637"/>
      <c r="AY33" s="637"/>
      <c r="AZ33" s="637"/>
      <c r="BA33" s="637"/>
      <c r="BB33" s="637"/>
      <c r="BC33" s="637"/>
      <c r="BD33" s="637"/>
      <c r="BE33" s="637"/>
      <c r="BF33" s="637"/>
      <c r="BG33" s="637"/>
      <c r="BH33" s="637"/>
      <c r="BI33" s="637"/>
      <c r="BJ33" s="637"/>
      <c r="BK33" s="637"/>
      <c r="BL33" s="637"/>
      <c r="BM33" s="637"/>
      <c r="BN33" s="637"/>
      <c r="BO33" s="637"/>
      <c r="BP33" s="637"/>
      <c r="BQ33" s="637"/>
      <c r="BR33" s="637"/>
      <c r="BS33" s="637"/>
      <c r="BT33" s="637"/>
      <c r="BU33" s="637"/>
      <c r="BV33" s="637"/>
      <c r="BW33" s="637"/>
      <c r="BX33" s="637"/>
      <c r="BY33" s="637"/>
      <c r="BZ33" s="637"/>
      <c r="CA33" s="637"/>
      <c r="CB33" s="637" t="s">
        <v>40</v>
      </c>
      <c r="CC33" s="637"/>
      <c r="CD33" s="637"/>
      <c r="CE33" s="637"/>
      <c r="CF33" s="637"/>
      <c r="CG33" s="637"/>
      <c r="CH33" s="637"/>
      <c r="CI33" s="637"/>
      <c r="CJ33" s="637"/>
      <c r="CK33" s="637"/>
      <c r="CL33" s="637" t="s">
        <v>40</v>
      </c>
      <c r="CM33" s="637"/>
      <c r="CN33" s="637"/>
      <c r="CO33" s="637"/>
      <c r="CP33" s="637"/>
      <c r="CQ33" s="637"/>
      <c r="CR33" s="637" t="s">
        <v>40</v>
      </c>
      <c r="CS33" s="637"/>
      <c r="CT33" s="637"/>
      <c r="CU33" s="637"/>
      <c r="CV33" s="637"/>
      <c r="CW33" s="637">
        <v>2.16</v>
      </c>
      <c r="CX33" s="637"/>
      <c r="CY33" s="637">
        <v>3.24</v>
      </c>
      <c r="CZ33" s="637" t="s">
        <v>40</v>
      </c>
      <c r="DA33" s="637"/>
      <c r="DB33" s="637" t="s">
        <v>40</v>
      </c>
      <c r="DC33" s="637" t="s">
        <v>40</v>
      </c>
      <c r="DD33" s="637"/>
      <c r="DE33" s="637"/>
      <c r="DF33" s="637"/>
      <c r="DG33" s="637"/>
      <c r="DH33" s="637"/>
      <c r="DI33" s="637"/>
      <c r="DJ33" s="637"/>
      <c r="DK33" s="637"/>
      <c r="DL33" s="637"/>
      <c r="DM33" s="637"/>
      <c r="DN33" s="637"/>
      <c r="DO33" s="637"/>
      <c r="DP33" s="637"/>
      <c r="DQ33" s="654"/>
      <c r="DR33" s="650"/>
      <c r="DS33" s="661"/>
      <c r="DT33" s="662"/>
      <c r="DU33" s="661"/>
      <c r="DV33" s="663"/>
      <c r="DW33" s="657">
        <f t="shared" si="2"/>
        <v>5.4</v>
      </c>
      <c r="DX33" s="660">
        <f t="shared" si="1"/>
        <v>44217</v>
      </c>
      <c r="DY33" s="659"/>
    </row>
    <row r="34" spans="1:129" ht="15.75" customHeight="1">
      <c r="A34" s="660">
        <v>44218</v>
      </c>
      <c r="B34" s="637"/>
      <c r="C34" s="637"/>
      <c r="D34" s="637"/>
      <c r="E34" s="637"/>
      <c r="F34" s="637"/>
      <c r="G34" s="637"/>
      <c r="H34" s="637" t="s">
        <v>40</v>
      </c>
      <c r="I34" s="637"/>
      <c r="J34" s="637" t="s">
        <v>40</v>
      </c>
      <c r="K34" s="637" t="s">
        <v>40</v>
      </c>
      <c r="L34" s="637"/>
      <c r="M34" s="637"/>
      <c r="N34" s="637"/>
      <c r="O34" s="637" t="s">
        <v>40</v>
      </c>
      <c r="P34" s="637" t="s">
        <v>40</v>
      </c>
      <c r="Q34" s="637" t="s">
        <v>40</v>
      </c>
      <c r="R34" s="637">
        <v>13.44</v>
      </c>
      <c r="S34" s="637" t="s">
        <v>40</v>
      </c>
      <c r="T34" s="637"/>
      <c r="U34" s="637"/>
      <c r="V34" s="637">
        <v>7.2</v>
      </c>
      <c r="W34" s="637"/>
      <c r="X34" s="637">
        <v>25.2</v>
      </c>
      <c r="Y34" s="637"/>
      <c r="Z34" s="637"/>
      <c r="AA34" s="637"/>
      <c r="AB34" s="637"/>
      <c r="AC34" s="637"/>
      <c r="AD34" s="637"/>
      <c r="AE34" s="637"/>
      <c r="AF34" s="637">
        <v>11.2</v>
      </c>
      <c r="AG34" s="637"/>
      <c r="AH34" s="637">
        <v>264.32</v>
      </c>
      <c r="AI34" s="637"/>
      <c r="AJ34" s="637"/>
      <c r="AK34" s="637"/>
      <c r="AL34" s="637"/>
      <c r="AM34" s="637"/>
      <c r="AN34" s="637"/>
      <c r="AO34" s="637" t="s">
        <v>40</v>
      </c>
      <c r="AP34" s="637">
        <v>8.4</v>
      </c>
      <c r="AQ34" s="637"/>
      <c r="AR34" s="637"/>
      <c r="AS34" s="637"/>
      <c r="AT34" s="637"/>
      <c r="AU34" s="637"/>
      <c r="AV34" s="637"/>
      <c r="AW34" s="637"/>
      <c r="AX34" s="637"/>
      <c r="AY34" s="637"/>
      <c r="AZ34" s="637"/>
      <c r="BA34" s="637"/>
      <c r="BB34" s="637"/>
      <c r="BC34" s="637"/>
      <c r="BD34" s="637"/>
      <c r="BE34" s="637"/>
      <c r="BF34" s="637"/>
      <c r="BG34" s="637"/>
      <c r="BH34" s="637"/>
      <c r="BI34" s="637"/>
      <c r="BJ34" s="637"/>
      <c r="BK34" s="637"/>
      <c r="BL34" s="637"/>
      <c r="BM34" s="637"/>
      <c r="BN34" s="637"/>
      <c r="BO34" s="637"/>
      <c r="BP34" s="637"/>
      <c r="BQ34" s="637"/>
      <c r="BR34" s="637"/>
      <c r="BS34" s="637"/>
      <c r="BT34" s="637"/>
      <c r="BU34" s="637"/>
      <c r="BV34" s="637"/>
      <c r="BW34" s="637"/>
      <c r="BX34" s="637"/>
      <c r="BY34" s="637"/>
      <c r="BZ34" s="637"/>
      <c r="CA34" s="637"/>
      <c r="CB34" s="637"/>
      <c r="CC34" s="637"/>
      <c r="CD34" s="637" t="s">
        <v>40</v>
      </c>
      <c r="CE34" s="637"/>
      <c r="CF34" s="637"/>
      <c r="CG34" s="637"/>
      <c r="CH34" s="637"/>
      <c r="CI34" s="637"/>
      <c r="CJ34" s="637"/>
      <c r="CK34" s="637"/>
      <c r="CL34" s="637"/>
      <c r="CM34" s="637"/>
      <c r="CN34" s="637"/>
      <c r="CO34" s="637"/>
      <c r="CP34" s="637"/>
      <c r="CQ34" s="637"/>
      <c r="CR34" s="637" t="s">
        <v>40</v>
      </c>
      <c r="CS34" s="637">
        <v>24</v>
      </c>
      <c r="CT34" s="637" t="s">
        <v>40</v>
      </c>
      <c r="CU34" s="637" t="s">
        <v>40</v>
      </c>
      <c r="CV34" s="637"/>
      <c r="CW34" s="637" t="s">
        <v>40</v>
      </c>
      <c r="CX34" s="637"/>
      <c r="CY34" s="637"/>
      <c r="CZ34" s="637">
        <v>312.12</v>
      </c>
      <c r="DA34" s="637"/>
      <c r="DB34" s="637"/>
      <c r="DC34" s="637"/>
      <c r="DD34" s="637"/>
      <c r="DE34" s="637"/>
      <c r="DF34" s="637"/>
      <c r="DG34" s="637"/>
      <c r="DH34" s="637"/>
      <c r="DI34" s="637"/>
      <c r="DJ34" s="637">
        <v>453</v>
      </c>
      <c r="DK34" s="637"/>
      <c r="DL34" s="637"/>
      <c r="DM34" s="637"/>
      <c r="DN34" s="637"/>
      <c r="DO34" s="637">
        <v>408</v>
      </c>
      <c r="DP34" s="637"/>
      <c r="DQ34" s="654"/>
      <c r="DR34" s="650"/>
      <c r="DS34" s="661"/>
      <c r="DT34" s="662"/>
      <c r="DU34" s="661"/>
      <c r="DV34" s="663"/>
      <c r="DW34" s="657">
        <f t="shared" si="2"/>
        <v>1526.88</v>
      </c>
      <c r="DX34" s="660">
        <f t="shared" si="1"/>
        <v>44218</v>
      </c>
      <c r="DY34" s="659"/>
    </row>
    <row r="35" spans="1:129" ht="15.75" customHeight="1">
      <c r="A35" s="660">
        <v>44219</v>
      </c>
      <c r="B35" s="637" t="s">
        <v>40</v>
      </c>
      <c r="C35" s="637">
        <v>15</v>
      </c>
      <c r="D35" s="637"/>
      <c r="E35" s="637" t="s">
        <v>40</v>
      </c>
      <c r="F35" s="637" t="s">
        <v>40</v>
      </c>
      <c r="G35" s="637" t="s">
        <v>40</v>
      </c>
      <c r="H35" s="637">
        <v>2.96</v>
      </c>
      <c r="I35" s="637" t="s">
        <v>40</v>
      </c>
      <c r="J35" s="637" t="s">
        <v>40</v>
      </c>
      <c r="K35" s="637"/>
      <c r="L35" s="637" t="s">
        <v>40</v>
      </c>
      <c r="M35" s="637"/>
      <c r="N35" s="637" t="s">
        <v>40</v>
      </c>
      <c r="O35" s="637"/>
      <c r="P35" s="637" t="s">
        <v>40</v>
      </c>
      <c r="Q35" s="637">
        <v>152.32</v>
      </c>
      <c r="R35" s="637"/>
      <c r="S35" s="637" t="s">
        <v>40</v>
      </c>
      <c r="T35" s="637"/>
      <c r="U35" s="637">
        <v>19.2</v>
      </c>
      <c r="V35" s="637"/>
      <c r="W35" s="637">
        <v>4.8</v>
      </c>
      <c r="X35" s="637"/>
      <c r="Y35" s="637" t="s">
        <v>40</v>
      </c>
      <c r="Z35" s="637"/>
      <c r="AA35" s="637" t="s">
        <v>40</v>
      </c>
      <c r="AB35" s="637">
        <v>3.6</v>
      </c>
      <c r="AC35" s="637">
        <v>3.6</v>
      </c>
      <c r="AD35" s="637">
        <v>2.4</v>
      </c>
      <c r="AE35" s="637">
        <v>2.4</v>
      </c>
      <c r="AF35" s="637"/>
      <c r="AG35" s="637">
        <v>280</v>
      </c>
      <c r="AH35" s="637"/>
      <c r="AI35" s="637" t="s">
        <v>40</v>
      </c>
      <c r="AJ35" s="637">
        <v>19.8</v>
      </c>
      <c r="AK35" s="637"/>
      <c r="AL35" s="637" t="s">
        <v>40</v>
      </c>
      <c r="AM35" s="637" t="s">
        <v>40</v>
      </c>
      <c r="AN35" s="637"/>
      <c r="AO35" s="637"/>
      <c r="AP35" s="637"/>
      <c r="AQ35" s="637">
        <v>36.799999999999997</v>
      </c>
      <c r="AR35" s="637"/>
      <c r="AS35" s="637"/>
      <c r="AT35" s="637"/>
      <c r="AU35" s="637"/>
      <c r="AV35" s="637"/>
      <c r="AW35" s="637"/>
      <c r="AX35" s="637"/>
      <c r="AY35" s="637">
        <v>10</v>
      </c>
      <c r="AZ35" s="637">
        <v>13</v>
      </c>
      <c r="BA35" s="637" t="s">
        <v>40</v>
      </c>
      <c r="BB35" s="637" t="s">
        <v>40</v>
      </c>
      <c r="BC35" s="637" t="s">
        <v>40</v>
      </c>
      <c r="BD35" s="637" t="s">
        <v>40</v>
      </c>
      <c r="BE35" s="637" t="s">
        <v>40</v>
      </c>
      <c r="BF35" s="637" t="s">
        <v>40</v>
      </c>
      <c r="BG35" s="637"/>
      <c r="BH35" s="637" t="s">
        <v>40</v>
      </c>
      <c r="BI35" s="637">
        <v>4</v>
      </c>
      <c r="BJ35" s="637">
        <v>10</v>
      </c>
      <c r="BK35" s="637">
        <v>6</v>
      </c>
      <c r="BL35" s="637">
        <v>4.8</v>
      </c>
      <c r="BM35" s="637" t="s">
        <v>40</v>
      </c>
      <c r="BN35" s="637">
        <v>11</v>
      </c>
      <c r="BO35" s="637" t="s">
        <v>40</v>
      </c>
      <c r="BP35" s="637"/>
      <c r="BQ35" s="637" t="s">
        <v>40</v>
      </c>
      <c r="BR35" s="637" t="s">
        <v>40</v>
      </c>
      <c r="BS35" s="637">
        <v>11</v>
      </c>
      <c r="BT35" s="637"/>
      <c r="BU35" s="637" t="s">
        <v>40</v>
      </c>
      <c r="BV35" s="637">
        <v>6</v>
      </c>
      <c r="BW35" s="637"/>
      <c r="BX35" s="637"/>
      <c r="BY35" s="637"/>
      <c r="BZ35" s="637">
        <v>3.24</v>
      </c>
      <c r="CA35" s="637">
        <v>9.24</v>
      </c>
      <c r="CB35" s="637">
        <v>12.6</v>
      </c>
      <c r="CC35" s="637"/>
      <c r="CD35" s="637">
        <v>6</v>
      </c>
      <c r="CE35" s="637">
        <v>476.4</v>
      </c>
      <c r="CF35" s="637"/>
      <c r="CG35" s="637">
        <v>578.88</v>
      </c>
      <c r="CH35" s="637"/>
      <c r="CI35" s="637">
        <v>114</v>
      </c>
      <c r="CJ35" s="637"/>
      <c r="CK35" s="637" t="s">
        <v>40</v>
      </c>
      <c r="CL35" s="637"/>
      <c r="CM35" s="637">
        <v>267.60000000000002</v>
      </c>
      <c r="CN35" s="637" t="s">
        <v>40</v>
      </c>
      <c r="CO35" s="637"/>
      <c r="CP35" s="637" t="s">
        <v>40</v>
      </c>
      <c r="CQ35" s="637">
        <v>3</v>
      </c>
      <c r="CR35" s="637"/>
      <c r="CS35" s="637"/>
      <c r="CT35" s="637" t="s">
        <v>40</v>
      </c>
      <c r="CU35" s="637">
        <v>569.16</v>
      </c>
      <c r="CV35" s="637"/>
      <c r="CW35" s="637" t="s">
        <v>40</v>
      </c>
      <c r="CX35" s="637"/>
      <c r="CY35" s="637"/>
      <c r="CZ35" s="637"/>
      <c r="DA35" s="637" t="s">
        <v>40</v>
      </c>
      <c r="DB35" s="637" t="s">
        <v>40</v>
      </c>
      <c r="DC35" s="637">
        <v>258</v>
      </c>
      <c r="DD35" s="637"/>
      <c r="DE35" s="637"/>
      <c r="DF35" s="637"/>
      <c r="DG35" s="637"/>
      <c r="DH35" s="637">
        <v>15</v>
      </c>
      <c r="DI35" s="637"/>
      <c r="DJ35" s="637">
        <v>765</v>
      </c>
      <c r="DK35" s="637"/>
      <c r="DL35" s="637"/>
      <c r="DM35" s="637"/>
      <c r="DN35" s="637"/>
      <c r="DO35" s="637"/>
      <c r="DP35" s="637"/>
      <c r="DQ35" s="654"/>
      <c r="DR35" s="650"/>
      <c r="DS35" s="661"/>
      <c r="DT35" s="662"/>
      <c r="DU35" s="661"/>
      <c r="DV35" s="663"/>
      <c r="DW35" s="657">
        <f t="shared" si="2"/>
        <v>3696.7999999999997</v>
      </c>
      <c r="DX35" s="660">
        <f t="shared" si="1"/>
        <v>44219</v>
      </c>
      <c r="DY35" s="659"/>
    </row>
    <row r="36" spans="1:129" ht="15.75" customHeight="1">
      <c r="A36" s="660">
        <v>44220</v>
      </c>
      <c r="B36" s="637" t="s">
        <v>40</v>
      </c>
      <c r="C36" s="637"/>
      <c r="D36" s="637" t="s">
        <v>40</v>
      </c>
      <c r="E36" s="637"/>
      <c r="F36" s="637">
        <v>41.44</v>
      </c>
      <c r="G36" s="637"/>
      <c r="H36" s="637"/>
      <c r="I36" s="637">
        <v>33</v>
      </c>
      <c r="J36" s="637">
        <v>159.04</v>
      </c>
      <c r="K36" s="637">
        <v>13.44</v>
      </c>
      <c r="L36" s="637" t="s">
        <v>40</v>
      </c>
      <c r="M36" s="637"/>
      <c r="N36" s="637">
        <v>118.4</v>
      </c>
      <c r="O36" s="637">
        <v>2.96</v>
      </c>
      <c r="P36" s="637">
        <v>17.760000000000002</v>
      </c>
      <c r="Q36" s="637" t="s">
        <v>40</v>
      </c>
      <c r="R36" s="637"/>
      <c r="S36" s="637" t="s">
        <v>40</v>
      </c>
      <c r="T36" s="637">
        <v>244.8</v>
      </c>
      <c r="U36" s="637" t="s">
        <v>40</v>
      </c>
      <c r="V36" s="637"/>
      <c r="W36" s="637"/>
      <c r="X36" s="637"/>
      <c r="Y36" s="637">
        <v>173.16</v>
      </c>
      <c r="Z36" s="637"/>
      <c r="AA36" s="637">
        <v>198.72</v>
      </c>
      <c r="AB36" s="637"/>
      <c r="AC36" s="637"/>
      <c r="AD36" s="637"/>
      <c r="AE36" s="637"/>
      <c r="AF36" s="637"/>
      <c r="AG36" s="637"/>
      <c r="AH36" s="637"/>
      <c r="AI36" s="637">
        <v>412.8</v>
      </c>
      <c r="AJ36" s="637"/>
      <c r="AK36" s="637"/>
      <c r="AL36" s="637"/>
      <c r="AM36" s="637" t="s">
        <v>40</v>
      </c>
      <c r="AN36" s="637"/>
      <c r="AO36" s="637" t="s">
        <v>40</v>
      </c>
      <c r="AP36" s="637"/>
      <c r="AQ36" s="637"/>
      <c r="AR36" s="637"/>
      <c r="AS36" s="637">
        <v>8.5</v>
      </c>
      <c r="AT36" s="637"/>
      <c r="AU36" s="637">
        <v>1.7</v>
      </c>
      <c r="AV36" s="637"/>
      <c r="AW36" s="637"/>
      <c r="AX36" s="637"/>
      <c r="AY36" s="637">
        <v>10</v>
      </c>
      <c r="AZ36" s="637"/>
      <c r="BA36" s="637">
        <v>17</v>
      </c>
      <c r="BB36" s="637">
        <v>77.599999999999994</v>
      </c>
      <c r="BC36" s="637"/>
      <c r="BD36" s="637" t="s">
        <v>40</v>
      </c>
      <c r="BE36" s="637" t="s">
        <v>40</v>
      </c>
      <c r="BF36" s="637">
        <v>0.8</v>
      </c>
      <c r="BG36" s="637" t="s">
        <v>40</v>
      </c>
      <c r="BH36" s="637">
        <v>1.2</v>
      </c>
      <c r="BI36" s="637"/>
      <c r="BJ36" s="637"/>
      <c r="BK36" s="637"/>
      <c r="BL36" s="637"/>
      <c r="BM36" s="637">
        <v>241</v>
      </c>
      <c r="BN36" s="637"/>
      <c r="BO36" s="637">
        <v>924</v>
      </c>
      <c r="BP36" s="637" t="s">
        <v>40</v>
      </c>
      <c r="BQ36" s="637"/>
      <c r="BR36" s="637"/>
      <c r="BS36" s="637"/>
      <c r="BT36" s="637">
        <v>0.8</v>
      </c>
      <c r="BU36" s="637"/>
      <c r="BV36" s="637"/>
      <c r="BW36" s="637">
        <v>571.5</v>
      </c>
      <c r="BX36" s="637"/>
      <c r="BY36" s="637"/>
      <c r="BZ36" s="637"/>
      <c r="CA36" s="637"/>
      <c r="CB36" s="637"/>
      <c r="CC36" s="637"/>
      <c r="CD36" s="637">
        <v>3171</v>
      </c>
      <c r="CE36" s="637"/>
      <c r="CF36" s="637"/>
      <c r="CG36" s="637">
        <v>960.12</v>
      </c>
      <c r="CH36" s="637"/>
      <c r="CI36" s="637"/>
      <c r="CJ36" s="637"/>
      <c r="CK36" s="637"/>
      <c r="CL36" s="637"/>
      <c r="CM36" s="637"/>
      <c r="CN36" s="637"/>
      <c r="CO36" s="637"/>
      <c r="CP36" s="637">
        <v>171</v>
      </c>
      <c r="CQ36" s="637"/>
      <c r="CR36" s="637"/>
      <c r="CS36" s="637"/>
      <c r="CT36" s="637"/>
      <c r="CU36" s="637"/>
      <c r="CV36" s="637"/>
      <c r="CW36" s="637"/>
      <c r="CX36" s="637"/>
      <c r="CY36" s="637"/>
      <c r="CZ36" s="637"/>
      <c r="DA36" s="637">
        <v>309</v>
      </c>
      <c r="DB36" s="637" t="s">
        <v>40</v>
      </c>
      <c r="DC36" s="637">
        <v>1314</v>
      </c>
      <c r="DD36" s="637" t="s">
        <v>40</v>
      </c>
      <c r="DE36" s="637"/>
      <c r="DF36" s="637"/>
      <c r="DG36" s="637"/>
      <c r="DH36" s="637"/>
      <c r="DI36" s="637">
        <v>170.4</v>
      </c>
      <c r="DJ36" s="637"/>
      <c r="DK36" s="637"/>
      <c r="DL36" s="637"/>
      <c r="DM36" s="637"/>
      <c r="DN36" s="637"/>
      <c r="DO36" s="637"/>
      <c r="DP36" s="637"/>
      <c r="DQ36" s="654"/>
      <c r="DR36" s="650"/>
      <c r="DS36" s="661"/>
      <c r="DT36" s="662"/>
      <c r="DU36" s="661"/>
      <c r="DV36" s="663"/>
      <c r="DW36" s="657">
        <f t="shared" si="2"/>
        <v>9365.14</v>
      </c>
      <c r="DX36" s="660">
        <f t="shared" si="1"/>
        <v>44220</v>
      </c>
      <c r="DY36" s="659"/>
    </row>
    <row r="37" spans="1:129" ht="15.75" customHeight="1">
      <c r="A37" s="660">
        <v>44221</v>
      </c>
      <c r="B37" s="637">
        <v>387</v>
      </c>
      <c r="C37" s="637"/>
      <c r="D37" s="637">
        <v>48</v>
      </c>
      <c r="E37" s="637"/>
      <c r="F37" s="637">
        <v>174.64</v>
      </c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7">
        <v>5199.04</v>
      </c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7"/>
      <c r="AL37" s="637"/>
      <c r="AM37" s="637"/>
      <c r="AN37" s="637"/>
      <c r="AO37" s="637"/>
      <c r="AP37" s="637"/>
      <c r="AQ37" s="637"/>
      <c r="AR37" s="637">
        <v>490.88</v>
      </c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7"/>
      <c r="BV37" s="637"/>
      <c r="BW37" s="637"/>
      <c r="BX37" s="637"/>
      <c r="BY37" s="637"/>
      <c r="BZ37" s="637"/>
      <c r="CA37" s="637"/>
      <c r="CB37" s="637"/>
      <c r="CC37" s="637"/>
      <c r="CD37" s="637">
        <v>2328</v>
      </c>
      <c r="CE37" s="637"/>
      <c r="CF37" s="637"/>
      <c r="CG37" s="637"/>
      <c r="CH37" s="637"/>
      <c r="CI37" s="637"/>
      <c r="CJ37" s="637"/>
      <c r="CK37" s="637"/>
      <c r="CL37" s="637"/>
      <c r="CM37" s="637"/>
      <c r="CN37" s="637"/>
      <c r="CO37" s="637"/>
      <c r="CP37" s="637"/>
      <c r="CQ37" s="637"/>
      <c r="CR37" s="637"/>
      <c r="CS37" s="637"/>
      <c r="CT37" s="637"/>
      <c r="CU37" s="637"/>
      <c r="CV37" s="637"/>
      <c r="CW37" s="637"/>
      <c r="CX37" s="637"/>
      <c r="CY37" s="637"/>
      <c r="CZ37" s="637"/>
      <c r="DA37" s="637"/>
      <c r="DB37" s="637"/>
      <c r="DC37" s="637"/>
      <c r="DD37" s="637"/>
      <c r="DE37" s="637"/>
      <c r="DF37" s="637"/>
      <c r="DG37" s="637"/>
      <c r="DH37" s="637"/>
      <c r="DI37" s="637"/>
      <c r="DJ37" s="637"/>
      <c r="DK37" s="637"/>
      <c r="DL37" s="637"/>
      <c r="DM37" s="637"/>
      <c r="DN37" s="637"/>
      <c r="DO37" s="637"/>
      <c r="DP37" s="637"/>
      <c r="DQ37" s="654"/>
      <c r="DR37" s="650"/>
      <c r="DS37" s="661"/>
      <c r="DT37" s="662"/>
      <c r="DU37" s="661"/>
      <c r="DV37" s="663"/>
      <c r="DW37" s="657">
        <f t="shared" si="2"/>
        <v>8627.5600000000013</v>
      </c>
      <c r="DX37" s="660">
        <f t="shared" si="1"/>
        <v>44221</v>
      </c>
      <c r="DY37" s="659"/>
    </row>
    <row r="38" spans="1:129" ht="15.75" customHeight="1">
      <c r="A38" s="660">
        <v>44222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7"/>
      <c r="T38" s="637"/>
      <c r="U38" s="637">
        <v>150</v>
      </c>
      <c r="V38" s="637"/>
      <c r="W38" s="637"/>
      <c r="X38" s="637"/>
      <c r="Y38" s="637">
        <v>854.7</v>
      </c>
      <c r="Z38" s="637"/>
      <c r="AA38" s="637"/>
      <c r="AB38" s="637">
        <v>506.4</v>
      </c>
      <c r="AC38" s="637">
        <v>12</v>
      </c>
      <c r="AD38" s="637">
        <v>1092</v>
      </c>
      <c r="AE38" s="637">
        <v>36</v>
      </c>
      <c r="AF38" s="637"/>
      <c r="AG38" s="637"/>
      <c r="AH38" s="637"/>
      <c r="AI38" s="637"/>
      <c r="AJ38" s="637"/>
      <c r="AK38" s="637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>
        <v>1061</v>
      </c>
      <c r="AZ38" s="637">
        <v>25</v>
      </c>
      <c r="BA38" s="637">
        <v>126</v>
      </c>
      <c r="BB38" s="637">
        <v>311.2</v>
      </c>
      <c r="BC38" s="637"/>
      <c r="BD38" s="637">
        <v>445.5</v>
      </c>
      <c r="BE38" s="637">
        <v>33</v>
      </c>
      <c r="BF38" s="637"/>
      <c r="BG38" s="637">
        <v>290.39999999999998</v>
      </c>
      <c r="BH38" s="637">
        <v>128.4</v>
      </c>
      <c r="BI38" s="637">
        <v>61</v>
      </c>
      <c r="BJ38" s="637">
        <v>726</v>
      </c>
      <c r="BK38" s="637">
        <v>17</v>
      </c>
      <c r="BL38" s="637"/>
      <c r="BM38" s="637">
        <v>743</v>
      </c>
      <c r="BN38" s="637"/>
      <c r="BO38" s="637"/>
      <c r="BP38" s="637">
        <v>296</v>
      </c>
      <c r="BQ38" s="637">
        <v>33</v>
      </c>
      <c r="BR38" s="637"/>
      <c r="BS38" s="637">
        <v>103</v>
      </c>
      <c r="BT38" s="637">
        <v>360</v>
      </c>
      <c r="BU38" s="637"/>
      <c r="BV38" s="637">
        <v>300</v>
      </c>
      <c r="BW38" s="637"/>
      <c r="BX38" s="637"/>
      <c r="BY38" s="637"/>
      <c r="BZ38" s="637"/>
      <c r="CA38" s="637"/>
      <c r="CB38" s="637"/>
      <c r="CC38" s="637"/>
      <c r="CD38" s="637">
        <v>1839</v>
      </c>
      <c r="CE38" s="637">
        <v>1705.2</v>
      </c>
      <c r="CF38" s="637">
        <v>424.8</v>
      </c>
      <c r="CG38" s="637"/>
      <c r="CH38" s="637"/>
      <c r="CI38" s="637"/>
      <c r="CJ38" s="637"/>
      <c r="CK38" s="637">
        <v>652.79999999999995</v>
      </c>
      <c r="CL38" s="637"/>
      <c r="CM38" s="637"/>
      <c r="CN38" s="637"/>
      <c r="CO38" s="637"/>
      <c r="CP38" s="637"/>
      <c r="CQ38" s="637"/>
      <c r="CR38" s="637"/>
      <c r="CS38" s="637"/>
      <c r="CT38" s="637"/>
      <c r="CU38" s="637"/>
      <c r="CV38" s="637"/>
      <c r="CW38" s="637"/>
      <c r="CX38" s="637"/>
      <c r="CY38" s="637"/>
      <c r="CZ38" s="637"/>
      <c r="DA38" s="637"/>
      <c r="DB38" s="637"/>
      <c r="DC38" s="637"/>
      <c r="DD38" s="637"/>
      <c r="DE38" s="637"/>
      <c r="DF38" s="637"/>
      <c r="DG38" s="637"/>
      <c r="DH38" s="637"/>
      <c r="DI38" s="637"/>
      <c r="DJ38" s="637">
        <v>222</v>
      </c>
      <c r="DK38" s="637"/>
      <c r="DL38" s="637"/>
      <c r="DM38" s="637"/>
      <c r="DN38" s="637"/>
      <c r="DO38" s="637">
        <v>384</v>
      </c>
      <c r="DP38" s="637"/>
      <c r="DQ38" s="654"/>
      <c r="DR38" s="650"/>
      <c r="DS38" s="661"/>
      <c r="DT38" s="662"/>
      <c r="DU38" s="661"/>
      <c r="DV38" s="663"/>
      <c r="DW38" s="657">
        <f t="shared" si="2"/>
        <v>12938.399999999998</v>
      </c>
      <c r="DX38" s="660">
        <f t="shared" si="1"/>
        <v>44222</v>
      </c>
      <c r="DY38" s="659"/>
    </row>
    <row r="39" spans="1:129" ht="15.75" customHeight="1">
      <c r="A39" s="660">
        <v>44223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7"/>
      <c r="T39" s="637"/>
      <c r="U39" s="637"/>
      <c r="V39" s="637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7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7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7"/>
      <c r="BV39" s="637"/>
      <c r="BW39" s="637"/>
      <c r="BX39" s="637"/>
      <c r="BY39" s="637"/>
      <c r="BZ39" s="637"/>
      <c r="CA39" s="637"/>
      <c r="CB39" s="637"/>
      <c r="CC39" s="637"/>
      <c r="CD39" s="637"/>
      <c r="CE39" s="637"/>
      <c r="CF39" s="637"/>
      <c r="CG39" s="637"/>
      <c r="CH39" s="637"/>
      <c r="CI39" s="637"/>
      <c r="CJ39" s="637"/>
      <c r="CK39" s="637"/>
      <c r="CL39" s="637"/>
      <c r="CM39" s="637"/>
      <c r="CN39" s="637"/>
      <c r="CO39" s="637"/>
      <c r="CP39" s="637"/>
      <c r="CQ39" s="637"/>
      <c r="CR39" s="637"/>
      <c r="CS39" s="637"/>
      <c r="CT39" s="637"/>
      <c r="CU39" s="637"/>
      <c r="CV39" s="637"/>
      <c r="CW39" s="637"/>
      <c r="CX39" s="637"/>
      <c r="CY39" s="637"/>
      <c r="CZ39" s="637"/>
      <c r="DA39" s="637"/>
      <c r="DB39" s="637"/>
      <c r="DC39" s="637"/>
      <c r="DD39" s="637"/>
      <c r="DE39" s="637"/>
      <c r="DF39" s="637"/>
      <c r="DG39" s="637"/>
      <c r="DH39" s="637"/>
      <c r="DI39" s="637"/>
      <c r="DJ39" s="637"/>
      <c r="DK39" s="637"/>
      <c r="DL39" s="637"/>
      <c r="DM39" s="637"/>
      <c r="DN39" s="637"/>
      <c r="DO39" s="637"/>
      <c r="DP39" s="637"/>
      <c r="DQ39" s="654"/>
      <c r="DR39" s="650"/>
      <c r="DS39" s="661"/>
      <c r="DT39" s="662"/>
      <c r="DU39" s="661"/>
      <c r="DV39" s="663"/>
      <c r="DW39" s="657">
        <f t="shared" si="2"/>
        <v>0</v>
      </c>
      <c r="DX39" s="660">
        <f t="shared" si="1"/>
        <v>44223</v>
      </c>
      <c r="DY39" s="659"/>
    </row>
    <row r="40" spans="1:129" ht="15.75" customHeight="1">
      <c r="A40" s="660">
        <v>44224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7"/>
      <c r="T40" s="637"/>
      <c r="U40" s="637"/>
      <c r="V40" s="637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7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7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7"/>
      <c r="BV40" s="637"/>
      <c r="BW40" s="637"/>
      <c r="BX40" s="637"/>
      <c r="BY40" s="637"/>
      <c r="BZ40" s="637"/>
      <c r="CA40" s="637"/>
      <c r="CB40" s="637"/>
      <c r="CC40" s="637"/>
      <c r="CD40" s="637"/>
      <c r="CE40" s="637"/>
      <c r="CF40" s="637"/>
      <c r="CG40" s="637"/>
      <c r="CH40" s="637"/>
      <c r="CI40" s="637"/>
      <c r="CJ40" s="637"/>
      <c r="CK40" s="637"/>
      <c r="CL40" s="637"/>
      <c r="CM40" s="637"/>
      <c r="CN40" s="637"/>
      <c r="CO40" s="637"/>
      <c r="CP40" s="637"/>
      <c r="CQ40" s="637"/>
      <c r="CR40" s="637"/>
      <c r="CS40" s="637"/>
      <c r="CT40" s="637"/>
      <c r="CU40" s="637"/>
      <c r="CV40" s="637"/>
      <c r="CW40" s="637"/>
      <c r="CX40" s="637"/>
      <c r="CY40" s="637"/>
      <c r="CZ40" s="637"/>
      <c r="DA40" s="637"/>
      <c r="DB40" s="637"/>
      <c r="DC40" s="637"/>
      <c r="DD40" s="637"/>
      <c r="DE40" s="637"/>
      <c r="DF40" s="637"/>
      <c r="DG40" s="637"/>
      <c r="DH40" s="637"/>
      <c r="DI40" s="637"/>
      <c r="DJ40" s="637"/>
      <c r="DK40" s="637"/>
      <c r="DL40" s="637"/>
      <c r="DM40" s="637"/>
      <c r="DN40" s="637"/>
      <c r="DO40" s="637"/>
      <c r="DP40" s="637"/>
      <c r="DQ40" s="654"/>
      <c r="DR40" s="650"/>
      <c r="DS40" s="661"/>
      <c r="DT40" s="662"/>
      <c r="DU40" s="661"/>
      <c r="DV40" s="663"/>
      <c r="DW40" s="657">
        <f t="shared" si="2"/>
        <v>0</v>
      </c>
      <c r="DX40" s="660">
        <f t="shared" si="1"/>
        <v>44224</v>
      </c>
      <c r="DY40" s="659"/>
    </row>
    <row r="41" spans="1:129" ht="15.75" customHeight="1">
      <c r="A41" s="660">
        <v>44225</v>
      </c>
      <c r="B41" s="637"/>
      <c r="C41" s="637"/>
      <c r="D41" s="637"/>
      <c r="E41" s="637"/>
      <c r="F41" s="637"/>
      <c r="G41" s="637"/>
      <c r="H41" s="637"/>
      <c r="I41" s="637"/>
      <c r="J41" s="637"/>
      <c r="K41" s="637"/>
      <c r="L41" s="637"/>
      <c r="M41" s="637"/>
      <c r="N41" s="637"/>
      <c r="O41" s="637"/>
      <c r="P41" s="637"/>
      <c r="Q41" s="637"/>
      <c r="R41" s="637"/>
      <c r="S41" s="637"/>
      <c r="T41" s="637"/>
      <c r="U41" s="637"/>
      <c r="V41" s="637"/>
      <c r="W41" s="637"/>
      <c r="X41" s="637"/>
      <c r="Y41" s="637"/>
      <c r="Z41" s="637"/>
      <c r="AA41" s="637"/>
      <c r="AB41" s="637"/>
      <c r="AC41" s="637"/>
      <c r="AD41" s="637"/>
      <c r="AE41" s="637"/>
      <c r="AF41" s="637"/>
      <c r="AG41" s="637"/>
      <c r="AH41" s="637"/>
      <c r="AI41" s="637"/>
      <c r="AJ41" s="637"/>
      <c r="AK41" s="637"/>
      <c r="AL41" s="637"/>
      <c r="AM41" s="637"/>
      <c r="AN41" s="637"/>
      <c r="AO41" s="637"/>
      <c r="AP41" s="637"/>
      <c r="AQ41" s="637"/>
      <c r="AR41" s="637"/>
      <c r="AS41" s="637"/>
      <c r="AT41" s="637"/>
      <c r="AU41" s="637"/>
      <c r="AV41" s="637"/>
      <c r="AW41" s="637"/>
      <c r="AX41" s="637"/>
      <c r="AY41" s="637"/>
      <c r="AZ41" s="637"/>
      <c r="BA41" s="637"/>
      <c r="BB41" s="637"/>
      <c r="BC41" s="637"/>
      <c r="BD41" s="637"/>
      <c r="BE41" s="637"/>
      <c r="BF41" s="637"/>
      <c r="BG41" s="637"/>
      <c r="BH41" s="637"/>
      <c r="BI41" s="637"/>
      <c r="BJ41" s="637"/>
      <c r="BK41" s="637"/>
      <c r="BL41" s="637"/>
      <c r="BM41" s="637"/>
      <c r="BN41" s="637"/>
      <c r="BO41" s="637"/>
      <c r="BP41" s="637"/>
      <c r="BQ41" s="637"/>
      <c r="BR41" s="637"/>
      <c r="BS41" s="637"/>
      <c r="BT41" s="637"/>
      <c r="BU41" s="637"/>
      <c r="BV41" s="637"/>
      <c r="BW41" s="637"/>
      <c r="BX41" s="637"/>
      <c r="BY41" s="637"/>
      <c r="BZ41" s="637"/>
      <c r="CA41" s="637"/>
      <c r="CB41" s="637"/>
      <c r="CC41" s="637"/>
      <c r="CD41" s="637"/>
      <c r="CE41" s="637"/>
      <c r="CF41" s="637"/>
      <c r="CG41" s="637"/>
      <c r="CH41" s="637"/>
      <c r="CI41" s="637"/>
      <c r="CJ41" s="637"/>
      <c r="CK41" s="637"/>
      <c r="CL41" s="637"/>
      <c r="CM41" s="637"/>
      <c r="CN41" s="637"/>
      <c r="CO41" s="637"/>
      <c r="CP41" s="637"/>
      <c r="CQ41" s="637"/>
      <c r="CR41" s="637"/>
      <c r="CS41" s="637"/>
      <c r="CT41" s="637"/>
      <c r="CU41" s="637"/>
      <c r="CV41" s="637"/>
      <c r="CW41" s="637"/>
      <c r="CX41" s="637"/>
      <c r="CY41" s="637"/>
      <c r="CZ41" s="637"/>
      <c r="DA41" s="637"/>
      <c r="DB41" s="637"/>
      <c r="DC41" s="637"/>
      <c r="DD41" s="637"/>
      <c r="DE41" s="637"/>
      <c r="DF41" s="637"/>
      <c r="DG41" s="637"/>
      <c r="DH41" s="637"/>
      <c r="DI41" s="637"/>
      <c r="DJ41" s="637"/>
      <c r="DK41" s="637"/>
      <c r="DL41" s="637"/>
      <c r="DM41" s="637"/>
      <c r="DN41" s="637"/>
      <c r="DO41" s="637"/>
      <c r="DP41" s="637"/>
      <c r="DQ41" s="654"/>
      <c r="DR41" s="650"/>
      <c r="DS41" s="661"/>
      <c r="DT41" s="662"/>
      <c r="DU41" s="661"/>
      <c r="DV41" s="663"/>
      <c r="DW41" s="657">
        <f t="shared" si="2"/>
        <v>0</v>
      </c>
      <c r="DX41" s="660">
        <f t="shared" si="1"/>
        <v>44225</v>
      </c>
      <c r="DY41" s="659"/>
    </row>
    <row r="42" spans="1:129" ht="15.75" customHeight="1">
      <c r="A42" s="660">
        <v>44226</v>
      </c>
      <c r="B42" s="637"/>
      <c r="C42" s="637"/>
      <c r="D42" s="637"/>
      <c r="E42" s="637"/>
      <c r="F42" s="637"/>
      <c r="G42" s="637"/>
      <c r="H42" s="637"/>
      <c r="I42" s="637"/>
      <c r="J42" s="637"/>
      <c r="K42" s="637"/>
      <c r="L42" s="637"/>
      <c r="M42" s="637"/>
      <c r="N42" s="637"/>
      <c r="O42" s="637"/>
      <c r="P42" s="637"/>
      <c r="Q42" s="637"/>
      <c r="R42" s="637"/>
      <c r="S42" s="637"/>
      <c r="T42" s="637"/>
      <c r="U42" s="637"/>
      <c r="V42" s="637"/>
      <c r="W42" s="637"/>
      <c r="X42" s="637"/>
      <c r="Y42" s="637"/>
      <c r="Z42" s="637"/>
      <c r="AA42" s="637"/>
      <c r="AB42" s="637"/>
      <c r="AC42" s="637"/>
      <c r="AD42" s="637"/>
      <c r="AE42" s="637"/>
      <c r="AF42" s="637"/>
      <c r="AG42" s="637"/>
      <c r="AH42" s="637"/>
      <c r="AI42" s="637"/>
      <c r="AJ42" s="637"/>
      <c r="AK42" s="637"/>
      <c r="AL42" s="637"/>
      <c r="AM42" s="637"/>
      <c r="AN42" s="637"/>
      <c r="AO42" s="637"/>
      <c r="AP42" s="637"/>
      <c r="AQ42" s="637"/>
      <c r="AR42" s="637"/>
      <c r="AS42" s="637"/>
      <c r="AT42" s="637"/>
      <c r="AU42" s="637"/>
      <c r="AV42" s="637"/>
      <c r="AW42" s="637"/>
      <c r="AX42" s="637"/>
      <c r="AY42" s="637"/>
      <c r="AZ42" s="637"/>
      <c r="BA42" s="637"/>
      <c r="BB42" s="637"/>
      <c r="BC42" s="637"/>
      <c r="BD42" s="637"/>
      <c r="BE42" s="637"/>
      <c r="BF42" s="637"/>
      <c r="BG42" s="637"/>
      <c r="BH42" s="637"/>
      <c r="BI42" s="637"/>
      <c r="BJ42" s="637"/>
      <c r="BK42" s="637"/>
      <c r="BL42" s="637"/>
      <c r="BM42" s="637"/>
      <c r="BN42" s="637"/>
      <c r="BO42" s="637"/>
      <c r="BP42" s="637"/>
      <c r="BQ42" s="637"/>
      <c r="BR42" s="637"/>
      <c r="BS42" s="637"/>
      <c r="BT42" s="637"/>
      <c r="BU42" s="637"/>
      <c r="BV42" s="637"/>
      <c r="BW42" s="637"/>
      <c r="BX42" s="637"/>
      <c r="BY42" s="637"/>
      <c r="BZ42" s="637"/>
      <c r="CA42" s="637"/>
      <c r="CB42" s="637"/>
      <c r="CC42" s="637"/>
      <c r="CD42" s="637"/>
      <c r="CE42" s="637"/>
      <c r="CF42" s="637"/>
      <c r="CG42" s="637"/>
      <c r="CH42" s="637"/>
      <c r="CI42" s="637"/>
      <c r="CJ42" s="637"/>
      <c r="CK42" s="637"/>
      <c r="CL42" s="637"/>
      <c r="CM42" s="637"/>
      <c r="CN42" s="637"/>
      <c r="CO42" s="637"/>
      <c r="CP42" s="637"/>
      <c r="CQ42" s="637"/>
      <c r="CR42" s="637"/>
      <c r="CS42" s="637"/>
      <c r="CT42" s="637"/>
      <c r="CU42" s="637"/>
      <c r="CV42" s="637"/>
      <c r="CW42" s="637"/>
      <c r="CX42" s="637"/>
      <c r="CY42" s="637"/>
      <c r="CZ42" s="637"/>
      <c r="DA42" s="637"/>
      <c r="DB42" s="637"/>
      <c r="DC42" s="637"/>
      <c r="DD42" s="637"/>
      <c r="DE42" s="637"/>
      <c r="DF42" s="637"/>
      <c r="DG42" s="637"/>
      <c r="DH42" s="637"/>
      <c r="DI42" s="637"/>
      <c r="DJ42" s="637"/>
      <c r="DK42" s="637"/>
      <c r="DL42" s="637"/>
      <c r="DM42" s="637"/>
      <c r="DN42" s="637"/>
      <c r="DO42" s="637"/>
      <c r="DP42" s="637"/>
      <c r="DQ42" s="654"/>
      <c r="DR42" s="650"/>
      <c r="DS42" s="661"/>
      <c r="DT42" s="662"/>
      <c r="DU42" s="661"/>
      <c r="DV42" s="663"/>
      <c r="DW42" s="657">
        <f t="shared" si="2"/>
        <v>0</v>
      </c>
      <c r="DX42" s="660">
        <f t="shared" si="1"/>
        <v>44226</v>
      </c>
      <c r="DY42" s="659"/>
    </row>
    <row r="43" spans="1:129" ht="15.75" customHeight="1">
      <c r="A43" s="660">
        <v>44227</v>
      </c>
      <c r="B43" s="637"/>
      <c r="C43" s="637"/>
      <c r="D43" s="637"/>
      <c r="E43" s="637"/>
      <c r="F43" s="637"/>
      <c r="G43" s="637"/>
      <c r="H43" s="637"/>
      <c r="I43" s="637"/>
      <c r="J43" s="637"/>
      <c r="K43" s="637"/>
      <c r="L43" s="637"/>
      <c r="M43" s="637"/>
      <c r="N43" s="637"/>
      <c r="O43" s="637"/>
      <c r="P43" s="637"/>
      <c r="Q43" s="637"/>
      <c r="R43" s="637"/>
      <c r="S43" s="637"/>
      <c r="T43" s="637"/>
      <c r="U43" s="637"/>
      <c r="V43" s="637"/>
      <c r="W43" s="637"/>
      <c r="X43" s="637"/>
      <c r="Y43" s="637"/>
      <c r="Z43" s="637"/>
      <c r="AA43" s="637"/>
      <c r="AB43" s="637"/>
      <c r="AC43" s="637"/>
      <c r="AD43" s="637"/>
      <c r="AE43" s="637"/>
      <c r="AF43" s="637"/>
      <c r="AG43" s="637"/>
      <c r="AH43" s="637"/>
      <c r="AI43" s="637"/>
      <c r="AJ43" s="637"/>
      <c r="AK43" s="637"/>
      <c r="AL43" s="637"/>
      <c r="AM43" s="637"/>
      <c r="AN43" s="637"/>
      <c r="AO43" s="637"/>
      <c r="AP43" s="637"/>
      <c r="AQ43" s="637"/>
      <c r="AR43" s="637"/>
      <c r="AS43" s="637"/>
      <c r="AT43" s="637"/>
      <c r="AU43" s="637"/>
      <c r="AV43" s="637"/>
      <c r="AW43" s="637"/>
      <c r="AX43" s="637"/>
      <c r="AY43" s="637"/>
      <c r="AZ43" s="637"/>
      <c r="BA43" s="637"/>
      <c r="BB43" s="637"/>
      <c r="BC43" s="637"/>
      <c r="BD43" s="637"/>
      <c r="BE43" s="637"/>
      <c r="BF43" s="637"/>
      <c r="BG43" s="637"/>
      <c r="BH43" s="637"/>
      <c r="BI43" s="637"/>
      <c r="BJ43" s="637"/>
      <c r="BK43" s="637"/>
      <c r="BL43" s="637"/>
      <c r="BM43" s="637"/>
      <c r="BN43" s="637"/>
      <c r="BO43" s="637"/>
      <c r="BP43" s="637"/>
      <c r="BQ43" s="637"/>
      <c r="BR43" s="637"/>
      <c r="BS43" s="637"/>
      <c r="BT43" s="637"/>
      <c r="BU43" s="637"/>
      <c r="BV43" s="637"/>
      <c r="BW43" s="637"/>
      <c r="BX43" s="637"/>
      <c r="BY43" s="637"/>
      <c r="BZ43" s="637"/>
      <c r="CA43" s="637"/>
      <c r="CB43" s="637"/>
      <c r="CC43" s="637"/>
      <c r="CD43" s="637"/>
      <c r="CE43" s="637"/>
      <c r="CF43" s="637"/>
      <c r="CG43" s="637"/>
      <c r="CH43" s="637"/>
      <c r="CI43" s="637"/>
      <c r="CJ43" s="637"/>
      <c r="CK43" s="637"/>
      <c r="CL43" s="637"/>
      <c r="CM43" s="637"/>
      <c r="CN43" s="637"/>
      <c r="CO43" s="637"/>
      <c r="CP43" s="637"/>
      <c r="CQ43" s="637"/>
      <c r="CR43" s="637"/>
      <c r="CS43" s="637"/>
      <c r="CT43" s="637"/>
      <c r="CU43" s="637"/>
      <c r="CV43" s="637"/>
      <c r="CW43" s="637"/>
      <c r="CX43" s="637"/>
      <c r="CY43" s="637"/>
      <c r="CZ43" s="637"/>
      <c r="DA43" s="637"/>
      <c r="DB43" s="637"/>
      <c r="DC43" s="637"/>
      <c r="DD43" s="637"/>
      <c r="DE43" s="637"/>
      <c r="DF43" s="637"/>
      <c r="DG43" s="637"/>
      <c r="DH43" s="637"/>
      <c r="DI43" s="637"/>
      <c r="DJ43" s="637"/>
      <c r="DK43" s="637"/>
      <c r="DL43" s="637"/>
      <c r="DM43" s="637"/>
      <c r="DN43" s="637"/>
      <c r="DO43" s="637"/>
      <c r="DP43" s="637"/>
      <c r="DQ43" s="654"/>
      <c r="DR43" s="650"/>
      <c r="DS43" s="661"/>
      <c r="DT43" s="662"/>
      <c r="DU43" s="661"/>
      <c r="DV43" s="663"/>
      <c r="DW43" s="657">
        <f t="shared" si="2"/>
        <v>0</v>
      </c>
      <c r="DX43" s="660">
        <f t="shared" si="1"/>
        <v>44227</v>
      </c>
      <c r="DY43" s="659"/>
    </row>
    <row r="44" spans="1:129" ht="15.75" customHeight="1">
      <c r="A44" s="660">
        <v>44228</v>
      </c>
      <c r="B44" s="637"/>
      <c r="C44" s="637"/>
      <c r="D44" s="637"/>
      <c r="E44" s="637"/>
      <c r="F44" s="637"/>
      <c r="G44" s="637"/>
      <c r="H44" s="637"/>
      <c r="I44" s="637"/>
      <c r="J44" s="637"/>
      <c r="K44" s="637"/>
      <c r="L44" s="637"/>
      <c r="M44" s="637"/>
      <c r="N44" s="637"/>
      <c r="O44" s="637"/>
      <c r="P44" s="637"/>
      <c r="Q44" s="637"/>
      <c r="R44" s="637"/>
      <c r="S44" s="637"/>
      <c r="T44" s="637"/>
      <c r="U44" s="637"/>
      <c r="V44" s="637"/>
      <c r="W44" s="637"/>
      <c r="X44" s="637"/>
      <c r="Y44" s="637"/>
      <c r="Z44" s="637"/>
      <c r="AA44" s="637"/>
      <c r="AB44" s="637"/>
      <c r="AC44" s="637"/>
      <c r="AD44" s="637"/>
      <c r="AE44" s="637"/>
      <c r="AF44" s="637"/>
      <c r="AG44" s="637"/>
      <c r="AH44" s="637"/>
      <c r="AI44" s="637"/>
      <c r="AJ44" s="637"/>
      <c r="AK44" s="637"/>
      <c r="AL44" s="637"/>
      <c r="AM44" s="637"/>
      <c r="AN44" s="637"/>
      <c r="AO44" s="637"/>
      <c r="AP44" s="637"/>
      <c r="AQ44" s="637"/>
      <c r="AR44" s="637"/>
      <c r="AS44" s="637"/>
      <c r="AT44" s="637"/>
      <c r="AU44" s="637"/>
      <c r="AV44" s="637"/>
      <c r="AW44" s="637"/>
      <c r="AX44" s="637"/>
      <c r="AY44" s="637"/>
      <c r="AZ44" s="637"/>
      <c r="BA44" s="637"/>
      <c r="BB44" s="637"/>
      <c r="BC44" s="637"/>
      <c r="BD44" s="637"/>
      <c r="BE44" s="637"/>
      <c r="BF44" s="637"/>
      <c r="BG44" s="637"/>
      <c r="BH44" s="637"/>
      <c r="BI44" s="637"/>
      <c r="BJ44" s="637"/>
      <c r="BK44" s="637"/>
      <c r="BL44" s="637"/>
      <c r="BM44" s="637"/>
      <c r="BN44" s="637"/>
      <c r="BO44" s="637"/>
      <c r="BP44" s="637"/>
      <c r="BQ44" s="637"/>
      <c r="BR44" s="637"/>
      <c r="BS44" s="637"/>
      <c r="BT44" s="637"/>
      <c r="BU44" s="637"/>
      <c r="BV44" s="637"/>
      <c r="BW44" s="637"/>
      <c r="BX44" s="637"/>
      <c r="BY44" s="637"/>
      <c r="BZ44" s="637"/>
      <c r="CA44" s="637"/>
      <c r="CB44" s="637"/>
      <c r="CC44" s="637"/>
      <c r="CD44" s="637"/>
      <c r="CE44" s="637"/>
      <c r="CF44" s="637"/>
      <c r="CG44" s="637"/>
      <c r="CH44" s="637"/>
      <c r="CI44" s="637"/>
      <c r="CJ44" s="637"/>
      <c r="CK44" s="637"/>
      <c r="CL44" s="637"/>
      <c r="CM44" s="637"/>
      <c r="CN44" s="637"/>
      <c r="CO44" s="637"/>
      <c r="CP44" s="637"/>
      <c r="CQ44" s="637"/>
      <c r="CR44" s="637"/>
      <c r="CS44" s="637"/>
      <c r="CT44" s="637"/>
      <c r="CU44" s="637"/>
      <c r="CV44" s="637"/>
      <c r="CW44" s="637"/>
      <c r="CX44" s="637"/>
      <c r="CY44" s="637"/>
      <c r="CZ44" s="637"/>
      <c r="DA44" s="637"/>
      <c r="DB44" s="637"/>
      <c r="DC44" s="637"/>
      <c r="DD44" s="637"/>
      <c r="DE44" s="637"/>
      <c r="DF44" s="637"/>
      <c r="DG44" s="637"/>
      <c r="DH44" s="637"/>
      <c r="DI44" s="637"/>
      <c r="DJ44" s="637"/>
      <c r="DK44" s="637"/>
      <c r="DL44" s="637"/>
      <c r="DM44" s="637"/>
      <c r="DN44" s="637"/>
      <c r="DO44" s="637"/>
      <c r="DP44" s="637"/>
      <c r="DQ44" s="654"/>
      <c r="DR44" s="650"/>
      <c r="DS44" s="661"/>
      <c r="DT44" s="662"/>
      <c r="DU44" s="661"/>
      <c r="DV44" s="663"/>
      <c r="DW44" s="657">
        <f t="shared" si="2"/>
        <v>0</v>
      </c>
      <c r="DX44" s="660">
        <f t="shared" si="1"/>
        <v>44228</v>
      </c>
      <c r="DY44" s="659"/>
    </row>
    <row r="45" spans="1:129" ht="15.75" customHeight="1">
      <c r="A45" s="660">
        <v>44229</v>
      </c>
      <c r="B45" s="637"/>
      <c r="C45" s="637"/>
      <c r="D45" s="637"/>
      <c r="E45" s="637"/>
      <c r="F45" s="637"/>
      <c r="G45" s="637"/>
      <c r="H45" s="637"/>
      <c r="I45" s="637"/>
      <c r="J45" s="637"/>
      <c r="K45" s="637"/>
      <c r="L45" s="637"/>
      <c r="M45" s="637"/>
      <c r="N45" s="637"/>
      <c r="O45" s="637"/>
      <c r="P45" s="637"/>
      <c r="Q45" s="637"/>
      <c r="R45" s="637"/>
      <c r="S45" s="637"/>
      <c r="T45" s="637"/>
      <c r="U45" s="637"/>
      <c r="V45" s="637"/>
      <c r="W45" s="637"/>
      <c r="X45" s="637"/>
      <c r="Y45" s="637"/>
      <c r="Z45" s="637"/>
      <c r="AA45" s="637"/>
      <c r="AB45" s="637"/>
      <c r="AC45" s="637"/>
      <c r="AD45" s="637"/>
      <c r="AE45" s="637"/>
      <c r="AF45" s="637"/>
      <c r="AG45" s="637"/>
      <c r="AH45" s="637"/>
      <c r="AI45" s="637"/>
      <c r="AJ45" s="637"/>
      <c r="AK45" s="637"/>
      <c r="AL45" s="637"/>
      <c r="AM45" s="637"/>
      <c r="AN45" s="637"/>
      <c r="AO45" s="637"/>
      <c r="AP45" s="637"/>
      <c r="AQ45" s="637"/>
      <c r="AR45" s="637"/>
      <c r="AS45" s="637"/>
      <c r="AT45" s="637"/>
      <c r="AU45" s="637"/>
      <c r="AV45" s="637"/>
      <c r="AW45" s="637"/>
      <c r="AX45" s="637"/>
      <c r="AY45" s="637"/>
      <c r="AZ45" s="637"/>
      <c r="BA45" s="637"/>
      <c r="BB45" s="637"/>
      <c r="BC45" s="637"/>
      <c r="BD45" s="637"/>
      <c r="BE45" s="637"/>
      <c r="BF45" s="637"/>
      <c r="BG45" s="637"/>
      <c r="BH45" s="637"/>
      <c r="BI45" s="637"/>
      <c r="BJ45" s="637"/>
      <c r="BK45" s="637"/>
      <c r="BL45" s="637"/>
      <c r="BM45" s="637"/>
      <c r="BN45" s="637"/>
      <c r="BO45" s="637"/>
      <c r="BP45" s="637"/>
      <c r="BQ45" s="637"/>
      <c r="BR45" s="637"/>
      <c r="BS45" s="637"/>
      <c r="BT45" s="637"/>
      <c r="BU45" s="637"/>
      <c r="BV45" s="637"/>
      <c r="BW45" s="637"/>
      <c r="BX45" s="637"/>
      <c r="BY45" s="637"/>
      <c r="BZ45" s="637"/>
      <c r="CA45" s="637"/>
      <c r="CB45" s="637"/>
      <c r="CC45" s="637"/>
      <c r="CD45" s="637"/>
      <c r="CE45" s="637"/>
      <c r="CF45" s="637"/>
      <c r="CG45" s="637"/>
      <c r="CH45" s="637"/>
      <c r="CI45" s="637"/>
      <c r="CJ45" s="637"/>
      <c r="CK45" s="637"/>
      <c r="CL45" s="637"/>
      <c r="CM45" s="637"/>
      <c r="CN45" s="637"/>
      <c r="CO45" s="637"/>
      <c r="CP45" s="637"/>
      <c r="CQ45" s="637"/>
      <c r="CR45" s="637"/>
      <c r="CS45" s="637"/>
      <c r="CT45" s="637"/>
      <c r="CU45" s="637"/>
      <c r="CV45" s="637"/>
      <c r="CW45" s="637"/>
      <c r="CX45" s="637"/>
      <c r="CY45" s="637"/>
      <c r="CZ45" s="637"/>
      <c r="DA45" s="637"/>
      <c r="DB45" s="637"/>
      <c r="DC45" s="637"/>
      <c r="DD45" s="637"/>
      <c r="DE45" s="637"/>
      <c r="DF45" s="637"/>
      <c r="DG45" s="637"/>
      <c r="DH45" s="637"/>
      <c r="DI45" s="637"/>
      <c r="DJ45" s="637"/>
      <c r="DK45" s="637"/>
      <c r="DL45" s="637"/>
      <c r="DM45" s="637"/>
      <c r="DN45" s="637"/>
      <c r="DO45" s="637"/>
      <c r="DP45" s="637"/>
      <c r="DQ45" s="654"/>
      <c r="DR45" s="650"/>
      <c r="DS45" s="661"/>
      <c r="DT45" s="662"/>
      <c r="DU45" s="661"/>
      <c r="DV45" s="663"/>
      <c r="DW45" s="657">
        <f t="shared" si="2"/>
        <v>0</v>
      </c>
      <c r="DX45" s="660">
        <f t="shared" si="1"/>
        <v>44229</v>
      </c>
      <c r="DY45" s="659"/>
    </row>
    <row r="46" spans="1:129" ht="15.75" customHeight="1">
      <c r="A46" s="660">
        <v>44230</v>
      </c>
      <c r="B46" s="637"/>
      <c r="C46" s="637"/>
      <c r="D46" s="637"/>
      <c r="E46" s="637"/>
      <c r="F46" s="637"/>
      <c r="G46" s="637"/>
      <c r="H46" s="637"/>
      <c r="I46" s="637"/>
      <c r="J46" s="637"/>
      <c r="K46" s="637"/>
      <c r="L46" s="637"/>
      <c r="M46" s="637"/>
      <c r="N46" s="637"/>
      <c r="O46" s="637"/>
      <c r="P46" s="637"/>
      <c r="Q46" s="637"/>
      <c r="R46" s="637"/>
      <c r="S46" s="637"/>
      <c r="T46" s="637"/>
      <c r="U46" s="637"/>
      <c r="V46" s="637"/>
      <c r="W46" s="637"/>
      <c r="X46" s="637"/>
      <c r="Y46" s="637"/>
      <c r="Z46" s="637"/>
      <c r="AA46" s="637"/>
      <c r="AB46" s="637"/>
      <c r="AC46" s="637"/>
      <c r="AD46" s="637"/>
      <c r="AE46" s="637"/>
      <c r="AF46" s="637"/>
      <c r="AG46" s="637"/>
      <c r="AH46" s="637"/>
      <c r="AI46" s="637"/>
      <c r="AJ46" s="637"/>
      <c r="AK46" s="637"/>
      <c r="AL46" s="637"/>
      <c r="AM46" s="637"/>
      <c r="AN46" s="637"/>
      <c r="AO46" s="637"/>
      <c r="AP46" s="637"/>
      <c r="AQ46" s="637"/>
      <c r="AR46" s="637"/>
      <c r="AS46" s="637"/>
      <c r="AT46" s="637"/>
      <c r="AU46" s="637"/>
      <c r="AV46" s="637"/>
      <c r="AW46" s="637"/>
      <c r="AX46" s="637"/>
      <c r="AY46" s="637"/>
      <c r="AZ46" s="637"/>
      <c r="BA46" s="637"/>
      <c r="BB46" s="637"/>
      <c r="BC46" s="637"/>
      <c r="BD46" s="637"/>
      <c r="BE46" s="637"/>
      <c r="BF46" s="637"/>
      <c r="BG46" s="637"/>
      <c r="BH46" s="637"/>
      <c r="BI46" s="637"/>
      <c r="BJ46" s="637"/>
      <c r="BK46" s="637"/>
      <c r="BL46" s="637"/>
      <c r="BM46" s="637"/>
      <c r="BN46" s="637"/>
      <c r="BO46" s="637"/>
      <c r="BP46" s="637"/>
      <c r="BQ46" s="637"/>
      <c r="BR46" s="637"/>
      <c r="BS46" s="637"/>
      <c r="BT46" s="637"/>
      <c r="BU46" s="637"/>
      <c r="BV46" s="637"/>
      <c r="BW46" s="637"/>
      <c r="BX46" s="637"/>
      <c r="BY46" s="637"/>
      <c r="BZ46" s="637"/>
      <c r="CA46" s="637"/>
      <c r="CB46" s="637"/>
      <c r="CC46" s="637"/>
      <c r="CD46" s="637"/>
      <c r="CE46" s="637"/>
      <c r="CF46" s="637"/>
      <c r="CG46" s="637"/>
      <c r="CH46" s="637"/>
      <c r="CI46" s="637"/>
      <c r="CJ46" s="637"/>
      <c r="CK46" s="637"/>
      <c r="CL46" s="637"/>
      <c r="CM46" s="637"/>
      <c r="CN46" s="637"/>
      <c r="CO46" s="637"/>
      <c r="CP46" s="637"/>
      <c r="CQ46" s="637"/>
      <c r="CR46" s="637"/>
      <c r="CS46" s="637"/>
      <c r="CT46" s="637"/>
      <c r="CU46" s="637"/>
      <c r="CV46" s="637"/>
      <c r="CW46" s="637"/>
      <c r="CX46" s="637"/>
      <c r="CY46" s="637"/>
      <c r="CZ46" s="637"/>
      <c r="DA46" s="637"/>
      <c r="DB46" s="637"/>
      <c r="DC46" s="637"/>
      <c r="DD46" s="637"/>
      <c r="DE46" s="637"/>
      <c r="DF46" s="637"/>
      <c r="DG46" s="637"/>
      <c r="DH46" s="637"/>
      <c r="DI46" s="637"/>
      <c r="DJ46" s="637"/>
      <c r="DK46" s="637"/>
      <c r="DL46" s="637"/>
      <c r="DM46" s="637"/>
      <c r="DN46" s="637"/>
      <c r="DO46" s="637"/>
      <c r="DP46" s="637"/>
      <c r="DQ46" s="654"/>
      <c r="DR46" s="650"/>
      <c r="DS46" s="661"/>
      <c r="DT46" s="662"/>
      <c r="DU46" s="661"/>
      <c r="DV46" s="663"/>
      <c r="DW46" s="657">
        <f t="shared" si="2"/>
        <v>0</v>
      </c>
      <c r="DX46" s="660">
        <f t="shared" si="1"/>
        <v>44230</v>
      </c>
      <c r="DY46" s="659"/>
    </row>
    <row r="47" spans="1:129" ht="15.75" customHeight="1">
      <c r="A47" s="660">
        <v>44231</v>
      </c>
      <c r="B47" s="637"/>
      <c r="C47" s="637"/>
      <c r="D47" s="637"/>
      <c r="E47" s="637"/>
      <c r="F47" s="637"/>
      <c r="G47" s="637"/>
      <c r="H47" s="637"/>
      <c r="I47" s="637"/>
      <c r="J47" s="637"/>
      <c r="K47" s="637"/>
      <c r="L47" s="637"/>
      <c r="M47" s="637"/>
      <c r="N47" s="637"/>
      <c r="O47" s="637"/>
      <c r="P47" s="637"/>
      <c r="Q47" s="637"/>
      <c r="R47" s="637"/>
      <c r="S47" s="637"/>
      <c r="T47" s="637"/>
      <c r="U47" s="637"/>
      <c r="V47" s="637"/>
      <c r="W47" s="637"/>
      <c r="X47" s="637"/>
      <c r="Y47" s="637"/>
      <c r="Z47" s="637"/>
      <c r="AA47" s="637"/>
      <c r="AB47" s="637"/>
      <c r="AC47" s="637"/>
      <c r="AD47" s="637"/>
      <c r="AE47" s="637"/>
      <c r="AF47" s="637"/>
      <c r="AG47" s="637"/>
      <c r="AH47" s="637"/>
      <c r="AI47" s="637"/>
      <c r="AJ47" s="637"/>
      <c r="AK47" s="637"/>
      <c r="AL47" s="637"/>
      <c r="AM47" s="637"/>
      <c r="AN47" s="637"/>
      <c r="AO47" s="637"/>
      <c r="AP47" s="637"/>
      <c r="AQ47" s="637"/>
      <c r="AR47" s="637"/>
      <c r="AS47" s="637"/>
      <c r="AT47" s="637"/>
      <c r="AU47" s="637"/>
      <c r="AV47" s="637"/>
      <c r="AW47" s="637"/>
      <c r="AX47" s="637"/>
      <c r="AY47" s="637"/>
      <c r="AZ47" s="637"/>
      <c r="BA47" s="637"/>
      <c r="BB47" s="637"/>
      <c r="BC47" s="637"/>
      <c r="BD47" s="637"/>
      <c r="BE47" s="637"/>
      <c r="BF47" s="637"/>
      <c r="BG47" s="637"/>
      <c r="BH47" s="637"/>
      <c r="BI47" s="637"/>
      <c r="BJ47" s="637"/>
      <c r="BK47" s="637"/>
      <c r="BL47" s="637"/>
      <c r="BM47" s="637"/>
      <c r="BN47" s="637"/>
      <c r="BO47" s="637"/>
      <c r="BP47" s="637"/>
      <c r="BQ47" s="637"/>
      <c r="BR47" s="637"/>
      <c r="BS47" s="637"/>
      <c r="BT47" s="637"/>
      <c r="BU47" s="637"/>
      <c r="BV47" s="637"/>
      <c r="BW47" s="637"/>
      <c r="BX47" s="637"/>
      <c r="BY47" s="637"/>
      <c r="BZ47" s="637"/>
      <c r="CA47" s="637"/>
      <c r="CB47" s="637"/>
      <c r="CC47" s="637"/>
      <c r="CD47" s="637"/>
      <c r="CE47" s="637"/>
      <c r="CF47" s="637"/>
      <c r="CG47" s="637"/>
      <c r="CH47" s="637"/>
      <c r="CI47" s="637"/>
      <c r="CJ47" s="637"/>
      <c r="CK47" s="637"/>
      <c r="CL47" s="637"/>
      <c r="CM47" s="637"/>
      <c r="CN47" s="637"/>
      <c r="CO47" s="637"/>
      <c r="CP47" s="637"/>
      <c r="CQ47" s="637"/>
      <c r="CR47" s="637"/>
      <c r="CS47" s="637"/>
      <c r="CT47" s="637"/>
      <c r="CU47" s="637"/>
      <c r="CV47" s="637"/>
      <c r="CW47" s="637"/>
      <c r="CX47" s="637"/>
      <c r="CY47" s="637"/>
      <c r="CZ47" s="637"/>
      <c r="DA47" s="637"/>
      <c r="DB47" s="637"/>
      <c r="DC47" s="637"/>
      <c r="DD47" s="637"/>
      <c r="DE47" s="637"/>
      <c r="DF47" s="637"/>
      <c r="DG47" s="637"/>
      <c r="DH47" s="637"/>
      <c r="DI47" s="637"/>
      <c r="DJ47" s="637"/>
      <c r="DK47" s="637"/>
      <c r="DL47" s="637"/>
      <c r="DM47" s="637"/>
      <c r="DN47" s="637"/>
      <c r="DO47" s="637"/>
      <c r="DP47" s="637"/>
      <c r="DQ47" s="654"/>
      <c r="DR47" s="650"/>
      <c r="DS47" s="661"/>
      <c r="DT47" s="662"/>
      <c r="DU47" s="661"/>
      <c r="DV47" s="663"/>
      <c r="DW47" s="657">
        <f t="shared" si="2"/>
        <v>0</v>
      </c>
      <c r="DX47" s="660">
        <f t="shared" si="1"/>
        <v>44231</v>
      </c>
      <c r="DY47" s="659"/>
    </row>
    <row r="48" spans="1:129" ht="15.75" customHeight="1">
      <c r="A48" s="660">
        <v>44232</v>
      </c>
      <c r="B48" s="637"/>
      <c r="C48" s="637"/>
      <c r="D48" s="637"/>
      <c r="E48" s="637"/>
      <c r="F48" s="637"/>
      <c r="G48" s="637"/>
      <c r="H48" s="637"/>
      <c r="I48" s="637"/>
      <c r="J48" s="637"/>
      <c r="K48" s="637"/>
      <c r="L48" s="637"/>
      <c r="M48" s="637"/>
      <c r="N48" s="637"/>
      <c r="O48" s="637"/>
      <c r="P48" s="637"/>
      <c r="Q48" s="637"/>
      <c r="R48" s="637"/>
      <c r="S48" s="637"/>
      <c r="T48" s="637"/>
      <c r="U48" s="637"/>
      <c r="V48" s="637"/>
      <c r="W48" s="637"/>
      <c r="X48" s="637"/>
      <c r="Y48" s="637"/>
      <c r="Z48" s="637"/>
      <c r="AA48" s="637"/>
      <c r="AB48" s="637"/>
      <c r="AC48" s="637"/>
      <c r="AD48" s="637"/>
      <c r="AE48" s="637"/>
      <c r="AF48" s="637"/>
      <c r="AG48" s="637"/>
      <c r="AH48" s="637"/>
      <c r="AI48" s="637"/>
      <c r="AJ48" s="637"/>
      <c r="AK48" s="637"/>
      <c r="AL48" s="637"/>
      <c r="AM48" s="637"/>
      <c r="AN48" s="637"/>
      <c r="AO48" s="637"/>
      <c r="AP48" s="637"/>
      <c r="AQ48" s="637"/>
      <c r="AR48" s="637"/>
      <c r="AS48" s="637"/>
      <c r="AT48" s="637"/>
      <c r="AU48" s="637"/>
      <c r="AV48" s="637"/>
      <c r="AW48" s="637"/>
      <c r="AX48" s="637"/>
      <c r="AY48" s="637"/>
      <c r="AZ48" s="637"/>
      <c r="BA48" s="637"/>
      <c r="BB48" s="637"/>
      <c r="BC48" s="637"/>
      <c r="BD48" s="637"/>
      <c r="BE48" s="637"/>
      <c r="BF48" s="637"/>
      <c r="BG48" s="637"/>
      <c r="BH48" s="637"/>
      <c r="BI48" s="637"/>
      <c r="BJ48" s="637"/>
      <c r="BK48" s="637"/>
      <c r="BL48" s="637"/>
      <c r="BM48" s="637"/>
      <c r="BN48" s="637"/>
      <c r="BO48" s="637"/>
      <c r="BP48" s="637"/>
      <c r="BQ48" s="637"/>
      <c r="BR48" s="637"/>
      <c r="BS48" s="637"/>
      <c r="BT48" s="637"/>
      <c r="BU48" s="637"/>
      <c r="BV48" s="637"/>
      <c r="BW48" s="637"/>
      <c r="BX48" s="637"/>
      <c r="BY48" s="637"/>
      <c r="BZ48" s="637"/>
      <c r="CA48" s="637"/>
      <c r="CB48" s="637"/>
      <c r="CC48" s="637"/>
      <c r="CD48" s="637"/>
      <c r="CE48" s="637"/>
      <c r="CF48" s="637"/>
      <c r="CG48" s="637"/>
      <c r="CH48" s="637"/>
      <c r="CI48" s="637"/>
      <c r="CJ48" s="637"/>
      <c r="CK48" s="637"/>
      <c r="CL48" s="637"/>
      <c r="CM48" s="637"/>
      <c r="CN48" s="637"/>
      <c r="CO48" s="637"/>
      <c r="CP48" s="637"/>
      <c r="CQ48" s="637"/>
      <c r="CR48" s="637"/>
      <c r="CS48" s="637"/>
      <c r="CT48" s="637"/>
      <c r="CU48" s="637"/>
      <c r="CV48" s="637"/>
      <c r="CW48" s="637"/>
      <c r="CX48" s="637"/>
      <c r="CY48" s="637"/>
      <c r="CZ48" s="637"/>
      <c r="DA48" s="637"/>
      <c r="DB48" s="637"/>
      <c r="DC48" s="637"/>
      <c r="DD48" s="637"/>
      <c r="DE48" s="637"/>
      <c r="DF48" s="637"/>
      <c r="DG48" s="637"/>
      <c r="DH48" s="637"/>
      <c r="DI48" s="637"/>
      <c r="DJ48" s="637"/>
      <c r="DK48" s="637"/>
      <c r="DL48" s="637"/>
      <c r="DM48" s="637"/>
      <c r="DN48" s="637"/>
      <c r="DO48" s="637"/>
      <c r="DP48" s="637"/>
      <c r="DQ48" s="654"/>
      <c r="DR48" s="650"/>
      <c r="DS48" s="661"/>
      <c r="DT48" s="662"/>
      <c r="DU48" s="661"/>
      <c r="DV48" s="663"/>
      <c r="DW48" s="657">
        <f t="shared" si="2"/>
        <v>0</v>
      </c>
      <c r="DX48" s="660">
        <f t="shared" si="1"/>
        <v>44232</v>
      </c>
      <c r="DY48" s="659"/>
    </row>
    <row r="49" spans="1:129" ht="15.75" customHeight="1">
      <c r="A49" s="660">
        <v>44233</v>
      </c>
      <c r="B49" s="637"/>
      <c r="C49" s="637"/>
      <c r="D49" s="637"/>
      <c r="E49" s="637"/>
      <c r="F49" s="637"/>
      <c r="G49" s="637"/>
      <c r="H49" s="637"/>
      <c r="I49" s="637"/>
      <c r="J49" s="637"/>
      <c r="K49" s="637"/>
      <c r="L49" s="637"/>
      <c r="M49" s="637"/>
      <c r="N49" s="637"/>
      <c r="O49" s="637"/>
      <c r="P49" s="637"/>
      <c r="Q49" s="637"/>
      <c r="R49" s="637"/>
      <c r="S49" s="637"/>
      <c r="T49" s="637"/>
      <c r="U49" s="637"/>
      <c r="V49" s="637"/>
      <c r="W49" s="637"/>
      <c r="X49" s="637"/>
      <c r="Y49" s="637"/>
      <c r="Z49" s="637"/>
      <c r="AA49" s="637"/>
      <c r="AB49" s="637"/>
      <c r="AC49" s="637"/>
      <c r="AD49" s="637"/>
      <c r="AE49" s="637"/>
      <c r="AF49" s="637"/>
      <c r="AG49" s="637"/>
      <c r="AH49" s="637"/>
      <c r="AI49" s="637"/>
      <c r="AJ49" s="637"/>
      <c r="AK49" s="637"/>
      <c r="AL49" s="637"/>
      <c r="AM49" s="637"/>
      <c r="AN49" s="637"/>
      <c r="AO49" s="637"/>
      <c r="AP49" s="637"/>
      <c r="AQ49" s="637"/>
      <c r="AR49" s="637"/>
      <c r="AS49" s="637"/>
      <c r="AT49" s="637"/>
      <c r="AU49" s="637"/>
      <c r="AV49" s="637"/>
      <c r="AW49" s="637"/>
      <c r="AX49" s="637"/>
      <c r="AY49" s="637"/>
      <c r="AZ49" s="637"/>
      <c r="BA49" s="637"/>
      <c r="BB49" s="637"/>
      <c r="BC49" s="637"/>
      <c r="BD49" s="637"/>
      <c r="BE49" s="637"/>
      <c r="BF49" s="637"/>
      <c r="BG49" s="637"/>
      <c r="BH49" s="637"/>
      <c r="BI49" s="637"/>
      <c r="BJ49" s="637"/>
      <c r="BK49" s="637"/>
      <c r="BL49" s="637"/>
      <c r="BM49" s="637"/>
      <c r="BN49" s="637"/>
      <c r="BO49" s="637"/>
      <c r="BP49" s="637"/>
      <c r="BQ49" s="637"/>
      <c r="BR49" s="637"/>
      <c r="BS49" s="637"/>
      <c r="BT49" s="637"/>
      <c r="BU49" s="637"/>
      <c r="BV49" s="637"/>
      <c r="BW49" s="637"/>
      <c r="BX49" s="637"/>
      <c r="BY49" s="637"/>
      <c r="BZ49" s="637"/>
      <c r="CA49" s="637"/>
      <c r="CB49" s="637"/>
      <c r="CC49" s="637"/>
      <c r="CD49" s="637"/>
      <c r="CE49" s="637"/>
      <c r="CF49" s="637"/>
      <c r="CG49" s="637"/>
      <c r="CH49" s="637"/>
      <c r="CI49" s="637"/>
      <c r="CJ49" s="637"/>
      <c r="CK49" s="637"/>
      <c r="CL49" s="637"/>
      <c r="CM49" s="637"/>
      <c r="CN49" s="637"/>
      <c r="CO49" s="637"/>
      <c r="CP49" s="637"/>
      <c r="CQ49" s="637"/>
      <c r="CR49" s="637"/>
      <c r="CS49" s="637"/>
      <c r="CT49" s="637"/>
      <c r="CU49" s="637"/>
      <c r="CV49" s="637"/>
      <c r="CW49" s="637"/>
      <c r="CX49" s="637"/>
      <c r="CY49" s="637"/>
      <c r="CZ49" s="637"/>
      <c r="DA49" s="637"/>
      <c r="DB49" s="637"/>
      <c r="DC49" s="637"/>
      <c r="DD49" s="637"/>
      <c r="DE49" s="637"/>
      <c r="DF49" s="637"/>
      <c r="DG49" s="637"/>
      <c r="DH49" s="637"/>
      <c r="DI49" s="637"/>
      <c r="DJ49" s="637"/>
      <c r="DK49" s="637"/>
      <c r="DL49" s="637"/>
      <c r="DM49" s="637"/>
      <c r="DN49" s="637"/>
      <c r="DO49" s="637"/>
      <c r="DP49" s="637"/>
      <c r="DQ49" s="654"/>
      <c r="DR49" s="650"/>
      <c r="DS49" s="661"/>
      <c r="DT49" s="662"/>
      <c r="DU49" s="661"/>
      <c r="DV49" s="663"/>
      <c r="DW49" s="657">
        <f t="shared" si="2"/>
        <v>0</v>
      </c>
      <c r="DX49" s="660">
        <f t="shared" si="1"/>
        <v>44233</v>
      </c>
      <c r="DY49" s="659"/>
    </row>
    <row r="50" spans="1:129" ht="15.75" customHeight="1">
      <c r="A50" s="660">
        <v>44234</v>
      </c>
      <c r="B50" s="637"/>
      <c r="C50" s="637"/>
      <c r="D50" s="637"/>
      <c r="E50" s="637"/>
      <c r="F50" s="637"/>
      <c r="G50" s="637"/>
      <c r="H50" s="637"/>
      <c r="I50" s="637"/>
      <c r="J50" s="637"/>
      <c r="K50" s="637"/>
      <c r="L50" s="637"/>
      <c r="M50" s="637"/>
      <c r="N50" s="637"/>
      <c r="O50" s="637"/>
      <c r="P50" s="637"/>
      <c r="Q50" s="637"/>
      <c r="R50" s="637"/>
      <c r="S50" s="637"/>
      <c r="T50" s="637"/>
      <c r="U50" s="637"/>
      <c r="V50" s="637"/>
      <c r="W50" s="637"/>
      <c r="X50" s="637"/>
      <c r="Y50" s="637"/>
      <c r="Z50" s="637"/>
      <c r="AA50" s="637"/>
      <c r="AB50" s="637"/>
      <c r="AC50" s="637"/>
      <c r="AD50" s="637"/>
      <c r="AE50" s="637"/>
      <c r="AF50" s="637"/>
      <c r="AG50" s="637"/>
      <c r="AH50" s="637"/>
      <c r="AI50" s="637"/>
      <c r="AJ50" s="637"/>
      <c r="AK50" s="637"/>
      <c r="AL50" s="637"/>
      <c r="AM50" s="637"/>
      <c r="AN50" s="637"/>
      <c r="AO50" s="637"/>
      <c r="AP50" s="637"/>
      <c r="AQ50" s="637"/>
      <c r="AR50" s="637"/>
      <c r="AS50" s="637"/>
      <c r="AT50" s="637"/>
      <c r="AU50" s="637"/>
      <c r="AV50" s="637"/>
      <c r="AW50" s="637"/>
      <c r="AX50" s="637"/>
      <c r="AY50" s="637"/>
      <c r="AZ50" s="637"/>
      <c r="BA50" s="637"/>
      <c r="BB50" s="637"/>
      <c r="BC50" s="637"/>
      <c r="BD50" s="637"/>
      <c r="BE50" s="637"/>
      <c r="BF50" s="637"/>
      <c r="BG50" s="637"/>
      <c r="BH50" s="637"/>
      <c r="BI50" s="637"/>
      <c r="BJ50" s="637"/>
      <c r="BK50" s="637"/>
      <c r="BL50" s="637"/>
      <c r="BM50" s="637"/>
      <c r="BN50" s="637"/>
      <c r="BO50" s="637"/>
      <c r="BP50" s="637"/>
      <c r="BQ50" s="637"/>
      <c r="BR50" s="637"/>
      <c r="BS50" s="637"/>
      <c r="BT50" s="637"/>
      <c r="BU50" s="637"/>
      <c r="BV50" s="637"/>
      <c r="BW50" s="637"/>
      <c r="BX50" s="637"/>
      <c r="BY50" s="637"/>
      <c r="BZ50" s="637"/>
      <c r="CA50" s="637"/>
      <c r="CB50" s="637"/>
      <c r="CC50" s="637"/>
      <c r="CD50" s="637"/>
      <c r="CE50" s="637"/>
      <c r="CF50" s="637"/>
      <c r="CG50" s="637"/>
      <c r="CH50" s="637"/>
      <c r="CI50" s="637"/>
      <c r="CJ50" s="637"/>
      <c r="CK50" s="637"/>
      <c r="CL50" s="637"/>
      <c r="CM50" s="637"/>
      <c r="CN50" s="637"/>
      <c r="CO50" s="637"/>
      <c r="CP50" s="637"/>
      <c r="CQ50" s="637"/>
      <c r="CR50" s="637"/>
      <c r="CS50" s="637"/>
      <c r="CT50" s="637"/>
      <c r="CU50" s="637"/>
      <c r="CV50" s="637"/>
      <c r="CW50" s="637"/>
      <c r="CX50" s="637"/>
      <c r="CY50" s="637"/>
      <c r="CZ50" s="637"/>
      <c r="DA50" s="637"/>
      <c r="DB50" s="637"/>
      <c r="DC50" s="637"/>
      <c r="DD50" s="637"/>
      <c r="DE50" s="637"/>
      <c r="DF50" s="637"/>
      <c r="DG50" s="637"/>
      <c r="DH50" s="637"/>
      <c r="DI50" s="637"/>
      <c r="DJ50" s="637"/>
      <c r="DK50" s="637"/>
      <c r="DL50" s="637"/>
      <c r="DM50" s="637"/>
      <c r="DN50" s="637"/>
      <c r="DO50" s="637"/>
      <c r="DP50" s="637"/>
      <c r="DQ50" s="654"/>
      <c r="DR50" s="650"/>
      <c r="DS50" s="661"/>
      <c r="DT50" s="662"/>
      <c r="DU50" s="661"/>
      <c r="DV50" s="663"/>
      <c r="DW50" s="657">
        <f t="shared" si="2"/>
        <v>0</v>
      </c>
      <c r="DX50" s="660">
        <f t="shared" si="1"/>
        <v>44234</v>
      </c>
      <c r="DY50" s="659"/>
    </row>
    <row r="51" spans="1:129" ht="15.75" customHeight="1">
      <c r="A51" s="660">
        <v>44235</v>
      </c>
      <c r="B51" s="637"/>
      <c r="C51" s="637"/>
      <c r="D51" s="637"/>
      <c r="E51" s="637"/>
      <c r="F51" s="637"/>
      <c r="G51" s="637"/>
      <c r="H51" s="637"/>
      <c r="I51" s="637"/>
      <c r="J51" s="637"/>
      <c r="K51" s="637"/>
      <c r="L51" s="637"/>
      <c r="M51" s="637"/>
      <c r="N51" s="637"/>
      <c r="O51" s="637"/>
      <c r="P51" s="637"/>
      <c r="Q51" s="637"/>
      <c r="R51" s="637"/>
      <c r="S51" s="637"/>
      <c r="T51" s="637"/>
      <c r="U51" s="637"/>
      <c r="V51" s="637"/>
      <c r="W51" s="637"/>
      <c r="X51" s="637"/>
      <c r="Y51" s="637"/>
      <c r="Z51" s="637"/>
      <c r="AA51" s="637"/>
      <c r="AB51" s="637"/>
      <c r="AC51" s="637"/>
      <c r="AD51" s="637"/>
      <c r="AE51" s="637"/>
      <c r="AF51" s="637"/>
      <c r="AG51" s="637"/>
      <c r="AH51" s="637"/>
      <c r="AI51" s="637"/>
      <c r="AJ51" s="637"/>
      <c r="AK51" s="637"/>
      <c r="AL51" s="637"/>
      <c r="AM51" s="637"/>
      <c r="AN51" s="637"/>
      <c r="AO51" s="637"/>
      <c r="AP51" s="637"/>
      <c r="AQ51" s="637"/>
      <c r="AR51" s="637"/>
      <c r="AS51" s="637"/>
      <c r="AT51" s="637"/>
      <c r="AU51" s="637"/>
      <c r="AV51" s="637"/>
      <c r="AW51" s="637"/>
      <c r="AX51" s="637"/>
      <c r="AY51" s="637"/>
      <c r="AZ51" s="637"/>
      <c r="BA51" s="637"/>
      <c r="BB51" s="637"/>
      <c r="BC51" s="637"/>
      <c r="BD51" s="637"/>
      <c r="BE51" s="637"/>
      <c r="BF51" s="637"/>
      <c r="BG51" s="637"/>
      <c r="BH51" s="637"/>
      <c r="BI51" s="637"/>
      <c r="BJ51" s="637"/>
      <c r="BK51" s="637"/>
      <c r="BL51" s="637"/>
      <c r="BM51" s="637"/>
      <c r="BN51" s="637"/>
      <c r="BO51" s="637"/>
      <c r="BP51" s="637"/>
      <c r="BQ51" s="637"/>
      <c r="BR51" s="637"/>
      <c r="BS51" s="637"/>
      <c r="BT51" s="637"/>
      <c r="BU51" s="637"/>
      <c r="BV51" s="637"/>
      <c r="BW51" s="637"/>
      <c r="BX51" s="637"/>
      <c r="BY51" s="637"/>
      <c r="BZ51" s="637"/>
      <c r="CA51" s="637"/>
      <c r="CB51" s="637"/>
      <c r="CC51" s="637"/>
      <c r="CD51" s="637"/>
      <c r="CE51" s="637"/>
      <c r="CF51" s="637"/>
      <c r="CG51" s="637"/>
      <c r="CH51" s="637"/>
      <c r="CI51" s="637"/>
      <c r="CJ51" s="637"/>
      <c r="CK51" s="637"/>
      <c r="CL51" s="637"/>
      <c r="CM51" s="637"/>
      <c r="CN51" s="637"/>
      <c r="CO51" s="637"/>
      <c r="CP51" s="637"/>
      <c r="CQ51" s="637"/>
      <c r="CR51" s="637"/>
      <c r="CS51" s="637"/>
      <c r="CT51" s="637"/>
      <c r="CU51" s="637"/>
      <c r="CV51" s="637"/>
      <c r="CW51" s="637"/>
      <c r="CX51" s="637"/>
      <c r="CY51" s="637"/>
      <c r="CZ51" s="637"/>
      <c r="DA51" s="637"/>
      <c r="DB51" s="637"/>
      <c r="DC51" s="637"/>
      <c r="DD51" s="637"/>
      <c r="DE51" s="637"/>
      <c r="DF51" s="637"/>
      <c r="DG51" s="637"/>
      <c r="DH51" s="637"/>
      <c r="DI51" s="637"/>
      <c r="DJ51" s="637"/>
      <c r="DK51" s="637"/>
      <c r="DL51" s="637"/>
      <c r="DM51" s="637"/>
      <c r="DN51" s="637"/>
      <c r="DO51" s="637"/>
      <c r="DP51" s="637"/>
      <c r="DQ51" s="654"/>
      <c r="DR51" s="650"/>
      <c r="DS51" s="661"/>
      <c r="DT51" s="662"/>
      <c r="DU51" s="661"/>
      <c r="DV51" s="663"/>
      <c r="DW51" s="657">
        <f t="shared" si="2"/>
        <v>0</v>
      </c>
      <c r="DX51" s="660">
        <f t="shared" si="1"/>
        <v>44235</v>
      </c>
      <c r="DY51" s="659"/>
    </row>
    <row r="52" spans="1:129" ht="15.75" customHeight="1">
      <c r="A52" s="660">
        <v>44236</v>
      </c>
      <c r="B52" s="637"/>
      <c r="C52" s="637"/>
      <c r="D52" s="637"/>
      <c r="E52" s="637"/>
      <c r="F52" s="637"/>
      <c r="G52" s="637"/>
      <c r="H52" s="637"/>
      <c r="I52" s="637"/>
      <c r="J52" s="637"/>
      <c r="K52" s="637"/>
      <c r="L52" s="637"/>
      <c r="M52" s="637"/>
      <c r="N52" s="637"/>
      <c r="O52" s="637"/>
      <c r="P52" s="637"/>
      <c r="Q52" s="637"/>
      <c r="R52" s="637"/>
      <c r="S52" s="637"/>
      <c r="T52" s="637"/>
      <c r="U52" s="637"/>
      <c r="V52" s="637"/>
      <c r="W52" s="637"/>
      <c r="X52" s="637"/>
      <c r="Y52" s="637"/>
      <c r="Z52" s="637"/>
      <c r="AA52" s="637"/>
      <c r="AB52" s="637"/>
      <c r="AC52" s="637"/>
      <c r="AD52" s="637"/>
      <c r="AE52" s="637"/>
      <c r="AF52" s="637"/>
      <c r="AG52" s="637"/>
      <c r="AH52" s="637"/>
      <c r="AI52" s="637"/>
      <c r="AJ52" s="637"/>
      <c r="AK52" s="637"/>
      <c r="AL52" s="637"/>
      <c r="AM52" s="637"/>
      <c r="AN52" s="637"/>
      <c r="AO52" s="637"/>
      <c r="AP52" s="637"/>
      <c r="AQ52" s="637"/>
      <c r="AR52" s="637"/>
      <c r="AS52" s="637"/>
      <c r="AT52" s="637"/>
      <c r="AU52" s="637"/>
      <c r="AV52" s="637"/>
      <c r="AW52" s="637"/>
      <c r="AX52" s="637"/>
      <c r="AY52" s="637"/>
      <c r="AZ52" s="637"/>
      <c r="BA52" s="637"/>
      <c r="BB52" s="637"/>
      <c r="BC52" s="637"/>
      <c r="BD52" s="637"/>
      <c r="BE52" s="637"/>
      <c r="BF52" s="637"/>
      <c r="BG52" s="637"/>
      <c r="BH52" s="637"/>
      <c r="BI52" s="637"/>
      <c r="BJ52" s="637"/>
      <c r="BK52" s="637"/>
      <c r="BL52" s="637"/>
      <c r="BM52" s="637"/>
      <c r="BN52" s="637"/>
      <c r="BO52" s="637"/>
      <c r="BP52" s="637"/>
      <c r="BQ52" s="637"/>
      <c r="BR52" s="637"/>
      <c r="BS52" s="637"/>
      <c r="BT52" s="637"/>
      <c r="BU52" s="637"/>
      <c r="BV52" s="637"/>
      <c r="BW52" s="637"/>
      <c r="BX52" s="637"/>
      <c r="BY52" s="637"/>
      <c r="BZ52" s="637"/>
      <c r="CA52" s="637"/>
      <c r="CB52" s="637"/>
      <c r="CC52" s="637"/>
      <c r="CD52" s="637"/>
      <c r="CE52" s="637"/>
      <c r="CF52" s="637"/>
      <c r="CG52" s="637"/>
      <c r="CH52" s="637"/>
      <c r="CI52" s="637"/>
      <c r="CJ52" s="637"/>
      <c r="CK52" s="637"/>
      <c r="CL52" s="637"/>
      <c r="CM52" s="637"/>
      <c r="CN52" s="637"/>
      <c r="CO52" s="637"/>
      <c r="CP52" s="637"/>
      <c r="CQ52" s="637"/>
      <c r="CR52" s="637"/>
      <c r="CS52" s="637"/>
      <c r="CT52" s="637"/>
      <c r="CU52" s="637"/>
      <c r="CV52" s="637"/>
      <c r="CW52" s="637"/>
      <c r="CX52" s="637"/>
      <c r="CY52" s="637"/>
      <c r="CZ52" s="637"/>
      <c r="DA52" s="637"/>
      <c r="DB52" s="637"/>
      <c r="DC52" s="637"/>
      <c r="DD52" s="637"/>
      <c r="DE52" s="637"/>
      <c r="DF52" s="637"/>
      <c r="DG52" s="637"/>
      <c r="DH52" s="637"/>
      <c r="DI52" s="637"/>
      <c r="DJ52" s="637"/>
      <c r="DK52" s="637"/>
      <c r="DL52" s="637"/>
      <c r="DM52" s="637"/>
      <c r="DN52" s="637"/>
      <c r="DO52" s="637"/>
      <c r="DP52" s="637"/>
      <c r="DQ52" s="654"/>
      <c r="DR52" s="650"/>
      <c r="DS52" s="661"/>
      <c r="DT52" s="662"/>
      <c r="DU52" s="661"/>
      <c r="DV52" s="663"/>
      <c r="DW52" s="657">
        <f t="shared" si="2"/>
        <v>0</v>
      </c>
      <c r="DX52" s="660">
        <f t="shared" si="1"/>
        <v>44236</v>
      </c>
      <c r="DY52" s="659"/>
    </row>
    <row r="53" spans="1:129" ht="15.75" customHeight="1">
      <c r="A53" s="660">
        <v>44237</v>
      </c>
      <c r="B53" s="637"/>
      <c r="C53" s="637"/>
      <c r="D53" s="637"/>
      <c r="E53" s="637"/>
      <c r="F53" s="637"/>
      <c r="G53" s="637"/>
      <c r="H53" s="637"/>
      <c r="I53" s="637"/>
      <c r="J53" s="637"/>
      <c r="K53" s="637"/>
      <c r="L53" s="637"/>
      <c r="M53" s="637"/>
      <c r="N53" s="637"/>
      <c r="O53" s="637"/>
      <c r="P53" s="637"/>
      <c r="Q53" s="637"/>
      <c r="R53" s="637"/>
      <c r="S53" s="637"/>
      <c r="T53" s="637"/>
      <c r="U53" s="637"/>
      <c r="V53" s="637"/>
      <c r="W53" s="637"/>
      <c r="X53" s="637"/>
      <c r="Y53" s="637"/>
      <c r="Z53" s="637"/>
      <c r="AA53" s="637"/>
      <c r="AB53" s="637"/>
      <c r="AC53" s="637"/>
      <c r="AD53" s="637"/>
      <c r="AE53" s="637"/>
      <c r="AF53" s="637"/>
      <c r="AG53" s="637"/>
      <c r="AH53" s="637"/>
      <c r="AI53" s="637"/>
      <c r="AJ53" s="637"/>
      <c r="AK53" s="637"/>
      <c r="AL53" s="637"/>
      <c r="AM53" s="637"/>
      <c r="AN53" s="637"/>
      <c r="AO53" s="637"/>
      <c r="AP53" s="637"/>
      <c r="AQ53" s="637"/>
      <c r="AR53" s="637"/>
      <c r="AS53" s="637"/>
      <c r="AT53" s="637"/>
      <c r="AU53" s="637"/>
      <c r="AV53" s="637"/>
      <c r="AW53" s="637"/>
      <c r="AX53" s="637"/>
      <c r="AY53" s="637"/>
      <c r="AZ53" s="637"/>
      <c r="BA53" s="637"/>
      <c r="BB53" s="637"/>
      <c r="BC53" s="637"/>
      <c r="BD53" s="637"/>
      <c r="BE53" s="637"/>
      <c r="BF53" s="637"/>
      <c r="BG53" s="637"/>
      <c r="BH53" s="637"/>
      <c r="BI53" s="637"/>
      <c r="BJ53" s="637"/>
      <c r="BK53" s="637"/>
      <c r="BL53" s="637"/>
      <c r="BM53" s="637"/>
      <c r="BN53" s="637"/>
      <c r="BO53" s="637"/>
      <c r="BP53" s="637"/>
      <c r="BQ53" s="637"/>
      <c r="BR53" s="637"/>
      <c r="BS53" s="637"/>
      <c r="BT53" s="637"/>
      <c r="BU53" s="637"/>
      <c r="BV53" s="637"/>
      <c r="BW53" s="637"/>
      <c r="BX53" s="637"/>
      <c r="BY53" s="637"/>
      <c r="BZ53" s="637"/>
      <c r="CA53" s="637"/>
      <c r="CB53" s="637"/>
      <c r="CC53" s="637"/>
      <c r="CD53" s="637"/>
      <c r="CE53" s="637"/>
      <c r="CF53" s="637"/>
      <c r="CG53" s="637"/>
      <c r="CH53" s="637"/>
      <c r="CI53" s="637"/>
      <c r="CJ53" s="637"/>
      <c r="CK53" s="637"/>
      <c r="CL53" s="637"/>
      <c r="CM53" s="637"/>
      <c r="CN53" s="637"/>
      <c r="CO53" s="637"/>
      <c r="CP53" s="637"/>
      <c r="CQ53" s="637"/>
      <c r="CR53" s="637"/>
      <c r="CS53" s="637"/>
      <c r="CT53" s="637"/>
      <c r="CU53" s="637"/>
      <c r="CV53" s="637"/>
      <c r="CW53" s="637"/>
      <c r="CX53" s="637"/>
      <c r="CY53" s="637"/>
      <c r="CZ53" s="637"/>
      <c r="DA53" s="637"/>
      <c r="DB53" s="637"/>
      <c r="DC53" s="637"/>
      <c r="DD53" s="637"/>
      <c r="DE53" s="637"/>
      <c r="DF53" s="637"/>
      <c r="DG53" s="637"/>
      <c r="DH53" s="637"/>
      <c r="DI53" s="637"/>
      <c r="DJ53" s="637"/>
      <c r="DK53" s="637"/>
      <c r="DL53" s="637"/>
      <c r="DM53" s="637"/>
      <c r="DN53" s="637"/>
      <c r="DO53" s="637"/>
      <c r="DP53" s="637"/>
      <c r="DQ53" s="654"/>
      <c r="DR53" s="650"/>
      <c r="DS53" s="661"/>
      <c r="DT53" s="662"/>
      <c r="DU53" s="661"/>
      <c r="DV53" s="663"/>
      <c r="DW53" s="657">
        <f t="shared" si="2"/>
        <v>0</v>
      </c>
      <c r="DX53" s="660">
        <f t="shared" si="1"/>
        <v>44237</v>
      </c>
      <c r="DY53" s="659"/>
    </row>
    <row r="54" spans="1:129" ht="15.75" customHeight="1">
      <c r="A54" s="660">
        <v>44238</v>
      </c>
      <c r="B54" s="637"/>
      <c r="C54" s="637"/>
      <c r="D54" s="637"/>
      <c r="E54" s="637"/>
      <c r="F54" s="637"/>
      <c r="G54" s="637"/>
      <c r="H54" s="637"/>
      <c r="I54" s="637"/>
      <c r="J54" s="637"/>
      <c r="K54" s="637"/>
      <c r="L54" s="637"/>
      <c r="M54" s="637"/>
      <c r="N54" s="637"/>
      <c r="O54" s="637"/>
      <c r="P54" s="637"/>
      <c r="Q54" s="637"/>
      <c r="R54" s="637"/>
      <c r="S54" s="637"/>
      <c r="T54" s="637"/>
      <c r="U54" s="637"/>
      <c r="V54" s="637"/>
      <c r="W54" s="637"/>
      <c r="X54" s="637"/>
      <c r="Y54" s="637"/>
      <c r="Z54" s="637"/>
      <c r="AA54" s="637"/>
      <c r="AB54" s="637"/>
      <c r="AC54" s="637"/>
      <c r="AD54" s="637"/>
      <c r="AE54" s="637"/>
      <c r="AF54" s="637"/>
      <c r="AG54" s="637"/>
      <c r="AH54" s="637"/>
      <c r="AI54" s="637"/>
      <c r="AJ54" s="637"/>
      <c r="AK54" s="637"/>
      <c r="AL54" s="637"/>
      <c r="AM54" s="637"/>
      <c r="AN54" s="637"/>
      <c r="AO54" s="637"/>
      <c r="AP54" s="637"/>
      <c r="AQ54" s="637"/>
      <c r="AR54" s="637"/>
      <c r="AS54" s="637"/>
      <c r="AT54" s="637"/>
      <c r="AU54" s="637"/>
      <c r="AV54" s="637"/>
      <c r="AW54" s="637"/>
      <c r="AX54" s="637"/>
      <c r="AY54" s="637"/>
      <c r="AZ54" s="637"/>
      <c r="BA54" s="637"/>
      <c r="BB54" s="637"/>
      <c r="BC54" s="637"/>
      <c r="BD54" s="637"/>
      <c r="BE54" s="637"/>
      <c r="BF54" s="637"/>
      <c r="BG54" s="637"/>
      <c r="BH54" s="637"/>
      <c r="BI54" s="637"/>
      <c r="BJ54" s="637"/>
      <c r="BK54" s="637"/>
      <c r="BL54" s="637"/>
      <c r="BM54" s="637"/>
      <c r="BN54" s="637"/>
      <c r="BO54" s="637"/>
      <c r="BP54" s="637"/>
      <c r="BQ54" s="637"/>
      <c r="BR54" s="637"/>
      <c r="BS54" s="637"/>
      <c r="BT54" s="637"/>
      <c r="BU54" s="637"/>
      <c r="BV54" s="637"/>
      <c r="BW54" s="637"/>
      <c r="BX54" s="637"/>
      <c r="BY54" s="637"/>
      <c r="BZ54" s="637"/>
      <c r="CA54" s="637"/>
      <c r="CB54" s="637"/>
      <c r="CC54" s="637"/>
      <c r="CD54" s="637"/>
      <c r="CE54" s="637"/>
      <c r="CF54" s="637"/>
      <c r="CG54" s="637"/>
      <c r="CH54" s="637"/>
      <c r="CI54" s="637"/>
      <c r="CJ54" s="637"/>
      <c r="CK54" s="637"/>
      <c r="CL54" s="637"/>
      <c r="CM54" s="637"/>
      <c r="CN54" s="637"/>
      <c r="CO54" s="637"/>
      <c r="CP54" s="637"/>
      <c r="CQ54" s="637"/>
      <c r="CR54" s="637"/>
      <c r="CS54" s="637"/>
      <c r="CT54" s="637"/>
      <c r="CU54" s="637"/>
      <c r="CV54" s="637"/>
      <c r="CW54" s="637"/>
      <c r="CX54" s="637"/>
      <c r="CY54" s="637"/>
      <c r="CZ54" s="637"/>
      <c r="DA54" s="637"/>
      <c r="DB54" s="637"/>
      <c r="DC54" s="637"/>
      <c r="DD54" s="637"/>
      <c r="DE54" s="637"/>
      <c r="DF54" s="637"/>
      <c r="DG54" s="637"/>
      <c r="DH54" s="637"/>
      <c r="DI54" s="637"/>
      <c r="DJ54" s="637"/>
      <c r="DK54" s="637"/>
      <c r="DL54" s="637"/>
      <c r="DM54" s="637"/>
      <c r="DN54" s="637"/>
      <c r="DO54" s="637"/>
      <c r="DP54" s="637"/>
      <c r="DQ54" s="654"/>
      <c r="DR54" s="650"/>
      <c r="DS54" s="661"/>
      <c r="DT54" s="662"/>
      <c r="DU54" s="661"/>
      <c r="DV54" s="663"/>
      <c r="DW54" s="657">
        <f t="shared" si="2"/>
        <v>0</v>
      </c>
      <c r="DX54" s="660">
        <f t="shared" si="1"/>
        <v>44238</v>
      </c>
      <c r="DY54" s="659"/>
    </row>
    <row r="55" spans="1:129" ht="15.75" customHeight="1">
      <c r="A55" s="660">
        <v>44239</v>
      </c>
      <c r="B55" s="637"/>
      <c r="C55" s="637"/>
      <c r="D55" s="637"/>
      <c r="E55" s="637"/>
      <c r="F55" s="637"/>
      <c r="G55" s="637"/>
      <c r="H55" s="637"/>
      <c r="I55" s="637"/>
      <c r="J55" s="637"/>
      <c r="K55" s="637"/>
      <c r="L55" s="637"/>
      <c r="M55" s="637"/>
      <c r="N55" s="637"/>
      <c r="O55" s="637"/>
      <c r="P55" s="637"/>
      <c r="Q55" s="637"/>
      <c r="R55" s="637"/>
      <c r="S55" s="637"/>
      <c r="T55" s="637"/>
      <c r="U55" s="637"/>
      <c r="V55" s="637"/>
      <c r="W55" s="637"/>
      <c r="X55" s="637"/>
      <c r="Y55" s="637"/>
      <c r="Z55" s="637"/>
      <c r="AA55" s="637"/>
      <c r="AB55" s="637"/>
      <c r="AC55" s="637"/>
      <c r="AD55" s="637"/>
      <c r="AE55" s="637"/>
      <c r="AF55" s="637"/>
      <c r="AG55" s="637"/>
      <c r="AH55" s="637"/>
      <c r="AI55" s="637"/>
      <c r="AJ55" s="637"/>
      <c r="AK55" s="637"/>
      <c r="AL55" s="637"/>
      <c r="AM55" s="637"/>
      <c r="AN55" s="637"/>
      <c r="AO55" s="637"/>
      <c r="AP55" s="637"/>
      <c r="AQ55" s="637"/>
      <c r="AR55" s="637"/>
      <c r="AS55" s="637"/>
      <c r="AT55" s="637"/>
      <c r="AU55" s="637"/>
      <c r="AV55" s="637"/>
      <c r="AW55" s="637"/>
      <c r="AX55" s="637"/>
      <c r="AY55" s="637"/>
      <c r="AZ55" s="637"/>
      <c r="BA55" s="637"/>
      <c r="BB55" s="637"/>
      <c r="BC55" s="637"/>
      <c r="BD55" s="637"/>
      <c r="BE55" s="637"/>
      <c r="BF55" s="637"/>
      <c r="BG55" s="637"/>
      <c r="BH55" s="637"/>
      <c r="BI55" s="637"/>
      <c r="BJ55" s="637"/>
      <c r="BK55" s="637"/>
      <c r="BL55" s="637"/>
      <c r="BM55" s="637"/>
      <c r="BN55" s="637"/>
      <c r="BO55" s="637"/>
      <c r="BP55" s="637"/>
      <c r="BQ55" s="637"/>
      <c r="BR55" s="637"/>
      <c r="BS55" s="637"/>
      <c r="BT55" s="637"/>
      <c r="BU55" s="637"/>
      <c r="BV55" s="637"/>
      <c r="BW55" s="637"/>
      <c r="BX55" s="637"/>
      <c r="BY55" s="637"/>
      <c r="BZ55" s="637"/>
      <c r="CA55" s="637"/>
      <c r="CB55" s="637"/>
      <c r="CC55" s="637"/>
      <c r="CD55" s="637"/>
      <c r="CE55" s="637"/>
      <c r="CF55" s="637"/>
      <c r="CG55" s="637"/>
      <c r="CH55" s="637"/>
      <c r="CI55" s="637"/>
      <c r="CJ55" s="637"/>
      <c r="CK55" s="637"/>
      <c r="CL55" s="637"/>
      <c r="CM55" s="637"/>
      <c r="CN55" s="637"/>
      <c r="CO55" s="637"/>
      <c r="CP55" s="637"/>
      <c r="CQ55" s="637"/>
      <c r="CR55" s="637"/>
      <c r="CS55" s="637"/>
      <c r="CT55" s="637"/>
      <c r="CU55" s="637"/>
      <c r="CV55" s="637"/>
      <c r="CW55" s="637"/>
      <c r="CX55" s="637"/>
      <c r="CY55" s="637"/>
      <c r="CZ55" s="637"/>
      <c r="DA55" s="637"/>
      <c r="DB55" s="637"/>
      <c r="DC55" s="637"/>
      <c r="DD55" s="637"/>
      <c r="DE55" s="637"/>
      <c r="DF55" s="637"/>
      <c r="DG55" s="637"/>
      <c r="DH55" s="637"/>
      <c r="DI55" s="637"/>
      <c r="DJ55" s="637"/>
      <c r="DK55" s="637"/>
      <c r="DL55" s="637"/>
      <c r="DM55" s="637"/>
      <c r="DN55" s="637"/>
      <c r="DO55" s="637"/>
      <c r="DP55" s="637"/>
      <c r="DQ55" s="654"/>
      <c r="DR55" s="650"/>
      <c r="DS55" s="661"/>
      <c r="DT55" s="662"/>
      <c r="DU55" s="661"/>
      <c r="DV55" s="663"/>
      <c r="DW55" s="657">
        <f t="shared" si="2"/>
        <v>0</v>
      </c>
      <c r="DX55" s="660">
        <f t="shared" si="1"/>
        <v>44239</v>
      </c>
      <c r="DY55" s="659"/>
    </row>
    <row r="56" spans="1:129" ht="15.75" customHeight="1">
      <c r="A56" s="660">
        <v>44240</v>
      </c>
      <c r="B56" s="637"/>
      <c r="C56" s="637"/>
      <c r="D56" s="637"/>
      <c r="E56" s="637"/>
      <c r="F56" s="637"/>
      <c r="G56" s="637"/>
      <c r="H56" s="637"/>
      <c r="I56" s="637"/>
      <c r="J56" s="637"/>
      <c r="K56" s="637"/>
      <c r="L56" s="637"/>
      <c r="M56" s="637"/>
      <c r="N56" s="637"/>
      <c r="O56" s="637"/>
      <c r="P56" s="637"/>
      <c r="Q56" s="637"/>
      <c r="R56" s="637"/>
      <c r="S56" s="637"/>
      <c r="T56" s="637"/>
      <c r="U56" s="637"/>
      <c r="V56" s="637"/>
      <c r="W56" s="637"/>
      <c r="X56" s="637"/>
      <c r="Y56" s="637"/>
      <c r="Z56" s="637"/>
      <c r="AA56" s="637"/>
      <c r="AB56" s="637"/>
      <c r="AC56" s="637"/>
      <c r="AD56" s="637"/>
      <c r="AE56" s="637"/>
      <c r="AF56" s="637"/>
      <c r="AG56" s="637"/>
      <c r="AH56" s="637"/>
      <c r="AI56" s="637"/>
      <c r="AJ56" s="637"/>
      <c r="AK56" s="637"/>
      <c r="AL56" s="637"/>
      <c r="AM56" s="637"/>
      <c r="AN56" s="637"/>
      <c r="AO56" s="637"/>
      <c r="AP56" s="637"/>
      <c r="AQ56" s="637"/>
      <c r="AR56" s="637"/>
      <c r="AS56" s="637"/>
      <c r="AT56" s="637"/>
      <c r="AU56" s="637"/>
      <c r="AV56" s="637"/>
      <c r="AW56" s="637"/>
      <c r="AX56" s="637"/>
      <c r="AY56" s="637"/>
      <c r="AZ56" s="637"/>
      <c r="BA56" s="637"/>
      <c r="BB56" s="637"/>
      <c r="BC56" s="637"/>
      <c r="BD56" s="637"/>
      <c r="BE56" s="637"/>
      <c r="BF56" s="637"/>
      <c r="BG56" s="637"/>
      <c r="BH56" s="637"/>
      <c r="BI56" s="637"/>
      <c r="BJ56" s="637"/>
      <c r="BK56" s="637"/>
      <c r="BL56" s="637"/>
      <c r="BM56" s="637"/>
      <c r="BN56" s="637"/>
      <c r="BO56" s="637"/>
      <c r="BP56" s="637"/>
      <c r="BQ56" s="637"/>
      <c r="BR56" s="637"/>
      <c r="BS56" s="637"/>
      <c r="BT56" s="637"/>
      <c r="BU56" s="637"/>
      <c r="BV56" s="637"/>
      <c r="BW56" s="637"/>
      <c r="BX56" s="637"/>
      <c r="BY56" s="637"/>
      <c r="BZ56" s="637"/>
      <c r="CA56" s="637"/>
      <c r="CB56" s="637"/>
      <c r="CC56" s="637"/>
      <c r="CD56" s="637"/>
      <c r="CE56" s="637"/>
      <c r="CF56" s="637"/>
      <c r="CG56" s="637"/>
      <c r="CH56" s="637"/>
      <c r="CI56" s="637"/>
      <c r="CJ56" s="637"/>
      <c r="CK56" s="637"/>
      <c r="CL56" s="637"/>
      <c r="CM56" s="637"/>
      <c r="CN56" s="637"/>
      <c r="CO56" s="637"/>
      <c r="CP56" s="637"/>
      <c r="CQ56" s="637"/>
      <c r="CR56" s="637"/>
      <c r="CS56" s="637"/>
      <c r="CT56" s="637"/>
      <c r="CU56" s="637"/>
      <c r="CV56" s="637"/>
      <c r="CW56" s="637"/>
      <c r="CX56" s="637"/>
      <c r="CY56" s="637"/>
      <c r="CZ56" s="637"/>
      <c r="DA56" s="637"/>
      <c r="DB56" s="637"/>
      <c r="DC56" s="637"/>
      <c r="DD56" s="637"/>
      <c r="DE56" s="637"/>
      <c r="DF56" s="637"/>
      <c r="DG56" s="637"/>
      <c r="DH56" s="637"/>
      <c r="DI56" s="637"/>
      <c r="DJ56" s="637"/>
      <c r="DK56" s="637"/>
      <c r="DL56" s="637"/>
      <c r="DM56" s="637"/>
      <c r="DN56" s="637"/>
      <c r="DO56" s="637"/>
      <c r="DP56" s="637"/>
      <c r="DQ56" s="654"/>
      <c r="DR56" s="650"/>
      <c r="DS56" s="661"/>
      <c r="DT56" s="662"/>
      <c r="DU56" s="661"/>
      <c r="DV56" s="663"/>
      <c r="DW56" s="657">
        <f t="shared" si="2"/>
        <v>0</v>
      </c>
      <c r="DX56" s="660">
        <f t="shared" si="1"/>
        <v>44240</v>
      </c>
      <c r="DY56" s="659"/>
    </row>
    <row r="57" spans="1:129" ht="15.75" customHeight="1">
      <c r="A57" s="660">
        <v>44241</v>
      </c>
      <c r="B57" s="637"/>
      <c r="C57" s="637"/>
      <c r="D57" s="637"/>
      <c r="E57" s="637"/>
      <c r="F57" s="637"/>
      <c r="G57" s="637"/>
      <c r="H57" s="637"/>
      <c r="I57" s="637"/>
      <c r="J57" s="637"/>
      <c r="K57" s="637"/>
      <c r="L57" s="637"/>
      <c r="M57" s="637"/>
      <c r="N57" s="637"/>
      <c r="O57" s="637"/>
      <c r="P57" s="637"/>
      <c r="Q57" s="637"/>
      <c r="R57" s="637"/>
      <c r="S57" s="637"/>
      <c r="T57" s="637"/>
      <c r="U57" s="637"/>
      <c r="V57" s="637"/>
      <c r="W57" s="637"/>
      <c r="X57" s="637"/>
      <c r="Y57" s="637"/>
      <c r="Z57" s="637"/>
      <c r="AA57" s="637"/>
      <c r="AB57" s="637"/>
      <c r="AC57" s="637"/>
      <c r="AD57" s="637"/>
      <c r="AE57" s="637"/>
      <c r="AF57" s="637"/>
      <c r="AG57" s="637"/>
      <c r="AH57" s="637"/>
      <c r="AI57" s="637"/>
      <c r="AJ57" s="637"/>
      <c r="AK57" s="637"/>
      <c r="AL57" s="637"/>
      <c r="AM57" s="637"/>
      <c r="AN57" s="637"/>
      <c r="AO57" s="637"/>
      <c r="AP57" s="637"/>
      <c r="AQ57" s="637"/>
      <c r="AR57" s="637"/>
      <c r="AS57" s="637"/>
      <c r="AT57" s="637"/>
      <c r="AU57" s="637"/>
      <c r="AV57" s="637"/>
      <c r="AW57" s="637"/>
      <c r="AX57" s="637"/>
      <c r="AY57" s="637"/>
      <c r="AZ57" s="637"/>
      <c r="BA57" s="637"/>
      <c r="BB57" s="637"/>
      <c r="BC57" s="637"/>
      <c r="BD57" s="637"/>
      <c r="BE57" s="637"/>
      <c r="BF57" s="637"/>
      <c r="BG57" s="637"/>
      <c r="BH57" s="637"/>
      <c r="BI57" s="637"/>
      <c r="BJ57" s="637"/>
      <c r="BK57" s="637"/>
      <c r="BL57" s="637"/>
      <c r="BM57" s="637"/>
      <c r="BN57" s="637"/>
      <c r="BO57" s="637"/>
      <c r="BP57" s="637"/>
      <c r="BQ57" s="637"/>
      <c r="BR57" s="637"/>
      <c r="BS57" s="637"/>
      <c r="BT57" s="637"/>
      <c r="BU57" s="637"/>
      <c r="BV57" s="637"/>
      <c r="BW57" s="637"/>
      <c r="BX57" s="637"/>
      <c r="BY57" s="637"/>
      <c r="BZ57" s="637"/>
      <c r="CA57" s="637"/>
      <c r="CB57" s="637"/>
      <c r="CC57" s="637"/>
      <c r="CD57" s="637"/>
      <c r="CE57" s="637"/>
      <c r="CF57" s="637"/>
      <c r="CG57" s="637"/>
      <c r="CH57" s="637"/>
      <c r="CI57" s="637"/>
      <c r="CJ57" s="637"/>
      <c r="CK57" s="637"/>
      <c r="CL57" s="637"/>
      <c r="CM57" s="637"/>
      <c r="CN57" s="637"/>
      <c r="CO57" s="637"/>
      <c r="CP57" s="637"/>
      <c r="CQ57" s="637"/>
      <c r="CR57" s="637"/>
      <c r="CS57" s="637"/>
      <c r="CT57" s="637"/>
      <c r="CU57" s="637"/>
      <c r="CV57" s="637"/>
      <c r="CW57" s="637"/>
      <c r="CX57" s="637"/>
      <c r="CY57" s="637"/>
      <c r="CZ57" s="637"/>
      <c r="DA57" s="637"/>
      <c r="DB57" s="637"/>
      <c r="DC57" s="637"/>
      <c r="DD57" s="637"/>
      <c r="DE57" s="637"/>
      <c r="DF57" s="637"/>
      <c r="DG57" s="637"/>
      <c r="DH57" s="637"/>
      <c r="DI57" s="637"/>
      <c r="DJ57" s="637"/>
      <c r="DK57" s="637"/>
      <c r="DL57" s="637"/>
      <c r="DM57" s="637"/>
      <c r="DN57" s="637"/>
      <c r="DO57" s="637"/>
      <c r="DP57" s="637"/>
      <c r="DQ57" s="654"/>
      <c r="DR57" s="650"/>
      <c r="DS57" s="661"/>
      <c r="DT57" s="662"/>
      <c r="DU57" s="661"/>
      <c r="DV57" s="663"/>
      <c r="DW57" s="657">
        <f t="shared" si="2"/>
        <v>0</v>
      </c>
      <c r="DX57" s="660">
        <f t="shared" si="1"/>
        <v>44241</v>
      </c>
      <c r="DY57" s="659"/>
    </row>
    <row r="58" spans="1:129" ht="15.75" customHeight="1">
      <c r="A58" s="660">
        <v>44242</v>
      </c>
      <c r="B58" s="637"/>
      <c r="C58" s="637"/>
      <c r="D58" s="637"/>
      <c r="E58" s="637"/>
      <c r="F58" s="637"/>
      <c r="G58" s="637"/>
      <c r="H58" s="637"/>
      <c r="I58" s="637"/>
      <c r="J58" s="637"/>
      <c r="K58" s="637"/>
      <c r="L58" s="637"/>
      <c r="M58" s="637"/>
      <c r="N58" s="637"/>
      <c r="O58" s="637"/>
      <c r="P58" s="637"/>
      <c r="Q58" s="637"/>
      <c r="R58" s="637"/>
      <c r="S58" s="637"/>
      <c r="T58" s="637"/>
      <c r="U58" s="637"/>
      <c r="V58" s="637"/>
      <c r="W58" s="637"/>
      <c r="X58" s="637"/>
      <c r="Y58" s="637"/>
      <c r="Z58" s="637"/>
      <c r="AA58" s="637"/>
      <c r="AB58" s="637"/>
      <c r="AC58" s="637"/>
      <c r="AD58" s="637"/>
      <c r="AE58" s="637"/>
      <c r="AF58" s="637"/>
      <c r="AG58" s="637"/>
      <c r="AH58" s="637"/>
      <c r="AI58" s="637"/>
      <c r="AJ58" s="637"/>
      <c r="AK58" s="637"/>
      <c r="AL58" s="637"/>
      <c r="AM58" s="637"/>
      <c r="AN58" s="637"/>
      <c r="AO58" s="637"/>
      <c r="AP58" s="637"/>
      <c r="AQ58" s="637"/>
      <c r="AR58" s="637"/>
      <c r="AS58" s="637"/>
      <c r="AT58" s="637"/>
      <c r="AU58" s="637"/>
      <c r="AV58" s="637"/>
      <c r="AW58" s="637"/>
      <c r="AX58" s="637"/>
      <c r="AY58" s="637"/>
      <c r="AZ58" s="637"/>
      <c r="BA58" s="637"/>
      <c r="BB58" s="637"/>
      <c r="BC58" s="637"/>
      <c r="BD58" s="637"/>
      <c r="BE58" s="637"/>
      <c r="BF58" s="637"/>
      <c r="BG58" s="637"/>
      <c r="BH58" s="637"/>
      <c r="BI58" s="637"/>
      <c r="BJ58" s="637"/>
      <c r="BK58" s="637"/>
      <c r="BL58" s="637"/>
      <c r="BM58" s="637"/>
      <c r="BN58" s="637"/>
      <c r="BO58" s="637"/>
      <c r="BP58" s="637"/>
      <c r="BQ58" s="637"/>
      <c r="BR58" s="637"/>
      <c r="BS58" s="637"/>
      <c r="BT58" s="637"/>
      <c r="BU58" s="637"/>
      <c r="BV58" s="637"/>
      <c r="BW58" s="637"/>
      <c r="BX58" s="637"/>
      <c r="BY58" s="637"/>
      <c r="BZ58" s="637"/>
      <c r="CA58" s="637"/>
      <c r="CB58" s="637"/>
      <c r="CC58" s="637"/>
      <c r="CD58" s="637"/>
      <c r="CE58" s="637"/>
      <c r="CF58" s="637"/>
      <c r="CG58" s="637"/>
      <c r="CH58" s="637"/>
      <c r="CI58" s="637"/>
      <c r="CJ58" s="637"/>
      <c r="CK58" s="637"/>
      <c r="CL58" s="637"/>
      <c r="CM58" s="637"/>
      <c r="CN58" s="637"/>
      <c r="CO58" s="637"/>
      <c r="CP58" s="637"/>
      <c r="CQ58" s="637"/>
      <c r="CR58" s="637"/>
      <c r="CS58" s="637"/>
      <c r="CT58" s="637"/>
      <c r="CU58" s="637"/>
      <c r="CV58" s="637"/>
      <c r="CW58" s="637"/>
      <c r="CX58" s="637"/>
      <c r="CY58" s="637"/>
      <c r="CZ58" s="637"/>
      <c r="DA58" s="637"/>
      <c r="DB58" s="637"/>
      <c r="DC58" s="637"/>
      <c r="DD58" s="637"/>
      <c r="DE58" s="637"/>
      <c r="DF58" s="637"/>
      <c r="DG58" s="637"/>
      <c r="DH58" s="637"/>
      <c r="DI58" s="637"/>
      <c r="DJ58" s="637"/>
      <c r="DK58" s="637"/>
      <c r="DL58" s="637"/>
      <c r="DM58" s="637"/>
      <c r="DN58" s="637"/>
      <c r="DO58" s="637"/>
      <c r="DP58" s="637"/>
      <c r="DQ58" s="654"/>
      <c r="DR58" s="650"/>
      <c r="DS58" s="661"/>
      <c r="DT58" s="662"/>
      <c r="DU58" s="661"/>
      <c r="DV58" s="663"/>
      <c r="DW58" s="657">
        <f t="shared" si="2"/>
        <v>0</v>
      </c>
      <c r="DX58" s="660">
        <f t="shared" si="1"/>
        <v>44242</v>
      </c>
      <c r="DY58" s="659"/>
    </row>
    <row r="59" spans="1:129" ht="15.75" customHeight="1">
      <c r="A59" s="660">
        <v>44243</v>
      </c>
      <c r="B59" s="637"/>
      <c r="C59" s="637"/>
      <c r="D59" s="637"/>
      <c r="E59" s="637"/>
      <c r="F59" s="637"/>
      <c r="G59" s="637"/>
      <c r="H59" s="637"/>
      <c r="I59" s="637"/>
      <c r="J59" s="637"/>
      <c r="K59" s="637"/>
      <c r="L59" s="637"/>
      <c r="M59" s="637"/>
      <c r="N59" s="637"/>
      <c r="O59" s="637"/>
      <c r="P59" s="637"/>
      <c r="Q59" s="637"/>
      <c r="R59" s="637"/>
      <c r="S59" s="637"/>
      <c r="T59" s="637"/>
      <c r="U59" s="637"/>
      <c r="V59" s="637"/>
      <c r="W59" s="637"/>
      <c r="X59" s="637"/>
      <c r="Y59" s="637"/>
      <c r="Z59" s="637"/>
      <c r="AA59" s="637"/>
      <c r="AB59" s="637"/>
      <c r="AC59" s="637"/>
      <c r="AD59" s="637"/>
      <c r="AE59" s="637"/>
      <c r="AF59" s="637"/>
      <c r="AG59" s="637"/>
      <c r="AH59" s="637"/>
      <c r="AI59" s="637"/>
      <c r="AJ59" s="637"/>
      <c r="AK59" s="637"/>
      <c r="AL59" s="637"/>
      <c r="AM59" s="637"/>
      <c r="AN59" s="637"/>
      <c r="AO59" s="637"/>
      <c r="AP59" s="637"/>
      <c r="AQ59" s="637"/>
      <c r="AR59" s="637"/>
      <c r="AS59" s="637"/>
      <c r="AT59" s="637"/>
      <c r="AU59" s="637"/>
      <c r="AV59" s="637"/>
      <c r="AW59" s="637"/>
      <c r="AX59" s="637"/>
      <c r="AY59" s="637"/>
      <c r="AZ59" s="637"/>
      <c r="BA59" s="637"/>
      <c r="BB59" s="637"/>
      <c r="BC59" s="637"/>
      <c r="BD59" s="637"/>
      <c r="BE59" s="637"/>
      <c r="BF59" s="637"/>
      <c r="BG59" s="637"/>
      <c r="BH59" s="637"/>
      <c r="BI59" s="637"/>
      <c r="BJ59" s="637"/>
      <c r="BK59" s="637"/>
      <c r="BL59" s="637"/>
      <c r="BM59" s="637"/>
      <c r="BN59" s="637"/>
      <c r="BO59" s="637"/>
      <c r="BP59" s="637"/>
      <c r="BQ59" s="637"/>
      <c r="BR59" s="637"/>
      <c r="BS59" s="637"/>
      <c r="BT59" s="637"/>
      <c r="BU59" s="637"/>
      <c r="BV59" s="637"/>
      <c r="BW59" s="637"/>
      <c r="BX59" s="637"/>
      <c r="BY59" s="637"/>
      <c r="BZ59" s="637"/>
      <c r="CA59" s="637"/>
      <c r="CB59" s="637"/>
      <c r="CC59" s="637"/>
      <c r="CD59" s="637"/>
      <c r="CE59" s="637"/>
      <c r="CF59" s="637"/>
      <c r="CG59" s="637"/>
      <c r="CH59" s="637"/>
      <c r="CI59" s="637"/>
      <c r="CJ59" s="637"/>
      <c r="CK59" s="637"/>
      <c r="CL59" s="637"/>
      <c r="CM59" s="637"/>
      <c r="CN59" s="637"/>
      <c r="CO59" s="637"/>
      <c r="CP59" s="637"/>
      <c r="CQ59" s="637"/>
      <c r="CR59" s="637"/>
      <c r="CS59" s="637"/>
      <c r="CT59" s="637"/>
      <c r="CU59" s="637"/>
      <c r="CV59" s="637"/>
      <c r="CW59" s="637"/>
      <c r="CX59" s="637"/>
      <c r="CY59" s="637"/>
      <c r="CZ59" s="637"/>
      <c r="DA59" s="637"/>
      <c r="DB59" s="637"/>
      <c r="DC59" s="637"/>
      <c r="DD59" s="637"/>
      <c r="DE59" s="637"/>
      <c r="DF59" s="637"/>
      <c r="DG59" s="637"/>
      <c r="DH59" s="637"/>
      <c r="DI59" s="637"/>
      <c r="DJ59" s="637"/>
      <c r="DK59" s="637"/>
      <c r="DL59" s="637"/>
      <c r="DM59" s="637"/>
      <c r="DN59" s="637"/>
      <c r="DO59" s="637"/>
      <c r="DP59" s="637"/>
      <c r="DQ59" s="654"/>
      <c r="DR59" s="650"/>
      <c r="DS59" s="661"/>
      <c r="DT59" s="662"/>
      <c r="DU59" s="661"/>
      <c r="DV59" s="663"/>
      <c r="DW59" s="657">
        <f t="shared" si="2"/>
        <v>0</v>
      </c>
      <c r="DX59" s="660">
        <f t="shared" si="1"/>
        <v>44243</v>
      </c>
      <c r="DY59" s="659"/>
    </row>
    <row r="60" spans="1:129" ht="15.75" customHeight="1">
      <c r="A60" s="660">
        <v>44244</v>
      </c>
      <c r="B60" s="637"/>
      <c r="C60" s="637"/>
      <c r="D60" s="637"/>
      <c r="E60" s="637"/>
      <c r="F60" s="637"/>
      <c r="G60" s="637"/>
      <c r="H60" s="637"/>
      <c r="I60" s="637"/>
      <c r="J60" s="637"/>
      <c r="K60" s="637"/>
      <c r="L60" s="637"/>
      <c r="M60" s="637"/>
      <c r="N60" s="637"/>
      <c r="O60" s="637"/>
      <c r="P60" s="637"/>
      <c r="Q60" s="637"/>
      <c r="R60" s="637"/>
      <c r="S60" s="637"/>
      <c r="T60" s="637"/>
      <c r="U60" s="637"/>
      <c r="V60" s="637"/>
      <c r="W60" s="637"/>
      <c r="X60" s="637"/>
      <c r="Y60" s="637"/>
      <c r="Z60" s="637"/>
      <c r="AA60" s="637"/>
      <c r="AB60" s="637"/>
      <c r="AC60" s="637"/>
      <c r="AD60" s="637"/>
      <c r="AE60" s="637"/>
      <c r="AF60" s="637"/>
      <c r="AG60" s="637"/>
      <c r="AH60" s="637"/>
      <c r="AI60" s="637"/>
      <c r="AJ60" s="637"/>
      <c r="AK60" s="637"/>
      <c r="AL60" s="637"/>
      <c r="AM60" s="637"/>
      <c r="AN60" s="637"/>
      <c r="AO60" s="637"/>
      <c r="AP60" s="637"/>
      <c r="AQ60" s="637"/>
      <c r="AR60" s="637"/>
      <c r="AS60" s="637"/>
      <c r="AT60" s="637"/>
      <c r="AU60" s="637"/>
      <c r="AV60" s="637"/>
      <c r="AW60" s="637"/>
      <c r="AX60" s="637"/>
      <c r="AY60" s="637"/>
      <c r="AZ60" s="637"/>
      <c r="BA60" s="637"/>
      <c r="BB60" s="637"/>
      <c r="BC60" s="637"/>
      <c r="BD60" s="637"/>
      <c r="BE60" s="637"/>
      <c r="BF60" s="637"/>
      <c r="BG60" s="637"/>
      <c r="BH60" s="637"/>
      <c r="BI60" s="637"/>
      <c r="BJ60" s="637"/>
      <c r="BK60" s="637"/>
      <c r="BL60" s="637"/>
      <c r="BM60" s="637"/>
      <c r="BN60" s="637"/>
      <c r="BO60" s="637"/>
      <c r="BP60" s="637"/>
      <c r="BQ60" s="637"/>
      <c r="BR60" s="637"/>
      <c r="BS60" s="637"/>
      <c r="BT60" s="637"/>
      <c r="BU60" s="637"/>
      <c r="BV60" s="637"/>
      <c r="BW60" s="637"/>
      <c r="BX60" s="637"/>
      <c r="BY60" s="637"/>
      <c r="BZ60" s="637"/>
      <c r="CA60" s="637"/>
      <c r="CB60" s="637"/>
      <c r="CC60" s="637"/>
      <c r="CD60" s="637"/>
      <c r="CE60" s="637"/>
      <c r="CF60" s="637"/>
      <c r="CG60" s="637"/>
      <c r="CH60" s="637"/>
      <c r="CI60" s="637"/>
      <c r="CJ60" s="637"/>
      <c r="CK60" s="637"/>
      <c r="CL60" s="637"/>
      <c r="CM60" s="637"/>
      <c r="CN60" s="637"/>
      <c r="CO60" s="637"/>
      <c r="CP60" s="637"/>
      <c r="CQ60" s="637"/>
      <c r="CR60" s="637"/>
      <c r="CS60" s="637"/>
      <c r="CT60" s="637"/>
      <c r="CU60" s="637"/>
      <c r="CV60" s="637"/>
      <c r="CW60" s="637"/>
      <c r="CX60" s="637"/>
      <c r="CY60" s="637"/>
      <c r="CZ60" s="637"/>
      <c r="DA60" s="637"/>
      <c r="DB60" s="637"/>
      <c r="DC60" s="637"/>
      <c r="DD60" s="637"/>
      <c r="DE60" s="637"/>
      <c r="DF60" s="637"/>
      <c r="DG60" s="637"/>
      <c r="DH60" s="637"/>
      <c r="DI60" s="637"/>
      <c r="DJ60" s="637"/>
      <c r="DK60" s="637"/>
      <c r="DL60" s="637"/>
      <c r="DM60" s="637"/>
      <c r="DN60" s="637"/>
      <c r="DO60" s="637"/>
      <c r="DP60" s="637"/>
      <c r="DQ60" s="654"/>
      <c r="DR60" s="650"/>
      <c r="DS60" s="661"/>
      <c r="DT60" s="662"/>
      <c r="DU60" s="661"/>
      <c r="DV60" s="663"/>
      <c r="DW60" s="657">
        <f t="shared" ref="DW60:DW79" si="3">SUM(B60:DR60)</f>
        <v>0</v>
      </c>
      <c r="DX60" s="660">
        <f t="shared" si="1"/>
        <v>44244</v>
      </c>
      <c r="DY60" s="659"/>
    </row>
    <row r="61" spans="1:129" ht="15.75" customHeight="1">
      <c r="A61" s="660">
        <v>44245</v>
      </c>
      <c r="B61" s="637"/>
      <c r="C61" s="637"/>
      <c r="D61" s="637"/>
      <c r="E61" s="637"/>
      <c r="F61" s="637"/>
      <c r="G61" s="637"/>
      <c r="H61" s="637"/>
      <c r="I61" s="637"/>
      <c r="J61" s="637"/>
      <c r="K61" s="637"/>
      <c r="L61" s="637"/>
      <c r="M61" s="637"/>
      <c r="N61" s="637"/>
      <c r="O61" s="637"/>
      <c r="P61" s="637"/>
      <c r="Q61" s="637"/>
      <c r="R61" s="637"/>
      <c r="S61" s="637"/>
      <c r="T61" s="637"/>
      <c r="U61" s="637"/>
      <c r="V61" s="637"/>
      <c r="W61" s="637"/>
      <c r="X61" s="637"/>
      <c r="Y61" s="637"/>
      <c r="Z61" s="637"/>
      <c r="AA61" s="637"/>
      <c r="AB61" s="637"/>
      <c r="AC61" s="637"/>
      <c r="AD61" s="637"/>
      <c r="AE61" s="637"/>
      <c r="AF61" s="637"/>
      <c r="AG61" s="637"/>
      <c r="AH61" s="637"/>
      <c r="AI61" s="637"/>
      <c r="AJ61" s="637"/>
      <c r="AK61" s="637"/>
      <c r="AL61" s="637"/>
      <c r="AM61" s="637"/>
      <c r="AN61" s="637"/>
      <c r="AO61" s="637"/>
      <c r="AP61" s="637"/>
      <c r="AQ61" s="637"/>
      <c r="AR61" s="637"/>
      <c r="AS61" s="637"/>
      <c r="AT61" s="637"/>
      <c r="AU61" s="637"/>
      <c r="AV61" s="637"/>
      <c r="AW61" s="637"/>
      <c r="AX61" s="637"/>
      <c r="AY61" s="637"/>
      <c r="AZ61" s="637"/>
      <c r="BA61" s="637"/>
      <c r="BB61" s="637"/>
      <c r="BC61" s="637"/>
      <c r="BD61" s="637"/>
      <c r="BE61" s="637"/>
      <c r="BF61" s="637"/>
      <c r="BG61" s="637"/>
      <c r="BH61" s="637"/>
      <c r="BI61" s="637"/>
      <c r="BJ61" s="637"/>
      <c r="BK61" s="637"/>
      <c r="BL61" s="637"/>
      <c r="BM61" s="637"/>
      <c r="BN61" s="637"/>
      <c r="BO61" s="637"/>
      <c r="BP61" s="637"/>
      <c r="BQ61" s="637"/>
      <c r="BR61" s="637"/>
      <c r="BS61" s="637"/>
      <c r="BT61" s="637"/>
      <c r="BU61" s="637"/>
      <c r="BV61" s="637"/>
      <c r="BW61" s="637"/>
      <c r="BX61" s="637"/>
      <c r="BY61" s="637"/>
      <c r="BZ61" s="637"/>
      <c r="CA61" s="637"/>
      <c r="CB61" s="637"/>
      <c r="CC61" s="637"/>
      <c r="CD61" s="637"/>
      <c r="CE61" s="637"/>
      <c r="CF61" s="637"/>
      <c r="CG61" s="637"/>
      <c r="CH61" s="637"/>
      <c r="CI61" s="637"/>
      <c r="CJ61" s="637"/>
      <c r="CK61" s="637"/>
      <c r="CL61" s="637"/>
      <c r="CM61" s="637"/>
      <c r="CN61" s="637"/>
      <c r="CO61" s="637"/>
      <c r="CP61" s="637"/>
      <c r="CQ61" s="637"/>
      <c r="CR61" s="637"/>
      <c r="CS61" s="637"/>
      <c r="CT61" s="637"/>
      <c r="CU61" s="637"/>
      <c r="CV61" s="637"/>
      <c r="CW61" s="637"/>
      <c r="CX61" s="637"/>
      <c r="CY61" s="637"/>
      <c r="CZ61" s="637"/>
      <c r="DA61" s="637"/>
      <c r="DB61" s="637"/>
      <c r="DC61" s="637"/>
      <c r="DD61" s="637"/>
      <c r="DE61" s="637"/>
      <c r="DF61" s="637"/>
      <c r="DG61" s="637"/>
      <c r="DH61" s="637"/>
      <c r="DI61" s="637"/>
      <c r="DJ61" s="637"/>
      <c r="DK61" s="637"/>
      <c r="DL61" s="637"/>
      <c r="DM61" s="637"/>
      <c r="DN61" s="637"/>
      <c r="DO61" s="637"/>
      <c r="DP61" s="637"/>
      <c r="DQ61" s="654"/>
      <c r="DR61" s="650"/>
      <c r="DS61" s="661"/>
      <c r="DT61" s="662"/>
      <c r="DU61" s="661"/>
      <c r="DV61" s="663"/>
      <c r="DW61" s="657">
        <f t="shared" si="3"/>
        <v>0</v>
      </c>
      <c r="DX61" s="660">
        <f t="shared" si="1"/>
        <v>44245</v>
      </c>
      <c r="DY61" s="659"/>
    </row>
    <row r="62" spans="1:129" ht="15.75" customHeight="1">
      <c r="A62" s="660">
        <v>44246</v>
      </c>
      <c r="B62" s="637"/>
      <c r="C62" s="637"/>
      <c r="D62" s="637"/>
      <c r="E62" s="637"/>
      <c r="F62" s="637"/>
      <c r="G62" s="637"/>
      <c r="H62" s="637"/>
      <c r="I62" s="637"/>
      <c r="J62" s="637"/>
      <c r="K62" s="637"/>
      <c r="L62" s="637"/>
      <c r="M62" s="637"/>
      <c r="N62" s="637"/>
      <c r="O62" s="637"/>
      <c r="P62" s="637"/>
      <c r="Q62" s="637"/>
      <c r="R62" s="637"/>
      <c r="S62" s="637"/>
      <c r="T62" s="637"/>
      <c r="U62" s="637"/>
      <c r="V62" s="637"/>
      <c r="W62" s="637"/>
      <c r="X62" s="637"/>
      <c r="Y62" s="637"/>
      <c r="Z62" s="637"/>
      <c r="AA62" s="637"/>
      <c r="AB62" s="637"/>
      <c r="AC62" s="637"/>
      <c r="AD62" s="637"/>
      <c r="AE62" s="637"/>
      <c r="AF62" s="637"/>
      <c r="AG62" s="637"/>
      <c r="AH62" s="637"/>
      <c r="AI62" s="637"/>
      <c r="AJ62" s="637"/>
      <c r="AK62" s="637"/>
      <c r="AL62" s="637"/>
      <c r="AM62" s="637"/>
      <c r="AN62" s="637"/>
      <c r="AO62" s="637"/>
      <c r="AP62" s="637"/>
      <c r="AQ62" s="637"/>
      <c r="AR62" s="637"/>
      <c r="AS62" s="637"/>
      <c r="AT62" s="637"/>
      <c r="AU62" s="637"/>
      <c r="AV62" s="637"/>
      <c r="AW62" s="637"/>
      <c r="AX62" s="637"/>
      <c r="AY62" s="637"/>
      <c r="AZ62" s="637"/>
      <c r="BA62" s="637"/>
      <c r="BB62" s="637"/>
      <c r="BC62" s="637"/>
      <c r="BD62" s="637"/>
      <c r="BE62" s="637"/>
      <c r="BF62" s="637"/>
      <c r="BG62" s="637"/>
      <c r="BH62" s="637"/>
      <c r="BI62" s="637"/>
      <c r="BJ62" s="637"/>
      <c r="BK62" s="637"/>
      <c r="BL62" s="637"/>
      <c r="BM62" s="637"/>
      <c r="BN62" s="637"/>
      <c r="BO62" s="637"/>
      <c r="BP62" s="637"/>
      <c r="BQ62" s="637"/>
      <c r="BR62" s="637"/>
      <c r="BS62" s="637"/>
      <c r="BT62" s="637"/>
      <c r="BU62" s="637"/>
      <c r="BV62" s="637"/>
      <c r="BW62" s="637"/>
      <c r="BX62" s="637"/>
      <c r="BY62" s="637"/>
      <c r="BZ62" s="637"/>
      <c r="CA62" s="637"/>
      <c r="CB62" s="637"/>
      <c r="CC62" s="637"/>
      <c r="CD62" s="637"/>
      <c r="CE62" s="637"/>
      <c r="CF62" s="637"/>
      <c r="CG62" s="637"/>
      <c r="CH62" s="637"/>
      <c r="CI62" s="637"/>
      <c r="CJ62" s="637"/>
      <c r="CK62" s="637"/>
      <c r="CL62" s="637"/>
      <c r="CM62" s="637"/>
      <c r="CN62" s="637"/>
      <c r="CO62" s="637"/>
      <c r="CP62" s="637"/>
      <c r="CQ62" s="637"/>
      <c r="CR62" s="637"/>
      <c r="CS62" s="637"/>
      <c r="CT62" s="637"/>
      <c r="CU62" s="637"/>
      <c r="CV62" s="637"/>
      <c r="CW62" s="637"/>
      <c r="CX62" s="637"/>
      <c r="CY62" s="637"/>
      <c r="CZ62" s="637"/>
      <c r="DA62" s="637"/>
      <c r="DB62" s="637"/>
      <c r="DC62" s="637"/>
      <c r="DD62" s="637"/>
      <c r="DE62" s="637"/>
      <c r="DF62" s="637"/>
      <c r="DG62" s="637"/>
      <c r="DH62" s="637"/>
      <c r="DI62" s="637"/>
      <c r="DJ62" s="637"/>
      <c r="DK62" s="637"/>
      <c r="DL62" s="637"/>
      <c r="DM62" s="637"/>
      <c r="DN62" s="637"/>
      <c r="DO62" s="637"/>
      <c r="DP62" s="637"/>
      <c r="DQ62" s="654"/>
      <c r="DR62" s="650"/>
      <c r="DS62" s="661"/>
      <c r="DT62" s="662"/>
      <c r="DU62" s="661"/>
      <c r="DV62" s="663"/>
      <c r="DW62" s="657">
        <f t="shared" si="3"/>
        <v>0</v>
      </c>
      <c r="DX62" s="660">
        <f t="shared" si="1"/>
        <v>44246</v>
      </c>
      <c r="DY62" s="659"/>
    </row>
    <row r="63" spans="1:129" ht="15.75" customHeight="1">
      <c r="A63" s="660">
        <v>44247</v>
      </c>
      <c r="B63" s="637"/>
      <c r="C63" s="637"/>
      <c r="D63" s="637"/>
      <c r="E63" s="637"/>
      <c r="F63" s="637"/>
      <c r="G63" s="637"/>
      <c r="H63" s="637"/>
      <c r="I63" s="637"/>
      <c r="J63" s="637"/>
      <c r="K63" s="637"/>
      <c r="L63" s="637"/>
      <c r="M63" s="637"/>
      <c r="N63" s="637"/>
      <c r="O63" s="637"/>
      <c r="P63" s="637"/>
      <c r="Q63" s="637"/>
      <c r="R63" s="637"/>
      <c r="S63" s="637"/>
      <c r="T63" s="637"/>
      <c r="U63" s="637"/>
      <c r="V63" s="637"/>
      <c r="W63" s="637"/>
      <c r="X63" s="637"/>
      <c r="Y63" s="637"/>
      <c r="Z63" s="637"/>
      <c r="AA63" s="637"/>
      <c r="AB63" s="637"/>
      <c r="AC63" s="637"/>
      <c r="AD63" s="637"/>
      <c r="AE63" s="637"/>
      <c r="AF63" s="637"/>
      <c r="AG63" s="637"/>
      <c r="AH63" s="637"/>
      <c r="AI63" s="637"/>
      <c r="AJ63" s="637"/>
      <c r="AK63" s="637"/>
      <c r="AL63" s="637"/>
      <c r="AM63" s="637"/>
      <c r="AN63" s="637"/>
      <c r="AO63" s="637"/>
      <c r="AP63" s="637"/>
      <c r="AQ63" s="637"/>
      <c r="AR63" s="637"/>
      <c r="AS63" s="637"/>
      <c r="AT63" s="637"/>
      <c r="AU63" s="637"/>
      <c r="AV63" s="637"/>
      <c r="AW63" s="637"/>
      <c r="AX63" s="637"/>
      <c r="AY63" s="637"/>
      <c r="AZ63" s="637"/>
      <c r="BA63" s="637"/>
      <c r="BB63" s="637"/>
      <c r="BC63" s="637"/>
      <c r="BD63" s="637"/>
      <c r="BE63" s="637"/>
      <c r="BF63" s="637"/>
      <c r="BG63" s="637"/>
      <c r="BH63" s="637"/>
      <c r="BI63" s="637"/>
      <c r="BJ63" s="637"/>
      <c r="BK63" s="637"/>
      <c r="BL63" s="637"/>
      <c r="BM63" s="637"/>
      <c r="BN63" s="637"/>
      <c r="BO63" s="637"/>
      <c r="BP63" s="637"/>
      <c r="BQ63" s="637"/>
      <c r="BR63" s="637"/>
      <c r="BS63" s="637"/>
      <c r="BT63" s="637"/>
      <c r="BU63" s="637"/>
      <c r="BV63" s="637"/>
      <c r="BW63" s="637"/>
      <c r="BX63" s="637"/>
      <c r="BY63" s="637"/>
      <c r="BZ63" s="637"/>
      <c r="CA63" s="637"/>
      <c r="CB63" s="637"/>
      <c r="CC63" s="637"/>
      <c r="CD63" s="637"/>
      <c r="CE63" s="637"/>
      <c r="CF63" s="637"/>
      <c r="CG63" s="637"/>
      <c r="CH63" s="637"/>
      <c r="CI63" s="637"/>
      <c r="CJ63" s="637"/>
      <c r="CK63" s="637"/>
      <c r="CL63" s="637"/>
      <c r="CM63" s="637"/>
      <c r="CN63" s="637"/>
      <c r="CO63" s="637"/>
      <c r="CP63" s="637"/>
      <c r="CQ63" s="637"/>
      <c r="CR63" s="637"/>
      <c r="CS63" s="637"/>
      <c r="CT63" s="637"/>
      <c r="CU63" s="637"/>
      <c r="CV63" s="637"/>
      <c r="CW63" s="637"/>
      <c r="CX63" s="637"/>
      <c r="CY63" s="637"/>
      <c r="CZ63" s="637"/>
      <c r="DA63" s="637"/>
      <c r="DB63" s="637"/>
      <c r="DC63" s="637"/>
      <c r="DD63" s="637"/>
      <c r="DE63" s="637"/>
      <c r="DF63" s="637"/>
      <c r="DG63" s="637"/>
      <c r="DH63" s="637"/>
      <c r="DI63" s="637"/>
      <c r="DJ63" s="637"/>
      <c r="DK63" s="637"/>
      <c r="DL63" s="637"/>
      <c r="DM63" s="637"/>
      <c r="DN63" s="637"/>
      <c r="DO63" s="637"/>
      <c r="DP63" s="637"/>
      <c r="DQ63" s="654"/>
      <c r="DR63" s="650"/>
      <c r="DS63" s="661"/>
      <c r="DT63" s="662"/>
      <c r="DU63" s="661"/>
      <c r="DV63" s="663"/>
      <c r="DW63" s="657">
        <f t="shared" si="3"/>
        <v>0</v>
      </c>
      <c r="DX63" s="660">
        <f t="shared" si="1"/>
        <v>44247</v>
      </c>
      <c r="DY63" s="659"/>
    </row>
    <row r="64" spans="1:129" ht="15.75" customHeight="1">
      <c r="A64" s="660">
        <v>44248</v>
      </c>
      <c r="B64" s="637"/>
      <c r="C64" s="637"/>
      <c r="D64" s="637"/>
      <c r="E64" s="637"/>
      <c r="F64" s="637"/>
      <c r="G64" s="637"/>
      <c r="H64" s="637"/>
      <c r="I64" s="637"/>
      <c r="J64" s="637"/>
      <c r="K64" s="637"/>
      <c r="L64" s="637"/>
      <c r="M64" s="637"/>
      <c r="N64" s="637"/>
      <c r="O64" s="637"/>
      <c r="P64" s="637"/>
      <c r="Q64" s="637"/>
      <c r="R64" s="637"/>
      <c r="S64" s="637"/>
      <c r="T64" s="637"/>
      <c r="U64" s="637"/>
      <c r="V64" s="637"/>
      <c r="W64" s="637"/>
      <c r="X64" s="637"/>
      <c r="Y64" s="637"/>
      <c r="Z64" s="637"/>
      <c r="AA64" s="637"/>
      <c r="AB64" s="637"/>
      <c r="AC64" s="637"/>
      <c r="AD64" s="637"/>
      <c r="AE64" s="637"/>
      <c r="AF64" s="637"/>
      <c r="AG64" s="637"/>
      <c r="AH64" s="637"/>
      <c r="AI64" s="637"/>
      <c r="AJ64" s="637"/>
      <c r="AK64" s="637"/>
      <c r="AL64" s="637"/>
      <c r="AM64" s="637"/>
      <c r="AN64" s="637"/>
      <c r="AO64" s="637"/>
      <c r="AP64" s="637"/>
      <c r="AQ64" s="637"/>
      <c r="AR64" s="637"/>
      <c r="AS64" s="637"/>
      <c r="AT64" s="637"/>
      <c r="AU64" s="637"/>
      <c r="AV64" s="637"/>
      <c r="AW64" s="637"/>
      <c r="AX64" s="637"/>
      <c r="AY64" s="637"/>
      <c r="AZ64" s="637"/>
      <c r="BA64" s="637"/>
      <c r="BB64" s="637"/>
      <c r="BC64" s="637"/>
      <c r="BD64" s="637"/>
      <c r="BE64" s="637"/>
      <c r="BF64" s="637"/>
      <c r="BG64" s="637"/>
      <c r="BH64" s="637"/>
      <c r="BI64" s="637"/>
      <c r="BJ64" s="637"/>
      <c r="BK64" s="637"/>
      <c r="BL64" s="637"/>
      <c r="BM64" s="637"/>
      <c r="BN64" s="637"/>
      <c r="BO64" s="637"/>
      <c r="BP64" s="637"/>
      <c r="BQ64" s="637"/>
      <c r="BR64" s="637"/>
      <c r="BS64" s="637"/>
      <c r="BT64" s="637"/>
      <c r="BU64" s="637"/>
      <c r="BV64" s="637"/>
      <c r="BW64" s="637"/>
      <c r="BX64" s="637"/>
      <c r="BY64" s="637"/>
      <c r="BZ64" s="637"/>
      <c r="CA64" s="637"/>
      <c r="CB64" s="637"/>
      <c r="CC64" s="637"/>
      <c r="CD64" s="637"/>
      <c r="CE64" s="637"/>
      <c r="CF64" s="637"/>
      <c r="CG64" s="637"/>
      <c r="CH64" s="637"/>
      <c r="CI64" s="637"/>
      <c r="CJ64" s="637"/>
      <c r="CK64" s="637"/>
      <c r="CL64" s="637"/>
      <c r="CM64" s="637"/>
      <c r="CN64" s="637"/>
      <c r="CO64" s="637"/>
      <c r="CP64" s="637"/>
      <c r="CQ64" s="637"/>
      <c r="CR64" s="637"/>
      <c r="CS64" s="637"/>
      <c r="CT64" s="637"/>
      <c r="CU64" s="637"/>
      <c r="CV64" s="637"/>
      <c r="CW64" s="637"/>
      <c r="CX64" s="637"/>
      <c r="CY64" s="637"/>
      <c r="CZ64" s="637"/>
      <c r="DA64" s="637"/>
      <c r="DB64" s="637"/>
      <c r="DC64" s="637"/>
      <c r="DD64" s="637"/>
      <c r="DE64" s="637"/>
      <c r="DF64" s="637"/>
      <c r="DG64" s="637"/>
      <c r="DH64" s="637"/>
      <c r="DI64" s="637"/>
      <c r="DJ64" s="637"/>
      <c r="DK64" s="637"/>
      <c r="DL64" s="637"/>
      <c r="DM64" s="637"/>
      <c r="DN64" s="637"/>
      <c r="DO64" s="637"/>
      <c r="DP64" s="637"/>
      <c r="DQ64" s="654"/>
      <c r="DR64" s="650"/>
      <c r="DS64" s="661"/>
      <c r="DT64" s="662"/>
      <c r="DU64" s="661"/>
      <c r="DV64" s="663"/>
      <c r="DW64" s="657">
        <f t="shared" si="3"/>
        <v>0</v>
      </c>
      <c r="DX64" s="660">
        <f t="shared" si="1"/>
        <v>44248</v>
      </c>
      <c r="DY64" s="659"/>
    </row>
    <row r="65" spans="1:129" ht="15.75" customHeight="1">
      <c r="A65" s="660">
        <v>44249</v>
      </c>
      <c r="B65" s="637"/>
      <c r="C65" s="637"/>
      <c r="D65" s="637"/>
      <c r="E65" s="637"/>
      <c r="F65" s="637"/>
      <c r="G65" s="637"/>
      <c r="H65" s="637"/>
      <c r="I65" s="637"/>
      <c r="J65" s="637"/>
      <c r="K65" s="637"/>
      <c r="L65" s="637"/>
      <c r="M65" s="637"/>
      <c r="N65" s="637"/>
      <c r="O65" s="637"/>
      <c r="P65" s="637"/>
      <c r="Q65" s="637"/>
      <c r="R65" s="637"/>
      <c r="S65" s="637"/>
      <c r="T65" s="637"/>
      <c r="U65" s="637"/>
      <c r="V65" s="637"/>
      <c r="W65" s="637"/>
      <c r="X65" s="637"/>
      <c r="Y65" s="637"/>
      <c r="Z65" s="637"/>
      <c r="AA65" s="637"/>
      <c r="AB65" s="637"/>
      <c r="AC65" s="637"/>
      <c r="AD65" s="637"/>
      <c r="AE65" s="637"/>
      <c r="AF65" s="637"/>
      <c r="AG65" s="637"/>
      <c r="AH65" s="637"/>
      <c r="AI65" s="637"/>
      <c r="AJ65" s="637"/>
      <c r="AK65" s="637"/>
      <c r="AL65" s="637"/>
      <c r="AM65" s="637"/>
      <c r="AN65" s="637"/>
      <c r="AO65" s="637"/>
      <c r="AP65" s="637"/>
      <c r="AQ65" s="637"/>
      <c r="AR65" s="637"/>
      <c r="AS65" s="637"/>
      <c r="AT65" s="637"/>
      <c r="AU65" s="637"/>
      <c r="AV65" s="637"/>
      <c r="AW65" s="637"/>
      <c r="AX65" s="637"/>
      <c r="AY65" s="637"/>
      <c r="AZ65" s="637"/>
      <c r="BA65" s="637"/>
      <c r="BB65" s="637"/>
      <c r="BC65" s="637"/>
      <c r="BD65" s="637"/>
      <c r="BE65" s="637"/>
      <c r="BF65" s="637"/>
      <c r="BG65" s="637"/>
      <c r="BH65" s="637"/>
      <c r="BI65" s="637"/>
      <c r="BJ65" s="637"/>
      <c r="BK65" s="637"/>
      <c r="BL65" s="637"/>
      <c r="BM65" s="637"/>
      <c r="BN65" s="637"/>
      <c r="BO65" s="637"/>
      <c r="BP65" s="637"/>
      <c r="BQ65" s="637"/>
      <c r="BR65" s="637"/>
      <c r="BS65" s="637"/>
      <c r="BT65" s="637"/>
      <c r="BU65" s="637"/>
      <c r="BV65" s="637"/>
      <c r="BW65" s="637"/>
      <c r="BX65" s="637"/>
      <c r="BY65" s="637"/>
      <c r="BZ65" s="637"/>
      <c r="CA65" s="637"/>
      <c r="CB65" s="637"/>
      <c r="CC65" s="637"/>
      <c r="CD65" s="637"/>
      <c r="CE65" s="637"/>
      <c r="CF65" s="637"/>
      <c r="CG65" s="637"/>
      <c r="CH65" s="637"/>
      <c r="CI65" s="637"/>
      <c r="CJ65" s="637"/>
      <c r="CK65" s="637"/>
      <c r="CL65" s="637"/>
      <c r="CM65" s="637"/>
      <c r="CN65" s="637"/>
      <c r="CO65" s="637"/>
      <c r="CP65" s="637"/>
      <c r="CQ65" s="637"/>
      <c r="CR65" s="637"/>
      <c r="CS65" s="637"/>
      <c r="CT65" s="637"/>
      <c r="CU65" s="637"/>
      <c r="CV65" s="637"/>
      <c r="CW65" s="637"/>
      <c r="CX65" s="637"/>
      <c r="CY65" s="637"/>
      <c r="CZ65" s="637"/>
      <c r="DA65" s="637"/>
      <c r="DB65" s="637"/>
      <c r="DC65" s="637"/>
      <c r="DD65" s="637"/>
      <c r="DE65" s="637"/>
      <c r="DF65" s="637"/>
      <c r="DG65" s="637"/>
      <c r="DH65" s="637"/>
      <c r="DI65" s="637"/>
      <c r="DJ65" s="637"/>
      <c r="DK65" s="637"/>
      <c r="DL65" s="637"/>
      <c r="DM65" s="637"/>
      <c r="DN65" s="637"/>
      <c r="DO65" s="637"/>
      <c r="DP65" s="637"/>
      <c r="DQ65" s="654"/>
      <c r="DR65" s="650"/>
      <c r="DS65" s="661"/>
      <c r="DT65" s="662"/>
      <c r="DU65" s="661"/>
      <c r="DV65" s="663"/>
      <c r="DW65" s="657">
        <f t="shared" si="3"/>
        <v>0</v>
      </c>
      <c r="DX65" s="660">
        <f t="shared" si="1"/>
        <v>44249</v>
      </c>
      <c r="DY65" s="659"/>
    </row>
    <row r="66" spans="1:129" ht="15.75" customHeight="1">
      <c r="A66" s="660">
        <v>44250</v>
      </c>
      <c r="B66" s="637"/>
      <c r="C66" s="637"/>
      <c r="D66" s="637"/>
      <c r="E66" s="637"/>
      <c r="F66" s="637"/>
      <c r="G66" s="637"/>
      <c r="H66" s="637"/>
      <c r="I66" s="637"/>
      <c r="J66" s="637"/>
      <c r="K66" s="637"/>
      <c r="L66" s="637"/>
      <c r="M66" s="637"/>
      <c r="N66" s="637"/>
      <c r="O66" s="637"/>
      <c r="P66" s="637"/>
      <c r="Q66" s="637"/>
      <c r="R66" s="637"/>
      <c r="S66" s="637"/>
      <c r="T66" s="637"/>
      <c r="U66" s="637"/>
      <c r="V66" s="637"/>
      <c r="W66" s="637"/>
      <c r="X66" s="637"/>
      <c r="Y66" s="637"/>
      <c r="Z66" s="637"/>
      <c r="AA66" s="637"/>
      <c r="AB66" s="637"/>
      <c r="AC66" s="637"/>
      <c r="AD66" s="637"/>
      <c r="AE66" s="637"/>
      <c r="AF66" s="637"/>
      <c r="AG66" s="637"/>
      <c r="AH66" s="637"/>
      <c r="AI66" s="637"/>
      <c r="AJ66" s="637"/>
      <c r="AK66" s="637"/>
      <c r="AL66" s="637"/>
      <c r="AM66" s="637"/>
      <c r="AN66" s="637"/>
      <c r="AO66" s="637"/>
      <c r="AP66" s="637"/>
      <c r="AQ66" s="637"/>
      <c r="AR66" s="637"/>
      <c r="AS66" s="637"/>
      <c r="AT66" s="637"/>
      <c r="AU66" s="637"/>
      <c r="AV66" s="637"/>
      <c r="AW66" s="637"/>
      <c r="AX66" s="637"/>
      <c r="AY66" s="637"/>
      <c r="AZ66" s="637"/>
      <c r="BA66" s="637"/>
      <c r="BB66" s="637"/>
      <c r="BC66" s="637"/>
      <c r="BD66" s="637"/>
      <c r="BE66" s="637"/>
      <c r="BF66" s="637"/>
      <c r="BG66" s="637"/>
      <c r="BH66" s="637"/>
      <c r="BI66" s="637"/>
      <c r="BJ66" s="637"/>
      <c r="BK66" s="637"/>
      <c r="BL66" s="637"/>
      <c r="BM66" s="637"/>
      <c r="BN66" s="637"/>
      <c r="BO66" s="637"/>
      <c r="BP66" s="637"/>
      <c r="BQ66" s="637"/>
      <c r="BR66" s="637"/>
      <c r="BS66" s="637"/>
      <c r="BT66" s="637"/>
      <c r="BU66" s="637"/>
      <c r="BV66" s="637"/>
      <c r="BW66" s="637"/>
      <c r="BX66" s="637"/>
      <c r="BY66" s="637"/>
      <c r="BZ66" s="637"/>
      <c r="CA66" s="637"/>
      <c r="CB66" s="637"/>
      <c r="CC66" s="637"/>
      <c r="CD66" s="637"/>
      <c r="CE66" s="637"/>
      <c r="CF66" s="637"/>
      <c r="CG66" s="637"/>
      <c r="CH66" s="637"/>
      <c r="CI66" s="637"/>
      <c r="CJ66" s="637"/>
      <c r="CK66" s="637"/>
      <c r="CL66" s="637"/>
      <c r="CM66" s="637"/>
      <c r="CN66" s="637"/>
      <c r="CO66" s="637"/>
      <c r="CP66" s="637"/>
      <c r="CQ66" s="637"/>
      <c r="CR66" s="637"/>
      <c r="CS66" s="637"/>
      <c r="CT66" s="637"/>
      <c r="CU66" s="637"/>
      <c r="CV66" s="637"/>
      <c r="CW66" s="637"/>
      <c r="CX66" s="637"/>
      <c r="CY66" s="637"/>
      <c r="CZ66" s="637"/>
      <c r="DA66" s="637"/>
      <c r="DB66" s="637"/>
      <c r="DC66" s="637"/>
      <c r="DD66" s="637"/>
      <c r="DE66" s="637"/>
      <c r="DF66" s="637"/>
      <c r="DG66" s="637"/>
      <c r="DH66" s="637"/>
      <c r="DI66" s="637"/>
      <c r="DJ66" s="637"/>
      <c r="DK66" s="637"/>
      <c r="DL66" s="637"/>
      <c r="DM66" s="637"/>
      <c r="DN66" s="637"/>
      <c r="DO66" s="637"/>
      <c r="DP66" s="637"/>
      <c r="DQ66" s="654"/>
      <c r="DR66" s="650"/>
      <c r="DS66" s="661"/>
      <c r="DT66" s="662"/>
      <c r="DU66" s="661"/>
      <c r="DV66" s="663"/>
      <c r="DW66" s="657">
        <f t="shared" si="3"/>
        <v>0</v>
      </c>
      <c r="DX66" s="660">
        <f t="shared" si="1"/>
        <v>44250</v>
      </c>
      <c r="DY66" s="659"/>
    </row>
    <row r="67" spans="1:129" ht="15.75" customHeight="1">
      <c r="A67" s="660">
        <v>44251</v>
      </c>
      <c r="B67" s="637"/>
      <c r="C67" s="637"/>
      <c r="D67" s="637"/>
      <c r="E67" s="637"/>
      <c r="F67" s="637"/>
      <c r="G67" s="637"/>
      <c r="H67" s="637"/>
      <c r="I67" s="637"/>
      <c r="J67" s="637"/>
      <c r="K67" s="637"/>
      <c r="L67" s="637"/>
      <c r="M67" s="637"/>
      <c r="N67" s="637"/>
      <c r="O67" s="637"/>
      <c r="P67" s="637"/>
      <c r="Q67" s="637"/>
      <c r="R67" s="637"/>
      <c r="S67" s="637"/>
      <c r="T67" s="637"/>
      <c r="U67" s="637"/>
      <c r="V67" s="637"/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37"/>
      <c r="AH67" s="637"/>
      <c r="AI67" s="637"/>
      <c r="AJ67" s="637"/>
      <c r="AK67" s="637"/>
      <c r="AL67" s="637"/>
      <c r="AM67" s="637"/>
      <c r="AN67" s="637"/>
      <c r="AO67" s="637"/>
      <c r="AP67" s="637"/>
      <c r="AQ67" s="637"/>
      <c r="AR67" s="637"/>
      <c r="AS67" s="637"/>
      <c r="AT67" s="637"/>
      <c r="AU67" s="637"/>
      <c r="AV67" s="637"/>
      <c r="AW67" s="637"/>
      <c r="AX67" s="637"/>
      <c r="AY67" s="637"/>
      <c r="AZ67" s="637"/>
      <c r="BA67" s="637"/>
      <c r="BB67" s="637"/>
      <c r="BC67" s="637"/>
      <c r="BD67" s="637"/>
      <c r="BE67" s="637"/>
      <c r="BF67" s="637"/>
      <c r="BG67" s="637"/>
      <c r="BH67" s="637"/>
      <c r="BI67" s="637"/>
      <c r="BJ67" s="637"/>
      <c r="BK67" s="637"/>
      <c r="BL67" s="637"/>
      <c r="BM67" s="637"/>
      <c r="BN67" s="637"/>
      <c r="BO67" s="637"/>
      <c r="BP67" s="637"/>
      <c r="BQ67" s="637"/>
      <c r="BR67" s="637"/>
      <c r="BS67" s="637"/>
      <c r="BT67" s="637"/>
      <c r="BU67" s="637"/>
      <c r="BV67" s="637"/>
      <c r="BW67" s="637"/>
      <c r="BX67" s="637"/>
      <c r="BY67" s="637"/>
      <c r="BZ67" s="637"/>
      <c r="CA67" s="637"/>
      <c r="CB67" s="637"/>
      <c r="CC67" s="637"/>
      <c r="CD67" s="637"/>
      <c r="CE67" s="637"/>
      <c r="CF67" s="637"/>
      <c r="CG67" s="637"/>
      <c r="CH67" s="637"/>
      <c r="CI67" s="637"/>
      <c r="CJ67" s="637"/>
      <c r="CK67" s="637"/>
      <c r="CL67" s="637"/>
      <c r="CM67" s="637"/>
      <c r="CN67" s="637"/>
      <c r="CO67" s="637"/>
      <c r="CP67" s="637"/>
      <c r="CQ67" s="637"/>
      <c r="CR67" s="637"/>
      <c r="CS67" s="637"/>
      <c r="CT67" s="637"/>
      <c r="CU67" s="637"/>
      <c r="CV67" s="637"/>
      <c r="CW67" s="637"/>
      <c r="CX67" s="637"/>
      <c r="CY67" s="637"/>
      <c r="CZ67" s="637"/>
      <c r="DA67" s="637"/>
      <c r="DB67" s="637"/>
      <c r="DC67" s="637"/>
      <c r="DD67" s="637"/>
      <c r="DE67" s="637"/>
      <c r="DF67" s="637"/>
      <c r="DG67" s="637"/>
      <c r="DH67" s="637"/>
      <c r="DI67" s="637"/>
      <c r="DJ67" s="637"/>
      <c r="DK67" s="637"/>
      <c r="DL67" s="637"/>
      <c r="DM67" s="637"/>
      <c r="DN67" s="637"/>
      <c r="DO67" s="637"/>
      <c r="DP67" s="637"/>
      <c r="DQ67" s="654"/>
      <c r="DR67" s="650"/>
      <c r="DS67" s="661"/>
      <c r="DT67" s="662"/>
      <c r="DU67" s="661"/>
      <c r="DV67" s="663"/>
      <c r="DW67" s="657">
        <f t="shared" si="3"/>
        <v>0</v>
      </c>
      <c r="DX67" s="660">
        <f t="shared" si="1"/>
        <v>44251</v>
      </c>
      <c r="DY67" s="659"/>
    </row>
    <row r="68" spans="1:129" ht="15.75" customHeight="1">
      <c r="A68" s="660">
        <v>44252</v>
      </c>
      <c r="B68" s="637"/>
      <c r="C68" s="637"/>
      <c r="D68" s="637"/>
      <c r="E68" s="637"/>
      <c r="F68" s="637"/>
      <c r="G68" s="637"/>
      <c r="H68" s="637"/>
      <c r="I68" s="637"/>
      <c r="J68" s="637"/>
      <c r="K68" s="637"/>
      <c r="L68" s="637"/>
      <c r="M68" s="637"/>
      <c r="N68" s="637"/>
      <c r="O68" s="637"/>
      <c r="P68" s="637"/>
      <c r="Q68" s="637"/>
      <c r="R68" s="637"/>
      <c r="S68" s="637"/>
      <c r="T68" s="637"/>
      <c r="U68" s="637"/>
      <c r="V68" s="637"/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37"/>
      <c r="AH68" s="637"/>
      <c r="AI68" s="637"/>
      <c r="AJ68" s="637"/>
      <c r="AK68" s="637"/>
      <c r="AL68" s="637"/>
      <c r="AM68" s="637"/>
      <c r="AN68" s="637"/>
      <c r="AO68" s="637"/>
      <c r="AP68" s="637"/>
      <c r="AQ68" s="637"/>
      <c r="AR68" s="637"/>
      <c r="AS68" s="637"/>
      <c r="AT68" s="637"/>
      <c r="AU68" s="637"/>
      <c r="AV68" s="637"/>
      <c r="AW68" s="637"/>
      <c r="AX68" s="637"/>
      <c r="AY68" s="637"/>
      <c r="AZ68" s="637"/>
      <c r="BA68" s="637"/>
      <c r="BB68" s="637"/>
      <c r="BC68" s="637"/>
      <c r="BD68" s="637"/>
      <c r="BE68" s="637"/>
      <c r="BF68" s="637"/>
      <c r="BG68" s="637"/>
      <c r="BH68" s="637"/>
      <c r="BI68" s="637"/>
      <c r="BJ68" s="637"/>
      <c r="BK68" s="637"/>
      <c r="BL68" s="637"/>
      <c r="BM68" s="637"/>
      <c r="BN68" s="637"/>
      <c r="BO68" s="637"/>
      <c r="BP68" s="637"/>
      <c r="BQ68" s="637"/>
      <c r="BR68" s="637"/>
      <c r="BS68" s="637"/>
      <c r="BT68" s="637"/>
      <c r="BU68" s="637"/>
      <c r="BV68" s="637"/>
      <c r="BW68" s="637"/>
      <c r="BX68" s="637"/>
      <c r="BY68" s="637"/>
      <c r="BZ68" s="637"/>
      <c r="CA68" s="637"/>
      <c r="CB68" s="637"/>
      <c r="CC68" s="637"/>
      <c r="CD68" s="637"/>
      <c r="CE68" s="637"/>
      <c r="CF68" s="637"/>
      <c r="CG68" s="637"/>
      <c r="CH68" s="637"/>
      <c r="CI68" s="637"/>
      <c r="CJ68" s="637"/>
      <c r="CK68" s="637"/>
      <c r="CL68" s="637"/>
      <c r="CM68" s="637"/>
      <c r="CN68" s="637"/>
      <c r="CO68" s="637"/>
      <c r="CP68" s="637"/>
      <c r="CQ68" s="637"/>
      <c r="CR68" s="637"/>
      <c r="CS68" s="637"/>
      <c r="CT68" s="637"/>
      <c r="CU68" s="637"/>
      <c r="CV68" s="637"/>
      <c r="CW68" s="637"/>
      <c r="CX68" s="637"/>
      <c r="CY68" s="637"/>
      <c r="CZ68" s="637"/>
      <c r="DA68" s="637"/>
      <c r="DB68" s="637"/>
      <c r="DC68" s="637"/>
      <c r="DD68" s="637"/>
      <c r="DE68" s="637"/>
      <c r="DF68" s="637"/>
      <c r="DG68" s="637"/>
      <c r="DH68" s="637"/>
      <c r="DI68" s="637"/>
      <c r="DJ68" s="637"/>
      <c r="DK68" s="637"/>
      <c r="DL68" s="637"/>
      <c r="DM68" s="637"/>
      <c r="DN68" s="637"/>
      <c r="DO68" s="637"/>
      <c r="DP68" s="637"/>
      <c r="DQ68" s="654"/>
      <c r="DR68" s="650"/>
      <c r="DS68" s="661"/>
      <c r="DT68" s="662"/>
      <c r="DU68" s="661"/>
      <c r="DV68" s="663"/>
      <c r="DW68" s="657">
        <f t="shared" si="3"/>
        <v>0</v>
      </c>
      <c r="DX68" s="660">
        <f t="shared" si="1"/>
        <v>44252</v>
      </c>
      <c r="DY68" s="659"/>
    </row>
    <row r="69" spans="1:129" ht="15.75" customHeight="1">
      <c r="A69" s="660">
        <v>44253</v>
      </c>
      <c r="B69" s="637"/>
      <c r="C69" s="637"/>
      <c r="D69" s="637"/>
      <c r="E69" s="637"/>
      <c r="F69" s="637"/>
      <c r="G69" s="637"/>
      <c r="H69" s="637"/>
      <c r="I69" s="637"/>
      <c r="J69" s="637"/>
      <c r="K69" s="637"/>
      <c r="L69" s="637"/>
      <c r="M69" s="637"/>
      <c r="N69" s="637"/>
      <c r="O69" s="637"/>
      <c r="P69" s="637"/>
      <c r="Q69" s="637"/>
      <c r="R69" s="637"/>
      <c r="S69" s="637"/>
      <c r="T69" s="637"/>
      <c r="U69" s="637"/>
      <c r="V69" s="637"/>
      <c r="W69" s="637"/>
      <c r="X69" s="637"/>
      <c r="Y69" s="637"/>
      <c r="Z69" s="637"/>
      <c r="AA69" s="637"/>
      <c r="AB69" s="637"/>
      <c r="AC69" s="637"/>
      <c r="AD69" s="637"/>
      <c r="AE69" s="637"/>
      <c r="AF69" s="637"/>
      <c r="AG69" s="637"/>
      <c r="AH69" s="637"/>
      <c r="AI69" s="637"/>
      <c r="AJ69" s="637"/>
      <c r="AK69" s="637"/>
      <c r="AL69" s="637"/>
      <c r="AM69" s="637"/>
      <c r="AN69" s="637"/>
      <c r="AO69" s="637"/>
      <c r="AP69" s="637"/>
      <c r="AQ69" s="637"/>
      <c r="AR69" s="637"/>
      <c r="AS69" s="637"/>
      <c r="AT69" s="637"/>
      <c r="AU69" s="637"/>
      <c r="AV69" s="637"/>
      <c r="AW69" s="637"/>
      <c r="AX69" s="637"/>
      <c r="AY69" s="637"/>
      <c r="AZ69" s="637"/>
      <c r="BA69" s="637"/>
      <c r="BB69" s="637"/>
      <c r="BC69" s="637"/>
      <c r="BD69" s="637"/>
      <c r="BE69" s="637"/>
      <c r="BF69" s="637"/>
      <c r="BG69" s="637"/>
      <c r="BH69" s="637"/>
      <c r="BI69" s="637"/>
      <c r="BJ69" s="637"/>
      <c r="BK69" s="637"/>
      <c r="BL69" s="637"/>
      <c r="BM69" s="637"/>
      <c r="BN69" s="637"/>
      <c r="BO69" s="637"/>
      <c r="BP69" s="637"/>
      <c r="BQ69" s="637"/>
      <c r="BR69" s="637"/>
      <c r="BS69" s="637"/>
      <c r="BT69" s="637"/>
      <c r="BU69" s="637"/>
      <c r="BV69" s="637"/>
      <c r="BW69" s="637"/>
      <c r="BX69" s="637"/>
      <c r="BY69" s="637"/>
      <c r="BZ69" s="637"/>
      <c r="CA69" s="637"/>
      <c r="CB69" s="637"/>
      <c r="CC69" s="637"/>
      <c r="CD69" s="637"/>
      <c r="CE69" s="637"/>
      <c r="CF69" s="637"/>
      <c r="CG69" s="637"/>
      <c r="CH69" s="637"/>
      <c r="CI69" s="637"/>
      <c r="CJ69" s="637"/>
      <c r="CK69" s="637"/>
      <c r="CL69" s="637"/>
      <c r="CM69" s="637"/>
      <c r="CN69" s="637"/>
      <c r="CO69" s="637"/>
      <c r="CP69" s="637"/>
      <c r="CQ69" s="637"/>
      <c r="CR69" s="637"/>
      <c r="CS69" s="637"/>
      <c r="CT69" s="637"/>
      <c r="CU69" s="637"/>
      <c r="CV69" s="637"/>
      <c r="CW69" s="637"/>
      <c r="CX69" s="637"/>
      <c r="CY69" s="637"/>
      <c r="CZ69" s="637"/>
      <c r="DA69" s="637"/>
      <c r="DB69" s="637"/>
      <c r="DC69" s="637"/>
      <c r="DD69" s="637"/>
      <c r="DE69" s="637"/>
      <c r="DF69" s="637"/>
      <c r="DG69" s="637"/>
      <c r="DH69" s="637"/>
      <c r="DI69" s="637"/>
      <c r="DJ69" s="637"/>
      <c r="DK69" s="637"/>
      <c r="DL69" s="637"/>
      <c r="DM69" s="637"/>
      <c r="DN69" s="637"/>
      <c r="DO69" s="637"/>
      <c r="DP69" s="637"/>
      <c r="DQ69" s="654"/>
      <c r="DR69" s="650"/>
      <c r="DS69" s="661"/>
      <c r="DT69" s="662"/>
      <c r="DU69" s="661"/>
      <c r="DV69" s="663"/>
      <c r="DW69" s="657">
        <f t="shared" si="3"/>
        <v>0</v>
      </c>
      <c r="DX69" s="660">
        <f t="shared" si="1"/>
        <v>44253</v>
      </c>
      <c r="DY69" s="659"/>
    </row>
    <row r="70" spans="1:129" ht="15.75" customHeight="1">
      <c r="A70" s="660">
        <v>44254</v>
      </c>
      <c r="B70" s="637"/>
      <c r="C70" s="637"/>
      <c r="D70" s="637"/>
      <c r="E70" s="637"/>
      <c r="F70" s="637"/>
      <c r="G70" s="637"/>
      <c r="H70" s="637"/>
      <c r="I70" s="637"/>
      <c r="J70" s="637"/>
      <c r="K70" s="637"/>
      <c r="L70" s="637"/>
      <c r="M70" s="637"/>
      <c r="N70" s="637"/>
      <c r="O70" s="637"/>
      <c r="P70" s="637"/>
      <c r="Q70" s="637"/>
      <c r="R70" s="637"/>
      <c r="S70" s="637"/>
      <c r="T70" s="637"/>
      <c r="U70" s="637"/>
      <c r="V70" s="637"/>
      <c r="W70" s="637"/>
      <c r="X70" s="637"/>
      <c r="Y70" s="637"/>
      <c r="Z70" s="637"/>
      <c r="AA70" s="637"/>
      <c r="AB70" s="637"/>
      <c r="AC70" s="637"/>
      <c r="AD70" s="637"/>
      <c r="AE70" s="637"/>
      <c r="AF70" s="637"/>
      <c r="AG70" s="637"/>
      <c r="AH70" s="637"/>
      <c r="AI70" s="637"/>
      <c r="AJ70" s="637"/>
      <c r="AK70" s="637"/>
      <c r="AL70" s="637"/>
      <c r="AM70" s="637"/>
      <c r="AN70" s="637"/>
      <c r="AO70" s="637"/>
      <c r="AP70" s="637"/>
      <c r="AQ70" s="637"/>
      <c r="AR70" s="637"/>
      <c r="AS70" s="637"/>
      <c r="AT70" s="637"/>
      <c r="AU70" s="637"/>
      <c r="AV70" s="637"/>
      <c r="AW70" s="637"/>
      <c r="AX70" s="637"/>
      <c r="AY70" s="637"/>
      <c r="AZ70" s="637"/>
      <c r="BA70" s="637"/>
      <c r="BB70" s="637"/>
      <c r="BC70" s="637"/>
      <c r="BD70" s="637"/>
      <c r="BE70" s="637"/>
      <c r="BF70" s="637"/>
      <c r="BG70" s="637"/>
      <c r="BH70" s="637"/>
      <c r="BI70" s="637"/>
      <c r="BJ70" s="637"/>
      <c r="BK70" s="637"/>
      <c r="BL70" s="637"/>
      <c r="BM70" s="637"/>
      <c r="BN70" s="637"/>
      <c r="BO70" s="637"/>
      <c r="BP70" s="637"/>
      <c r="BQ70" s="637"/>
      <c r="BR70" s="637"/>
      <c r="BS70" s="637"/>
      <c r="BT70" s="637"/>
      <c r="BU70" s="637"/>
      <c r="BV70" s="637"/>
      <c r="BW70" s="637"/>
      <c r="BX70" s="637"/>
      <c r="BY70" s="637"/>
      <c r="BZ70" s="637"/>
      <c r="CA70" s="637"/>
      <c r="CB70" s="637"/>
      <c r="CC70" s="637"/>
      <c r="CD70" s="637"/>
      <c r="CE70" s="637"/>
      <c r="CF70" s="637"/>
      <c r="CG70" s="637"/>
      <c r="CH70" s="637"/>
      <c r="CI70" s="637"/>
      <c r="CJ70" s="637"/>
      <c r="CK70" s="637"/>
      <c r="CL70" s="637"/>
      <c r="CM70" s="637"/>
      <c r="CN70" s="637"/>
      <c r="CO70" s="637"/>
      <c r="CP70" s="637"/>
      <c r="CQ70" s="637"/>
      <c r="CR70" s="637"/>
      <c r="CS70" s="637"/>
      <c r="CT70" s="637"/>
      <c r="CU70" s="637"/>
      <c r="CV70" s="637"/>
      <c r="CW70" s="637"/>
      <c r="CX70" s="637"/>
      <c r="CY70" s="637"/>
      <c r="CZ70" s="637"/>
      <c r="DA70" s="637"/>
      <c r="DB70" s="637"/>
      <c r="DC70" s="637"/>
      <c r="DD70" s="637"/>
      <c r="DE70" s="637"/>
      <c r="DF70" s="637"/>
      <c r="DG70" s="637"/>
      <c r="DH70" s="637"/>
      <c r="DI70" s="637"/>
      <c r="DJ70" s="637"/>
      <c r="DK70" s="637"/>
      <c r="DL70" s="637"/>
      <c r="DM70" s="637"/>
      <c r="DN70" s="637"/>
      <c r="DO70" s="637"/>
      <c r="DP70" s="637"/>
      <c r="DQ70" s="654"/>
      <c r="DR70" s="650"/>
      <c r="DS70" s="661"/>
      <c r="DT70" s="662"/>
      <c r="DU70" s="661"/>
      <c r="DV70" s="663"/>
      <c r="DW70" s="657">
        <f t="shared" si="3"/>
        <v>0</v>
      </c>
      <c r="DX70" s="660">
        <f t="shared" si="1"/>
        <v>44254</v>
      </c>
      <c r="DY70" s="659"/>
    </row>
    <row r="71" spans="1:129" ht="15.75" customHeight="1">
      <c r="A71" s="660">
        <v>44255</v>
      </c>
      <c r="B71" s="637"/>
      <c r="C71" s="637"/>
      <c r="D71" s="637"/>
      <c r="E71" s="637"/>
      <c r="F71" s="637"/>
      <c r="G71" s="637"/>
      <c r="H71" s="637"/>
      <c r="I71" s="637"/>
      <c r="J71" s="637"/>
      <c r="K71" s="637"/>
      <c r="L71" s="637"/>
      <c r="M71" s="637"/>
      <c r="N71" s="637"/>
      <c r="O71" s="637"/>
      <c r="P71" s="637"/>
      <c r="Q71" s="637"/>
      <c r="R71" s="637"/>
      <c r="S71" s="637"/>
      <c r="T71" s="637"/>
      <c r="U71" s="637"/>
      <c r="V71" s="637"/>
      <c r="W71" s="637"/>
      <c r="X71" s="637"/>
      <c r="Y71" s="637"/>
      <c r="Z71" s="637"/>
      <c r="AA71" s="637"/>
      <c r="AB71" s="637"/>
      <c r="AC71" s="637"/>
      <c r="AD71" s="637"/>
      <c r="AE71" s="637"/>
      <c r="AF71" s="637"/>
      <c r="AG71" s="637"/>
      <c r="AH71" s="637"/>
      <c r="AI71" s="637"/>
      <c r="AJ71" s="637"/>
      <c r="AK71" s="637"/>
      <c r="AL71" s="637"/>
      <c r="AM71" s="637"/>
      <c r="AN71" s="637"/>
      <c r="AO71" s="637"/>
      <c r="AP71" s="637"/>
      <c r="AQ71" s="637"/>
      <c r="AR71" s="637"/>
      <c r="AS71" s="637"/>
      <c r="AT71" s="637"/>
      <c r="AU71" s="637"/>
      <c r="AV71" s="637"/>
      <c r="AW71" s="637"/>
      <c r="AX71" s="637"/>
      <c r="AY71" s="637"/>
      <c r="AZ71" s="637"/>
      <c r="BA71" s="637"/>
      <c r="BB71" s="637"/>
      <c r="BC71" s="637"/>
      <c r="BD71" s="637"/>
      <c r="BE71" s="637"/>
      <c r="BF71" s="637"/>
      <c r="BG71" s="637"/>
      <c r="BH71" s="637"/>
      <c r="BI71" s="637"/>
      <c r="BJ71" s="637"/>
      <c r="BK71" s="637"/>
      <c r="BL71" s="637"/>
      <c r="BM71" s="637"/>
      <c r="BN71" s="637"/>
      <c r="BO71" s="637"/>
      <c r="BP71" s="637"/>
      <c r="BQ71" s="637"/>
      <c r="BR71" s="637"/>
      <c r="BS71" s="637"/>
      <c r="BT71" s="637"/>
      <c r="BU71" s="637"/>
      <c r="BV71" s="637"/>
      <c r="BW71" s="637"/>
      <c r="BX71" s="637"/>
      <c r="BY71" s="637"/>
      <c r="BZ71" s="637"/>
      <c r="CA71" s="637"/>
      <c r="CB71" s="637"/>
      <c r="CC71" s="637"/>
      <c r="CD71" s="637"/>
      <c r="CE71" s="637"/>
      <c r="CF71" s="637"/>
      <c r="CG71" s="637"/>
      <c r="CH71" s="637"/>
      <c r="CI71" s="637"/>
      <c r="CJ71" s="637"/>
      <c r="CK71" s="637"/>
      <c r="CL71" s="637"/>
      <c r="CM71" s="637"/>
      <c r="CN71" s="637"/>
      <c r="CO71" s="637"/>
      <c r="CP71" s="637"/>
      <c r="CQ71" s="637"/>
      <c r="CR71" s="637"/>
      <c r="CS71" s="637"/>
      <c r="CT71" s="637"/>
      <c r="CU71" s="637"/>
      <c r="CV71" s="637"/>
      <c r="CW71" s="637"/>
      <c r="CX71" s="637"/>
      <c r="CY71" s="637"/>
      <c r="CZ71" s="637"/>
      <c r="DA71" s="637"/>
      <c r="DB71" s="637"/>
      <c r="DC71" s="637"/>
      <c r="DD71" s="637"/>
      <c r="DE71" s="637"/>
      <c r="DF71" s="637"/>
      <c r="DG71" s="637"/>
      <c r="DH71" s="637"/>
      <c r="DI71" s="637"/>
      <c r="DJ71" s="637"/>
      <c r="DK71" s="637"/>
      <c r="DL71" s="637"/>
      <c r="DM71" s="637"/>
      <c r="DN71" s="637"/>
      <c r="DO71" s="637"/>
      <c r="DP71" s="637"/>
      <c r="DQ71" s="654"/>
      <c r="DR71" s="650"/>
      <c r="DS71" s="661"/>
      <c r="DT71" s="662"/>
      <c r="DU71" s="661"/>
      <c r="DV71" s="663"/>
      <c r="DW71" s="657">
        <f t="shared" si="3"/>
        <v>0</v>
      </c>
      <c r="DX71" s="660">
        <f t="shared" si="1"/>
        <v>44255</v>
      </c>
      <c r="DY71" s="659"/>
    </row>
    <row r="72" spans="1:129" ht="15.75" customHeight="1">
      <c r="A72" s="660">
        <v>44256</v>
      </c>
      <c r="B72" s="637"/>
      <c r="C72" s="637"/>
      <c r="D72" s="637"/>
      <c r="E72" s="637"/>
      <c r="F72" s="637"/>
      <c r="G72" s="637"/>
      <c r="H72" s="637"/>
      <c r="I72" s="637"/>
      <c r="J72" s="637"/>
      <c r="K72" s="637"/>
      <c r="L72" s="637"/>
      <c r="M72" s="637"/>
      <c r="N72" s="637"/>
      <c r="O72" s="637"/>
      <c r="P72" s="637"/>
      <c r="Q72" s="637"/>
      <c r="R72" s="637"/>
      <c r="S72" s="637"/>
      <c r="T72" s="637"/>
      <c r="U72" s="637"/>
      <c r="V72" s="637"/>
      <c r="W72" s="637"/>
      <c r="X72" s="637"/>
      <c r="Y72" s="637"/>
      <c r="Z72" s="637"/>
      <c r="AA72" s="637"/>
      <c r="AB72" s="637"/>
      <c r="AC72" s="637"/>
      <c r="AD72" s="637"/>
      <c r="AE72" s="637"/>
      <c r="AF72" s="637"/>
      <c r="AG72" s="637"/>
      <c r="AH72" s="637"/>
      <c r="AI72" s="637"/>
      <c r="AJ72" s="637"/>
      <c r="AK72" s="637"/>
      <c r="AL72" s="637"/>
      <c r="AM72" s="637"/>
      <c r="AN72" s="637"/>
      <c r="AO72" s="637"/>
      <c r="AP72" s="637"/>
      <c r="AQ72" s="637"/>
      <c r="AR72" s="637"/>
      <c r="AS72" s="637"/>
      <c r="AT72" s="637"/>
      <c r="AU72" s="637"/>
      <c r="AV72" s="637"/>
      <c r="AW72" s="637"/>
      <c r="AX72" s="637"/>
      <c r="AY72" s="637"/>
      <c r="AZ72" s="637"/>
      <c r="BA72" s="637"/>
      <c r="BB72" s="637"/>
      <c r="BC72" s="637"/>
      <c r="BD72" s="637"/>
      <c r="BE72" s="637"/>
      <c r="BF72" s="637"/>
      <c r="BG72" s="637"/>
      <c r="BH72" s="637"/>
      <c r="BI72" s="637"/>
      <c r="BJ72" s="637"/>
      <c r="BK72" s="637"/>
      <c r="BL72" s="637"/>
      <c r="BM72" s="637"/>
      <c r="BN72" s="637"/>
      <c r="BO72" s="637"/>
      <c r="BP72" s="637"/>
      <c r="BQ72" s="637"/>
      <c r="BR72" s="637"/>
      <c r="BS72" s="637"/>
      <c r="BT72" s="637"/>
      <c r="BU72" s="637"/>
      <c r="BV72" s="637"/>
      <c r="BW72" s="637"/>
      <c r="BX72" s="637"/>
      <c r="BY72" s="637"/>
      <c r="BZ72" s="637"/>
      <c r="CA72" s="637"/>
      <c r="CB72" s="637"/>
      <c r="CC72" s="637"/>
      <c r="CD72" s="637"/>
      <c r="CE72" s="637"/>
      <c r="CF72" s="637"/>
      <c r="CG72" s="637"/>
      <c r="CH72" s="637"/>
      <c r="CI72" s="637"/>
      <c r="CJ72" s="637"/>
      <c r="CK72" s="637"/>
      <c r="CL72" s="637"/>
      <c r="CM72" s="637"/>
      <c r="CN72" s="637"/>
      <c r="CO72" s="637"/>
      <c r="CP72" s="637"/>
      <c r="CQ72" s="637"/>
      <c r="CR72" s="637"/>
      <c r="CS72" s="637"/>
      <c r="CT72" s="637"/>
      <c r="CU72" s="637"/>
      <c r="CV72" s="637"/>
      <c r="CW72" s="637"/>
      <c r="CX72" s="637"/>
      <c r="CY72" s="637"/>
      <c r="CZ72" s="637"/>
      <c r="DA72" s="637"/>
      <c r="DB72" s="637"/>
      <c r="DC72" s="637"/>
      <c r="DD72" s="637"/>
      <c r="DE72" s="637"/>
      <c r="DF72" s="637"/>
      <c r="DG72" s="637"/>
      <c r="DH72" s="637"/>
      <c r="DI72" s="637"/>
      <c r="DJ72" s="637"/>
      <c r="DK72" s="637"/>
      <c r="DL72" s="637"/>
      <c r="DM72" s="637"/>
      <c r="DN72" s="637"/>
      <c r="DO72" s="637"/>
      <c r="DP72" s="637"/>
      <c r="DQ72" s="654"/>
      <c r="DR72" s="650"/>
      <c r="DS72" s="661"/>
      <c r="DT72" s="662"/>
      <c r="DU72" s="661"/>
      <c r="DV72" s="663"/>
      <c r="DW72" s="657">
        <f t="shared" si="3"/>
        <v>0</v>
      </c>
      <c r="DX72" s="660">
        <f t="shared" si="1"/>
        <v>44256</v>
      </c>
      <c r="DY72" s="659"/>
    </row>
    <row r="73" spans="1:129" ht="15.75" customHeight="1">
      <c r="A73" s="660">
        <v>44257</v>
      </c>
      <c r="B73" s="637"/>
      <c r="C73" s="637"/>
      <c r="D73" s="637"/>
      <c r="E73" s="637"/>
      <c r="F73" s="637"/>
      <c r="G73" s="637"/>
      <c r="H73" s="637"/>
      <c r="I73" s="637"/>
      <c r="J73" s="637"/>
      <c r="K73" s="637"/>
      <c r="L73" s="637"/>
      <c r="M73" s="637"/>
      <c r="N73" s="637"/>
      <c r="O73" s="637"/>
      <c r="P73" s="637"/>
      <c r="Q73" s="637"/>
      <c r="R73" s="637"/>
      <c r="S73" s="637"/>
      <c r="T73" s="637"/>
      <c r="U73" s="637"/>
      <c r="V73" s="637"/>
      <c r="W73" s="637"/>
      <c r="X73" s="637"/>
      <c r="Y73" s="637"/>
      <c r="Z73" s="637"/>
      <c r="AA73" s="637"/>
      <c r="AB73" s="637"/>
      <c r="AC73" s="637"/>
      <c r="AD73" s="637"/>
      <c r="AE73" s="637"/>
      <c r="AF73" s="637"/>
      <c r="AG73" s="637"/>
      <c r="AH73" s="637"/>
      <c r="AI73" s="637"/>
      <c r="AJ73" s="637"/>
      <c r="AK73" s="637"/>
      <c r="AL73" s="637"/>
      <c r="AM73" s="637"/>
      <c r="AN73" s="637"/>
      <c r="AO73" s="637"/>
      <c r="AP73" s="637"/>
      <c r="AQ73" s="637"/>
      <c r="AR73" s="637"/>
      <c r="AS73" s="637"/>
      <c r="AT73" s="637"/>
      <c r="AU73" s="637"/>
      <c r="AV73" s="637"/>
      <c r="AW73" s="637"/>
      <c r="AX73" s="637"/>
      <c r="AY73" s="637"/>
      <c r="AZ73" s="637"/>
      <c r="BA73" s="637"/>
      <c r="BB73" s="637"/>
      <c r="BC73" s="637"/>
      <c r="BD73" s="637"/>
      <c r="BE73" s="637"/>
      <c r="BF73" s="637"/>
      <c r="BG73" s="637"/>
      <c r="BH73" s="637"/>
      <c r="BI73" s="637"/>
      <c r="BJ73" s="637"/>
      <c r="BK73" s="637"/>
      <c r="BL73" s="637"/>
      <c r="BM73" s="637"/>
      <c r="BN73" s="637"/>
      <c r="BO73" s="637"/>
      <c r="BP73" s="637"/>
      <c r="BQ73" s="637"/>
      <c r="BR73" s="637"/>
      <c r="BS73" s="637"/>
      <c r="BT73" s="637"/>
      <c r="BU73" s="637"/>
      <c r="BV73" s="637"/>
      <c r="BW73" s="637"/>
      <c r="BX73" s="637"/>
      <c r="BY73" s="637"/>
      <c r="BZ73" s="637"/>
      <c r="CA73" s="637"/>
      <c r="CB73" s="637"/>
      <c r="CC73" s="637"/>
      <c r="CD73" s="637"/>
      <c r="CE73" s="637"/>
      <c r="CF73" s="637"/>
      <c r="CG73" s="637"/>
      <c r="CH73" s="637"/>
      <c r="CI73" s="637"/>
      <c r="CJ73" s="637"/>
      <c r="CK73" s="637"/>
      <c r="CL73" s="637"/>
      <c r="CM73" s="637"/>
      <c r="CN73" s="637"/>
      <c r="CO73" s="637"/>
      <c r="CP73" s="637"/>
      <c r="CQ73" s="637"/>
      <c r="CR73" s="637"/>
      <c r="CS73" s="637"/>
      <c r="CT73" s="637"/>
      <c r="CU73" s="637"/>
      <c r="CV73" s="637"/>
      <c r="CW73" s="637"/>
      <c r="CX73" s="637"/>
      <c r="CY73" s="637"/>
      <c r="CZ73" s="637"/>
      <c r="DA73" s="637"/>
      <c r="DB73" s="637"/>
      <c r="DC73" s="637"/>
      <c r="DD73" s="637"/>
      <c r="DE73" s="637"/>
      <c r="DF73" s="637"/>
      <c r="DG73" s="637"/>
      <c r="DH73" s="637"/>
      <c r="DI73" s="637"/>
      <c r="DJ73" s="637"/>
      <c r="DK73" s="637"/>
      <c r="DL73" s="637"/>
      <c r="DM73" s="637"/>
      <c r="DN73" s="637"/>
      <c r="DO73" s="637"/>
      <c r="DP73" s="637"/>
      <c r="DQ73" s="654"/>
      <c r="DR73" s="650"/>
      <c r="DS73" s="661"/>
      <c r="DT73" s="662"/>
      <c r="DU73" s="661"/>
      <c r="DV73" s="663"/>
      <c r="DW73" s="657">
        <f t="shared" si="3"/>
        <v>0</v>
      </c>
      <c r="DX73" s="660">
        <f t="shared" ref="DX73:DX79" si="4">A73</f>
        <v>44257</v>
      </c>
      <c r="DY73" s="659"/>
    </row>
    <row r="74" spans="1:129" ht="15.75" customHeight="1">
      <c r="A74" s="660">
        <v>44258</v>
      </c>
      <c r="B74" s="637"/>
      <c r="C74" s="637"/>
      <c r="D74" s="637"/>
      <c r="E74" s="637"/>
      <c r="F74" s="637"/>
      <c r="G74" s="637"/>
      <c r="H74" s="637"/>
      <c r="I74" s="637"/>
      <c r="J74" s="637"/>
      <c r="K74" s="637"/>
      <c r="L74" s="637"/>
      <c r="M74" s="637"/>
      <c r="N74" s="637"/>
      <c r="O74" s="637"/>
      <c r="P74" s="637"/>
      <c r="Q74" s="637"/>
      <c r="R74" s="637"/>
      <c r="S74" s="637"/>
      <c r="T74" s="637"/>
      <c r="U74" s="637"/>
      <c r="V74" s="637"/>
      <c r="W74" s="637"/>
      <c r="X74" s="637"/>
      <c r="Y74" s="637"/>
      <c r="Z74" s="637"/>
      <c r="AA74" s="637"/>
      <c r="AB74" s="637"/>
      <c r="AC74" s="637"/>
      <c r="AD74" s="637"/>
      <c r="AE74" s="637"/>
      <c r="AF74" s="637"/>
      <c r="AG74" s="637"/>
      <c r="AH74" s="637"/>
      <c r="AI74" s="637"/>
      <c r="AJ74" s="637"/>
      <c r="AK74" s="637"/>
      <c r="AL74" s="637"/>
      <c r="AM74" s="637"/>
      <c r="AN74" s="637"/>
      <c r="AO74" s="637"/>
      <c r="AP74" s="637"/>
      <c r="AQ74" s="637"/>
      <c r="AR74" s="637"/>
      <c r="AS74" s="637"/>
      <c r="AT74" s="637"/>
      <c r="AU74" s="637"/>
      <c r="AV74" s="637"/>
      <c r="AW74" s="637"/>
      <c r="AX74" s="637"/>
      <c r="AY74" s="637"/>
      <c r="AZ74" s="637"/>
      <c r="BA74" s="637"/>
      <c r="BB74" s="637"/>
      <c r="BC74" s="637"/>
      <c r="BD74" s="637"/>
      <c r="BE74" s="637"/>
      <c r="BF74" s="637"/>
      <c r="BG74" s="637"/>
      <c r="BH74" s="637"/>
      <c r="BI74" s="637"/>
      <c r="BJ74" s="637"/>
      <c r="BK74" s="637"/>
      <c r="BL74" s="637"/>
      <c r="BM74" s="637"/>
      <c r="BN74" s="637"/>
      <c r="BO74" s="637"/>
      <c r="BP74" s="637"/>
      <c r="BQ74" s="637"/>
      <c r="BR74" s="637"/>
      <c r="BS74" s="637"/>
      <c r="BT74" s="637"/>
      <c r="BU74" s="637"/>
      <c r="BV74" s="637"/>
      <c r="BW74" s="637"/>
      <c r="BX74" s="637"/>
      <c r="BY74" s="637"/>
      <c r="BZ74" s="637"/>
      <c r="CA74" s="637"/>
      <c r="CB74" s="637"/>
      <c r="CC74" s="637"/>
      <c r="CD74" s="637"/>
      <c r="CE74" s="637"/>
      <c r="CF74" s="637"/>
      <c r="CG74" s="637"/>
      <c r="CH74" s="637"/>
      <c r="CI74" s="637"/>
      <c r="CJ74" s="637"/>
      <c r="CK74" s="637"/>
      <c r="CL74" s="637"/>
      <c r="CM74" s="637"/>
      <c r="CN74" s="637"/>
      <c r="CO74" s="637"/>
      <c r="CP74" s="637"/>
      <c r="CQ74" s="637"/>
      <c r="CR74" s="637"/>
      <c r="CS74" s="637"/>
      <c r="CT74" s="637"/>
      <c r="CU74" s="637"/>
      <c r="CV74" s="637"/>
      <c r="CW74" s="637"/>
      <c r="CX74" s="637"/>
      <c r="CY74" s="637"/>
      <c r="CZ74" s="637"/>
      <c r="DA74" s="637"/>
      <c r="DB74" s="637"/>
      <c r="DC74" s="637"/>
      <c r="DD74" s="637"/>
      <c r="DE74" s="637"/>
      <c r="DF74" s="637"/>
      <c r="DG74" s="637"/>
      <c r="DH74" s="637"/>
      <c r="DI74" s="637"/>
      <c r="DJ74" s="637"/>
      <c r="DK74" s="637"/>
      <c r="DL74" s="637"/>
      <c r="DM74" s="637"/>
      <c r="DN74" s="637"/>
      <c r="DO74" s="637"/>
      <c r="DP74" s="637"/>
      <c r="DQ74" s="654"/>
      <c r="DR74" s="650"/>
      <c r="DS74" s="661"/>
      <c r="DT74" s="662"/>
      <c r="DU74" s="661"/>
      <c r="DV74" s="663"/>
      <c r="DW74" s="657">
        <f t="shared" si="3"/>
        <v>0</v>
      </c>
      <c r="DX74" s="660">
        <f t="shared" si="4"/>
        <v>44258</v>
      </c>
      <c r="DY74" s="659"/>
    </row>
    <row r="75" spans="1:129" ht="15.75" customHeight="1">
      <c r="A75" s="660">
        <v>44259</v>
      </c>
      <c r="B75" s="637"/>
      <c r="C75" s="637"/>
      <c r="D75" s="637"/>
      <c r="E75" s="637"/>
      <c r="F75" s="637"/>
      <c r="G75" s="637"/>
      <c r="H75" s="637"/>
      <c r="I75" s="637"/>
      <c r="J75" s="637"/>
      <c r="K75" s="637"/>
      <c r="L75" s="637"/>
      <c r="M75" s="637"/>
      <c r="N75" s="637"/>
      <c r="O75" s="637"/>
      <c r="P75" s="637"/>
      <c r="Q75" s="637"/>
      <c r="R75" s="637"/>
      <c r="S75" s="637"/>
      <c r="T75" s="637"/>
      <c r="U75" s="637"/>
      <c r="V75" s="637"/>
      <c r="W75" s="637"/>
      <c r="X75" s="637"/>
      <c r="Y75" s="637"/>
      <c r="Z75" s="637"/>
      <c r="AA75" s="637"/>
      <c r="AB75" s="637"/>
      <c r="AC75" s="637"/>
      <c r="AD75" s="637"/>
      <c r="AE75" s="637"/>
      <c r="AF75" s="637"/>
      <c r="AG75" s="637"/>
      <c r="AH75" s="637"/>
      <c r="AI75" s="637"/>
      <c r="AJ75" s="637"/>
      <c r="AK75" s="637"/>
      <c r="AL75" s="637"/>
      <c r="AM75" s="637"/>
      <c r="AN75" s="637"/>
      <c r="AO75" s="637"/>
      <c r="AP75" s="637"/>
      <c r="AQ75" s="637"/>
      <c r="AR75" s="637"/>
      <c r="AS75" s="637"/>
      <c r="AT75" s="637"/>
      <c r="AU75" s="637"/>
      <c r="AV75" s="637"/>
      <c r="AW75" s="637"/>
      <c r="AX75" s="637"/>
      <c r="AY75" s="637"/>
      <c r="AZ75" s="637"/>
      <c r="BA75" s="637"/>
      <c r="BB75" s="637"/>
      <c r="BC75" s="637"/>
      <c r="BD75" s="637"/>
      <c r="BE75" s="637"/>
      <c r="BF75" s="637"/>
      <c r="BG75" s="637"/>
      <c r="BH75" s="637"/>
      <c r="BI75" s="637"/>
      <c r="BJ75" s="637"/>
      <c r="BK75" s="637"/>
      <c r="BL75" s="637"/>
      <c r="BM75" s="637"/>
      <c r="BN75" s="637"/>
      <c r="BO75" s="637"/>
      <c r="BP75" s="637"/>
      <c r="BQ75" s="637"/>
      <c r="BR75" s="637"/>
      <c r="BS75" s="637"/>
      <c r="BT75" s="637"/>
      <c r="BU75" s="637"/>
      <c r="BV75" s="637"/>
      <c r="BW75" s="637"/>
      <c r="BX75" s="637"/>
      <c r="BY75" s="637"/>
      <c r="BZ75" s="637"/>
      <c r="CA75" s="637"/>
      <c r="CB75" s="637"/>
      <c r="CC75" s="637"/>
      <c r="CD75" s="637"/>
      <c r="CE75" s="637"/>
      <c r="CF75" s="637"/>
      <c r="CG75" s="637"/>
      <c r="CH75" s="637"/>
      <c r="CI75" s="637"/>
      <c r="CJ75" s="637"/>
      <c r="CK75" s="637"/>
      <c r="CL75" s="637"/>
      <c r="CM75" s="637"/>
      <c r="CN75" s="637"/>
      <c r="CO75" s="637"/>
      <c r="CP75" s="637"/>
      <c r="CQ75" s="637"/>
      <c r="CR75" s="637"/>
      <c r="CS75" s="637"/>
      <c r="CT75" s="637"/>
      <c r="CU75" s="637"/>
      <c r="CV75" s="637"/>
      <c r="CW75" s="637"/>
      <c r="CX75" s="637"/>
      <c r="CY75" s="637"/>
      <c r="CZ75" s="637"/>
      <c r="DA75" s="637"/>
      <c r="DB75" s="637"/>
      <c r="DC75" s="637"/>
      <c r="DD75" s="637"/>
      <c r="DE75" s="637"/>
      <c r="DF75" s="637"/>
      <c r="DG75" s="637"/>
      <c r="DH75" s="637"/>
      <c r="DI75" s="637"/>
      <c r="DJ75" s="637"/>
      <c r="DK75" s="637"/>
      <c r="DL75" s="637"/>
      <c r="DM75" s="637"/>
      <c r="DN75" s="637"/>
      <c r="DO75" s="637"/>
      <c r="DP75" s="637"/>
      <c r="DQ75" s="654"/>
      <c r="DR75" s="650"/>
      <c r="DS75" s="661"/>
      <c r="DT75" s="662"/>
      <c r="DU75" s="661"/>
      <c r="DV75" s="663"/>
      <c r="DW75" s="657">
        <f t="shared" si="3"/>
        <v>0</v>
      </c>
      <c r="DX75" s="660">
        <f t="shared" si="4"/>
        <v>44259</v>
      </c>
      <c r="DY75" s="659"/>
    </row>
    <row r="76" spans="1:129" ht="15.75" customHeight="1">
      <c r="A76" s="660">
        <v>44260</v>
      </c>
      <c r="B76" s="637"/>
      <c r="C76" s="637"/>
      <c r="D76" s="637"/>
      <c r="E76" s="637"/>
      <c r="F76" s="637"/>
      <c r="G76" s="637"/>
      <c r="H76" s="637"/>
      <c r="I76" s="637"/>
      <c r="J76" s="637"/>
      <c r="K76" s="637"/>
      <c r="L76" s="637"/>
      <c r="M76" s="637"/>
      <c r="N76" s="637"/>
      <c r="O76" s="637"/>
      <c r="P76" s="637"/>
      <c r="Q76" s="637"/>
      <c r="R76" s="637"/>
      <c r="S76" s="637"/>
      <c r="T76" s="637"/>
      <c r="U76" s="637"/>
      <c r="V76" s="637"/>
      <c r="W76" s="637"/>
      <c r="X76" s="637"/>
      <c r="Y76" s="637"/>
      <c r="Z76" s="637"/>
      <c r="AA76" s="637"/>
      <c r="AB76" s="637"/>
      <c r="AC76" s="637"/>
      <c r="AD76" s="637"/>
      <c r="AE76" s="637"/>
      <c r="AF76" s="637"/>
      <c r="AG76" s="637"/>
      <c r="AH76" s="637"/>
      <c r="AI76" s="637"/>
      <c r="AJ76" s="637"/>
      <c r="AK76" s="637"/>
      <c r="AL76" s="637"/>
      <c r="AM76" s="637"/>
      <c r="AN76" s="637"/>
      <c r="AO76" s="637"/>
      <c r="AP76" s="637"/>
      <c r="AQ76" s="637"/>
      <c r="AR76" s="637"/>
      <c r="AS76" s="637"/>
      <c r="AT76" s="637"/>
      <c r="AU76" s="637"/>
      <c r="AV76" s="637"/>
      <c r="AW76" s="637"/>
      <c r="AX76" s="637"/>
      <c r="AY76" s="637"/>
      <c r="AZ76" s="637"/>
      <c r="BA76" s="637"/>
      <c r="BB76" s="637"/>
      <c r="BC76" s="637"/>
      <c r="BD76" s="637"/>
      <c r="BE76" s="637"/>
      <c r="BF76" s="637"/>
      <c r="BG76" s="637"/>
      <c r="BH76" s="637"/>
      <c r="BI76" s="637"/>
      <c r="BJ76" s="637"/>
      <c r="BK76" s="637"/>
      <c r="BL76" s="637"/>
      <c r="BM76" s="637"/>
      <c r="BN76" s="637"/>
      <c r="BO76" s="637"/>
      <c r="BP76" s="637"/>
      <c r="BQ76" s="637"/>
      <c r="BR76" s="637"/>
      <c r="BS76" s="637"/>
      <c r="BT76" s="637"/>
      <c r="BU76" s="637"/>
      <c r="BV76" s="637"/>
      <c r="BW76" s="637"/>
      <c r="BX76" s="637"/>
      <c r="BY76" s="637"/>
      <c r="BZ76" s="637"/>
      <c r="CA76" s="637"/>
      <c r="CB76" s="637"/>
      <c r="CC76" s="637"/>
      <c r="CD76" s="637"/>
      <c r="CE76" s="637"/>
      <c r="CF76" s="637"/>
      <c r="CG76" s="637"/>
      <c r="CH76" s="637"/>
      <c r="CI76" s="637"/>
      <c r="CJ76" s="637"/>
      <c r="CK76" s="637"/>
      <c r="CL76" s="637"/>
      <c r="CM76" s="637"/>
      <c r="CN76" s="637"/>
      <c r="CO76" s="637"/>
      <c r="CP76" s="637"/>
      <c r="CQ76" s="637"/>
      <c r="CR76" s="637"/>
      <c r="CS76" s="637"/>
      <c r="CT76" s="637"/>
      <c r="CU76" s="637"/>
      <c r="CV76" s="637"/>
      <c r="CW76" s="637"/>
      <c r="CX76" s="637"/>
      <c r="CY76" s="637"/>
      <c r="CZ76" s="637"/>
      <c r="DA76" s="637"/>
      <c r="DB76" s="637"/>
      <c r="DC76" s="637"/>
      <c r="DD76" s="637"/>
      <c r="DE76" s="637"/>
      <c r="DF76" s="637"/>
      <c r="DG76" s="637"/>
      <c r="DH76" s="637"/>
      <c r="DI76" s="637"/>
      <c r="DJ76" s="637"/>
      <c r="DK76" s="637"/>
      <c r="DL76" s="637"/>
      <c r="DM76" s="637"/>
      <c r="DN76" s="637"/>
      <c r="DO76" s="637"/>
      <c r="DP76" s="637"/>
      <c r="DQ76" s="654"/>
      <c r="DR76" s="650"/>
      <c r="DS76" s="661"/>
      <c r="DT76" s="662"/>
      <c r="DU76" s="661"/>
      <c r="DV76" s="663"/>
      <c r="DW76" s="657">
        <f t="shared" si="3"/>
        <v>0</v>
      </c>
      <c r="DX76" s="660">
        <f t="shared" si="4"/>
        <v>44260</v>
      </c>
      <c r="DY76" s="659"/>
    </row>
    <row r="77" spans="1:129" ht="15.75" customHeight="1">
      <c r="A77" s="660">
        <v>44261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  <c r="AI77" s="637"/>
      <c r="AJ77" s="637"/>
      <c r="AK77" s="637"/>
      <c r="AL77" s="637"/>
      <c r="AM77" s="637"/>
      <c r="AN77" s="637"/>
      <c r="AO77" s="637"/>
      <c r="AP77" s="637"/>
      <c r="AQ77" s="637"/>
      <c r="AR77" s="637"/>
      <c r="AS77" s="637"/>
      <c r="AT77" s="637"/>
      <c r="AU77" s="637"/>
      <c r="AV77" s="637"/>
      <c r="AW77" s="637"/>
      <c r="AX77" s="637"/>
      <c r="AY77" s="637"/>
      <c r="AZ77" s="637"/>
      <c r="BA77" s="637"/>
      <c r="BB77" s="637"/>
      <c r="BC77" s="637"/>
      <c r="BD77" s="637"/>
      <c r="BE77" s="637"/>
      <c r="BF77" s="637"/>
      <c r="BG77" s="637"/>
      <c r="BH77" s="637"/>
      <c r="BI77" s="637"/>
      <c r="BJ77" s="637"/>
      <c r="BK77" s="637"/>
      <c r="BL77" s="637"/>
      <c r="BM77" s="637"/>
      <c r="BN77" s="637"/>
      <c r="BO77" s="637"/>
      <c r="BP77" s="637"/>
      <c r="BQ77" s="637"/>
      <c r="BR77" s="637"/>
      <c r="BS77" s="637"/>
      <c r="BT77" s="637"/>
      <c r="BU77" s="637"/>
      <c r="BV77" s="637"/>
      <c r="BW77" s="637"/>
      <c r="BX77" s="637"/>
      <c r="BY77" s="637"/>
      <c r="BZ77" s="637"/>
      <c r="CA77" s="637"/>
      <c r="CB77" s="637"/>
      <c r="CC77" s="637"/>
      <c r="CD77" s="637"/>
      <c r="CE77" s="637"/>
      <c r="CF77" s="637"/>
      <c r="CG77" s="637"/>
      <c r="CH77" s="637"/>
      <c r="CI77" s="637"/>
      <c r="CJ77" s="637"/>
      <c r="CK77" s="637"/>
      <c r="CL77" s="637"/>
      <c r="CM77" s="637"/>
      <c r="CN77" s="637"/>
      <c r="CO77" s="637"/>
      <c r="CP77" s="637"/>
      <c r="CQ77" s="637"/>
      <c r="CR77" s="637"/>
      <c r="CS77" s="637"/>
      <c r="CT77" s="637"/>
      <c r="CU77" s="637"/>
      <c r="CV77" s="637"/>
      <c r="CW77" s="637"/>
      <c r="CX77" s="637"/>
      <c r="CY77" s="637"/>
      <c r="CZ77" s="637"/>
      <c r="DA77" s="637"/>
      <c r="DB77" s="637"/>
      <c r="DC77" s="637"/>
      <c r="DD77" s="637"/>
      <c r="DE77" s="637"/>
      <c r="DF77" s="637"/>
      <c r="DG77" s="637"/>
      <c r="DH77" s="637"/>
      <c r="DI77" s="637"/>
      <c r="DJ77" s="637"/>
      <c r="DK77" s="637"/>
      <c r="DL77" s="637"/>
      <c r="DM77" s="637"/>
      <c r="DN77" s="637"/>
      <c r="DO77" s="637"/>
      <c r="DP77" s="637"/>
      <c r="DQ77" s="654"/>
      <c r="DR77" s="650"/>
      <c r="DS77" s="661"/>
      <c r="DT77" s="662"/>
      <c r="DU77" s="661"/>
      <c r="DV77" s="663"/>
      <c r="DW77" s="657">
        <f t="shared" si="3"/>
        <v>0</v>
      </c>
      <c r="DX77" s="660">
        <f t="shared" si="4"/>
        <v>44261</v>
      </c>
      <c r="DY77" s="659"/>
    </row>
    <row r="78" spans="1:129" ht="15.75" customHeight="1">
      <c r="A78" s="660">
        <v>44262</v>
      </c>
      <c r="B78" s="637"/>
      <c r="C78" s="637"/>
      <c r="D78" s="637"/>
      <c r="E78" s="637"/>
      <c r="F78" s="637"/>
      <c r="G78" s="637"/>
      <c r="H78" s="637"/>
      <c r="I78" s="637"/>
      <c r="J78" s="637"/>
      <c r="K78" s="637"/>
      <c r="L78" s="637"/>
      <c r="M78" s="637"/>
      <c r="N78" s="637"/>
      <c r="O78" s="637"/>
      <c r="P78" s="637"/>
      <c r="Q78" s="637"/>
      <c r="R78" s="637"/>
      <c r="S78" s="637"/>
      <c r="T78" s="637"/>
      <c r="U78" s="637"/>
      <c r="V78" s="637"/>
      <c r="W78" s="637"/>
      <c r="X78" s="637"/>
      <c r="Y78" s="637"/>
      <c r="Z78" s="637"/>
      <c r="AA78" s="637"/>
      <c r="AB78" s="637"/>
      <c r="AC78" s="637"/>
      <c r="AD78" s="637"/>
      <c r="AE78" s="637"/>
      <c r="AF78" s="637"/>
      <c r="AG78" s="637"/>
      <c r="AH78" s="637"/>
      <c r="AI78" s="637"/>
      <c r="AJ78" s="637"/>
      <c r="AK78" s="637"/>
      <c r="AL78" s="637"/>
      <c r="AM78" s="637"/>
      <c r="AN78" s="637"/>
      <c r="AO78" s="637"/>
      <c r="AP78" s="637"/>
      <c r="AQ78" s="637"/>
      <c r="AR78" s="637"/>
      <c r="AS78" s="637"/>
      <c r="AT78" s="637"/>
      <c r="AU78" s="637"/>
      <c r="AV78" s="637"/>
      <c r="AW78" s="637"/>
      <c r="AX78" s="637"/>
      <c r="AY78" s="637"/>
      <c r="AZ78" s="637"/>
      <c r="BA78" s="637"/>
      <c r="BB78" s="637"/>
      <c r="BC78" s="637"/>
      <c r="BD78" s="637"/>
      <c r="BE78" s="637"/>
      <c r="BF78" s="637"/>
      <c r="BG78" s="637"/>
      <c r="BH78" s="637"/>
      <c r="BI78" s="637"/>
      <c r="BJ78" s="637"/>
      <c r="BK78" s="637"/>
      <c r="BL78" s="637"/>
      <c r="BM78" s="637"/>
      <c r="BN78" s="637"/>
      <c r="BO78" s="637"/>
      <c r="BP78" s="637"/>
      <c r="BQ78" s="637"/>
      <c r="BR78" s="637"/>
      <c r="BS78" s="637"/>
      <c r="BT78" s="637"/>
      <c r="BU78" s="637"/>
      <c r="BV78" s="637"/>
      <c r="BW78" s="637"/>
      <c r="BX78" s="637"/>
      <c r="BY78" s="637"/>
      <c r="BZ78" s="637"/>
      <c r="CA78" s="637"/>
      <c r="CB78" s="637"/>
      <c r="CC78" s="637"/>
      <c r="CD78" s="637"/>
      <c r="CE78" s="637"/>
      <c r="CF78" s="637"/>
      <c r="CG78" s="637"/>
      <c r="CH78" s="637"/>
      <c r="CI78" s="637"/>
      <c r="CJ78" s="637"/>
      <c r="CK78" s="637"/>
      <c r="CL78" s="637"/>
      <c r="CM78" s="637"/>
      <c r="CN78" s="637"/>
      <c r="CO78" s="637"/>
      <c r="CP78" s="637"/>
      <c r="CQ78" s="637"/>
      <c r="CR78" s="637"/>
      <c r="CS78" s="637"/>
      <c r="CT78" s="637"/>
      <c r="CU78" s="637"/>
      <c r="CV78" s="637"/>
      <c r="CW78" s="637"/>
      <c r="CX78" s="637"/>
      <c r="CY78" s="637"/>
      <c r="CZ78" s="637"/>
      <c r="DA78" s="637"/>
      <c r="DB78" s="637"/>
      <c r="DC78" s="637"/>
      <c r="DD78" s="637"/>
      <c r="DE78" s="637"/>
      <c r="DF78" s="637"/>
      <c r="DG78" s="637"/>
      <c r="DH78" s="637"/>
      <c r="DI78" s="637"/>
      <c r="DJ78" s="637"/>
      <c r="DK78" s="637"/>
      <c r="DL78" s="637"/>
      <c r="DM78" s="637"/>
      <c r="DN78" s="637"/>
      <c r="DO78" s="637"/>
      <c r="DP78" s="637"/>
      <c r="DQ78" s="654"/>
      <c r="DR78" s="650"/>
      <c r="DS78" s="661"/>
      <c r="DT78" s="662"/>
      <c r="DU78" s="661"/>
      <c r="DV78" s="663"/>
      <c r="DW78" s="657">
        <f t="shared" si="3"/>
        <v>0</v>
      </c>
      <c r="DX78" s="660">
        <f t="shared" si="4"/>
        <v>44262</v>
      </c>
      <c r="DY78" s="659"/>
    </row>
    <row r="79" spans="1:129" ht="15.75" customHeight="1" thickBot="1">
      <c r="A79" s="660">
        <v>44263</v>
      </c>
      <c r="B79" s="637"/>
      <c r="C79" s="637"/>
      <c r="D79" s="637"/>
      <c r="E79" s="637"/>
      <c r="F79" s="637"/>
      <c r="G79" s="637"/>
      <c r="H79" s="637"/>
      <c r="I79" s="637"/>
      <c r="J79" s="637"/>
      <c r="K79" s="637"/>
      <c r="L79" s="637"/>
      <c r="M79" s="637"/>
      <c r="N79" s="637"/>
      <c r="O79" s="637"/>
      <c r="P79" s="637"/>
      <c r="Q79" s="637"/>
      <c r="R79" s="637"/>
      <c r="S79" s="637"/>
      <c r="T79" s="637"/>
      <c r="U79" s="637"/>
      <c r="V79" s="637"/>
      <c r="W79" s="637"/>
      <c r="X79" s="637"/>
      <c r="Y79" s="637"/>
      <c r="Z79" s="637"/>
      <c r="AA79" s="637"/>
      <c r="AB79" s="637"/>
      <c r="AC79" s="637"/>
      <c r="AD79" s="637"/>
      <c r="AE79" s="637"/>
      <c r="AF79" s="637"/>
      <c r="AG79" s="637"/>
      <c r="AH79" s="637"/>
      <c r="AI79" s="637"/>
      <c r="AJ79" s="637"/>
      <c r="AK79" s="637"/>
      <c r="AL79" s="637"/>
      <c r="AM79" s="637"/>
      <c r="AN79" s="637"/>
      <c r="AO79" s="637"/>
      <c r="AP79" s="637"/>
      <c r="AQ79" s="637"/>
      <c r="AR79" s="637"/>
      <c r="AS79" s="637"/>
      <c r="AT79" s="637"/>
      <c r="AU79" s="637"/>
      <c r="AV79" s="637"/>
      <c r="AW79" s="637"/>
      <c r="AX79" s="637"/>
      <c r="AY79" s="637"/>
      <c r="AZ79" s="637"/>
      <c r="BA79" s="637"/>
      <c r="BB79" s="637"/>
      <c r="BC79" s="637"/>
      <c r="BD79" s="637"/>
      <c r="BE79" s="637"/>
      <c r="BF79" s="637"/>
      <c r="BG79" s="637"/>
      <c r="BH79" s="637"/>
      <c r="BI79" s="637"/>
      <c r="BJ79" s="637"/>
      <c r="BK79" s="637"/>
      <c r="BL79" s="637"/>
      <c r="BM79" s="637"/>
      <c r="BN79" s="637"/>
      <c r="BO79" s="637"/>
      <c r="BP79" s="637"/>
      <c r="BQ79" s="637"/>
      <c r="BR79" s="637"/>
      <c r="BS79" s="637"/>
      <c r="BT79" s="637"/>
      <c r="BU79" s="637"/>
      <c r="BV79" s="637"/>
      <c r="BW79" s="637"/>
      <c r="BX79" s="637"/>
      <c r="BY79" s="637"/>
      <c r="BZ79" s="637"/>
      <c r="CA79" s="637"/>
      <c r="CB79" s="637"/>
      <c r="CC79" s="637"/>
      <c r="CD79" s="637"/>
      <c r="CE79" s="637"/>
      <c r="CF79" s="637"/>
      <c r="CG79" s="637"/>
      <c r="CH79" s="637"/>
      <c r="CI79" s="637"/>
      <c r="CJ79" s="637"/>
      <c r="CK79" s="637"/>
      <c r="CL79" s="637"/>
      <c r="CM79" s="637"/>
      <c r="CN79" s="637"/>
      <c r="CO79" s="637"/>
      <c r="CP79" s="637"/>
      <c r="CQ79" s="637"/>
      <c r="CR79" s="637"/>
      <c r="CS79" s="637"/>
      <c r="CT79" s="637"/>
      <c r="CU79" s="637"/>
      <c r="CV79" s="637"/>
      <c r="CW79" s="637"/>
      <c r="CX79" s="637"/>
      <c r="CY79" s="637"/>
      <c r="CZ79" s="637"/>
      <c r="DA79" s="637"/>
      <c r="DB79" s="637"/>
      <c r="DC79" s="637"/>
      <c r="DD79" s="637"/>
      <c r="DE79" s="637"/>
      <c r="DF79" s="637"/>
      <c r="DG79" s="637"/>
      <c r="DH79" s="637"/>
      <c r="DI79" s="637"/>
      <c r="DJ79" s="637"/>
      <c r="DK79" s="637"/>
      <c r="DL79" s="637"/>
      <c r="DM79" s="637"/>
      <c r="DN79" s="637"/>
      <c r="DO79" s="637"/>
      <c r="DP79" s="637"/>
      <c r="DQ79" s="654"/>
      <c r="DR79" s="650"/>
      <c r="DS79" s="661"/>
      <c r="DT79" s="662"/>
      <c r="DU79" s="661"/>
      <c r="DV79" s="663"/>
      <c r="DW79" s="657">
        <f t="shared" si="3"/>
        <v>0</v>
      </c>
      <c r="DX79" s="660">
        <f t="shared" si="4"/>
        <v>44263</v>
      </c>
      <c r="DY79" s="659"/>
    </row>
    <row r="80" spans="1:129" ht="24" customHeight="1" thickTop="1" thickBot="1">
      <c r="A80" s="664"/>
      <c r="B80" s="665"/>
      <c r="C80" s="665"/>
      <c r="D80" s="665"/>
      <c r="E80" s="665"/>
      <c r="F80" s="665"/>
      <c r="G80" s="665"/>
      <c r="H80" s="665"/>
      <c r="I80" s="665"/>
      <c r="J80" s="665"/>
      <c r="K80" s="665"/>
      <c r="L80" s="665"/>
      <c r="M80" s="665"/>
      <c r="N80" s="665"/>
      <c r="O80" s="665"/>
      <c r="P80" s="665"/>
      <c r="Q80" s="665"/>
      <c r="R80" s="665"/>
      <c r="S80" s="66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665"/>
      <c r="AE80" s="665"/>
      <c r="AF80" s="665"/>
      <c r="AG80" s="665"/>
      <c r="AH80" s="665"/>
      <c r="AI80" s="665"/>
      <c r="AJ80" s="665"/>
      <c r="AK80" s="665"/>
      <c r="AL80" s="665"/>
      <c r="AM80" s="666"/>
      <c r="AN80" s="666"/>
      <c r="AO80" s="666"/>
      <c r="AP80" s="666"/>
      <c r="AQ80" s="666"/>
      <c r="AR80" s="666"/>
      <c r="AS80" s="666"/>
      <c r="AT80" s="666"/>
      <c r="AU80" s="666"/>
      <c r="AV80" s="666"/>
      <c r="AW80" s="667"/>
      <c r="AX80" s="665"/>
      <c r="AY80" s="665"/>
      <c r="AZ80" s="665"/>
      <c r="BA80" s="665"/>
      <c r="BB80" s="665"/>
      <c r="BC80" s="66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665"/>
      <c r="BO80" s="665"/>
      <c r="BP80" s="665"/>
      <c r="BQ80" s="665"/>
      <c r="BR80" s="665"/>
      <c r="BS80" s="665"/>
      <c r="BT80" s="665"/>
      <c r="BU80" s="665"/>
      <c r="BV80" s="665"/>
      <c r="BW80" s="665"/>
      <c r="BX80" s="665"/>
      <c r="BY80" s="665"/>
      <c r="BZ80" s="665"/>
      <c r="CA80" s="665"/>
      <c r="CB80" s="665"/>
      <c r="CC80" s="665"/>
      <c r="CD80" s="666"/>
      <c r="CE80" s="666"/>
      <c r="CF80" s="666"/>
      <c r="CG80" s="666"/>
      <c r="CH80" s="666"/>
      <c r="CI80" s="666"/>
      <c r="CJ80" s="666"/>
      <c r="CK80" s="665"/>
      <c r="CL80" s="665"/>
      <c r="CM80" s="665"/>
      <c r="CN80" s="665"/>
      <c r="CO80" s="665"/>
      <c r="CP80" s="665"/>
      <c r="CQ80" s="665"/>
      <c r="CR80" s="665"/>
      <c r="CS80" s="665"/>
      <c r="CT80" s="665"/>
      <c r="CU80" s="665"/>
      <c r="CV80" s="665"/>
      <c r="CW80" s="665"/>
      <c r="CX80" s="665"/>
      <c r="CY80" s="665"/>
      <c r="CZ80" s="665"/>
      <c r="DA80" s="665"/>
      <c r="DB80" s="665"/>
      <c r="DC80" s="665"/>
      <c r="DD80" s="665"/>
      <c r="DE80" s="665"/>
      <c r="DF80" s="665"/>
      <c r="DG80" s="665"/>
      <c r="DH80" s="665"/>
      <c r="DI80" s="665"/>
      <c r="DJ80" s="668"/>
      <c r="DK80" s="665"/>
      <c r="DL80" s="665"/>
      <c r="DM80" s="665"/>
      <c r="DN80" s="665"/>
      <c r="DO80" s="665"/>
      <c r="DP80" s="665"/>
      <c r="DQ80" s="665"/>
      <c r="DR80" s="669"/>
      <c r="DS80" s="665"/>
      <c r="DT80" s="665"/>
      <c r="DU80" s="665"/>
      <c r="DV80" s="670"/>
      <c r="DW80" s="665"/>
      <c r="DX80" s="671"/>
      <c r="DY80" s="659"/>
    </row>
    <row r="81" spans="1:129" thickTop="1">
      <c r="A81" s="672" t="s">
        <v>90</v>
      </c>
      <c r="B81" s="673">
        <f>SUM(B82:B87)</f>
        <v>387</v>
      </c>
      <c r="C81" s="674">
        <f t="shared" ref="C81:BU81" si="5">SUM(C82:C87)</f>
        <v>15</v>
      </c>
      <c r="D81" s="674">
        <f t="shared" si="5"/>
        <v>48</v>
      </c>
      <c r="E81" s="674">
        <f t="shared" si="5"/>
        <v>0</v>
      </c>
      <c r="F81" s="675">
        <f t="shared" si="5"/>
        <v>216.07999999999998</v>
      </c>
      <c r="G81" s="675">
        <f t="shared" si="5"/>
        <v>0</v>
      </c>
      <c r="H81" s="675">
        <f>SUM(H82:H87)</f>
        <v>2.96</v>
      </c>
      <c r="I81" s="676">
        <f t="shared" si="5"/>
        <v>33</v>
      </c>
      <c r="J81" s="673">
        <f t="shared" si="5"/>
        <v>159.04</v>
      </c>
      <c r="K81" s="675">
        <f t="shared" si="5"/>
        <v>13.44</v>
      </c>
      <c r="L81" s="675">
        <f t="shared" si="5"/>
        <v>0</v>
      </c>
      <c r="M81" s="675">
        <f t="shared" si="5"/>
        <v>0</v>
      </c>
      <c r="N81" s="677">
        <f t="shared" si="5"/>
        <v>118.4</v>
      </c>
      <c r="O81" s="677">
        <f t="shared" si="5"/>
        <v>2.96</v>
      </c>
      <c r="P81" s="676">
        <f t="shared" si="5"/>
        <v>17.760000000000002</v>
      </c>
      <c r="Q81" s="673">
        <f t="shared" si="5"/>
        <v>152.32</v>
      </c>
      <c r="R81" s="673">
        <f t="shared" si="5"/>
        <v>13.44</v>
      </c>
      <c r="S81" s="678">
        <f t="shared" si="5"/>
        <v>5199.04</v>
      </c>
      <c r="T81" s="679">
        <f t="shared" si="5"/>
        <v>244.8</v>
      </c>
      <c r="U81" s="673">
        <f t="shared" si="5"/>
        <v>169.2</v>
      </c>
      <c r="V81" s="676">
        <f>SUM(V82:V87)</f>
        <v>7.2</v>
      </c>
      <c r="W81" s="676">
        <f>SUM(W82:W87)</f>
        <v>4.8</v>
      </c>
      <c r="X81" s="676">
        <f>SUM(X82:X87)</f>
        <v>25.2</v>
      </c>
      <c r="Y81" s="673">
        <f t="shared" ref="Y81:AA81" si="6">SUM(Y82:Y87)</f>
        <v>1027.8600000000001</v>
      </c>
      <c r="Z81" s="674">
        <f t="shared" si="6"/>
        <v>0</v>
      </c>
      <c r="AA81" s="675">
        <f t="shared" si="6"/>
        <v>198.72</v>
      </c>
      <c r="AB81" s="675">
        <f t="shared" si="5"/>
        <v>510</v>
      </c>
      <c r="AC81" s="675">
        <f t="shared" si="5"/>
        <v>15.6</v>
      </c>
      <c r="AD81" s="675">
        <f t="shared" si="5"/>
        <v>1094.4000000000001</v>
      </c>
      <c r="AE81" s="675">
        <f>SUM(AE82:AE87)</f>
        <v>38.4</v>
      </c>
      <c r="AF81" s="675">
        <f>SUM(AF82:AF87)</f>
        <v>11.2</v>
      </c>
      <c r="AG81" s="675">
        <f t="shared" ref="AG81:AI81" si="7">SUM(AG82:AG87)</f>
        <v>280</v>
      </c>
      <c r="AH81" s="675">
        <f t="shared" si="7"/>
        <v>264.32</v>
      </c>
      <c r="AI81" s="675">
        <f t="shared" si="7"/>
        <v>412.8</v>
      </c>
      <c r="AJ81" s="675">
        <f>SUM(AJ82:AJ87)</f>
        <v>19.8</v>
      </c>
      <c r="AK81" s="675">
        <f>SUM(AK82:AK87)</f>
        <v>691.2</v>
      </c>
      <c r="AL81" s="675">
        <f t="shared" ref="AL81:AN81" si="8">SUM(AL82:AL87)</f>
        <v>0</v>
      </c>
      <c r="AM81" s="680">
        <f t="shared" si="8"/>
        <v>0</v>
      </c>
      <c r="AN81" s="680">
        <f t="shared" si="8"/>
        <v>14.4</v>
      </c>
      <c r="AO81" s="680">
        <f t="shared" si="5"/>
        <v>0</v>
      </c>
      <c r="AP81" s="680">
        <f t="shared" si="5"/>
        <v>8.4</v>
      </c>
      <c r="AQ81" s="674">
        <f t="shared" si="5"/>
        <v>36.799999999999997</v>
      </c>
      <c r="AR81" s="681">
        <f t="shared" si="5"/>
        <v>921.44</v>
      </c>
      <c r="AS81" s="681">
        <f t="shared" si="5"/>
        <v>8.5</v>
      </c>
      <c r="AT81" s="682">
        <f t="shared" si="5"/>
        <v>8.5</v>
      </c>
      <c r="AU81" s="682">
        <f t="shared" si="5"/>
        <v>1.7</v>
      </c>
      <c r="AV81" s="683">
        <f t="shared" si="5"/>
        <v>0</v>
      </c>
      <c r="AW81" s="684">
        <f t="shared" si="5"/>
        <v>0</v>
      </c>
      <c r="AX81" s="684">
        <f t="shared" si="5"/>
        <v>0</v>
      </c>
      <c r="AY81" s="673">
        <f>SUM(AY82:AY87)</f>
        <v>1173</v>
      </c>
      <c r="AZ81" s="675">
        <f t="shared" ref="AZ81:BB81" si="9">SUM(AZ82:AZ87)</f>
        <v>41</v>
      </c>
      <c r="BA81" s="675">
        <f t="shared" si="9"/>
        <v>143</v>
      </c>
      <c r="BB81" s="675">
        <f t="shared" si="9"/>
        <v>393.59999999999997</v>
      </c>
      <c r="BC81" s="674">
        <f t="shared" si="5"/>
        <v>0</v>
      </c>
      <c r="BD81" s="674">
        <f t="shared" si="5"/>
        <v>445.5</v>
      </c>
      <c r="BE81" s="674">
        <f t="shared" si="5"/>
        <v>33</v>
      </c>
      <c r="BF81" s="674">
        <f t="shared" si="5"/>
        <v>0.8</v>
      </c>
      <c r="BG81" s="674">
        <f t="shared" si="5"/>
        <v>290.39999999999998</v>
      </c>
      <c r="BH81" s="674">
        <f>SUM(BH82:BH87)</f>
        <v>129.6</v>
      </c>
      <c r="BI81" s="674">
        <f>SUM(BI82:BI87)</f>
        <v>65</v>
      </c>
      <c r="BJ81" s="674">
        <f t="shared" ref="BJ81:BP81" si="10">SUM(BJ82:BJ87)</f>
        <v>736</v>
      </c>
      <c r="BK81" s="674">
        <f t="shared" si="10"/>
        <v>23</v>
      </c>
      <c r="BL81" s="673">
        <f t="shared" si="10"/>
        <v>27.2</v>
      </c>
      <c r="BM81" s="673">
        <f t="shared" si="10"/>
        <v>984</v>
      </c>
      <c r="BN81" s="673">
        <f t="shared" si="10"/>
        <v>17</v>
      </c>
      <c r="BO81" s="675">
        <f t="shared" si="10"/>
        <v>924</v>
      </c>
      <c r="BP81" s="675">
        <f t="shared" si="10"/>
        <v>296</v>
      </c>
      <c r="BQ81" s="675">
        <f t="shared" si="5"/>
        <v>33</v>
      </c>
      <c r="BR81" s="675">
        <f>SUM(BR82:BR87)</f>
        <v>0</v>
      </c>
      <c r="BS81" s="675">
        <f>SUM(BS82:BS87)</f>
        <v>114</v>
      </c>
      <c r="BT81" s="675">
        <f t="shared" ref="BT81" si="11">SUM(BT82:BT87)</f>
        <v>360.8</v>
      </c>
      <c r="BU81" s="674">
        <f t="shared" si="5"/>
        <v>0</v>
      </c>
      <c r="BV81" s="685">
        <f t="shared" ref="BV81:DQ81" si="12">SUM(BV82:BV87)</f>
        <v>306</v>
      </c>
      <c r="BW81" s="673">
        <f t="shared" si="12"/>
        <v>571.5</v>
      </c>
      <c r="BX81" s="675">
        <f t="shared" si="12"/>
        <v>537</v>
      </c>
      <c r="BY81" s="675">
        <f t="shared" si="12"/>
        <v>478.79999999999995</v>
      </c>
      <c r="BZ81" s="675">
        <f t="shared" si="12"/>
        <v>3.24</v>
      </c>
      <c r="CA81" s="675">
        <f t="shared" si="12"/>
        <v>9.24</v>
      </c>
      <c r="CB81" s="675">
        <f t="shared" si="12"/>
        <v>12.6</v>
      </c>
      <c r="CC81" s="675">
        <f t="shared" si="12"/>
        <v>0</v>
      </c>
      <c r="CD81" s="680">
        <f t="shared" si="12"/>
        <v>7344</v>
      </c>
      <c r="CE81" s="680">
        <f t="shared" si="12"/>
        <v>2181.6</v>
      </c>
      <c r="CF81" s="680">
        <f t="shared" si="12"/>
        <v>424.8</v>
      </c>
      <c r="CG81" s="680">
        <f t="shared" si="12"/>
        <v>1539</v>
      </c>
      <c r="CH81" s="680">
        <f t="shared" si="12"/>
        <v>1027.5</v>
      </c>
      <c r="CI81" s="680">
        <f>SUM(CI82:CI87)</f>
        <v>114</v>
      </c>
      <c r="CJ81" s="680">
        <f>SUM(CJ82:CJ87)</f>
        <v>20.399999999999999</v>
      </c>
      <c r="CK81" s="675">
        <f t="shared" si="12"/>
        <v>652.79999999999995</v>
      </c>
      <c r="CL81" s="675">
        <f>SUM(CL82:CL87)</f>
        <v>0</v>
      </c>
      <c r="CM81" s="675">
        <f t="shared" ref="CM81:CN81" si="13">SUM(CM82:CM87)</f>
        <v>267.60000000000002</v>
      </c>
      <c r="CN81" s="675">
        <f t="shared" si="13"/>
        <v>0</v>
      </c>
      <c r="CO81" s="675">
        <f t="shared" si="12"/>
        <v>121.5</v>
      </c>
      <c r="CP81" s="677">
        <f t="shared" si="12"/>
        <v>171</v>
      </c>
      <c r="CQ81" s="677">
        <f>SUM(CQ82:CQ87)</f>
        <v>3</v>
      </c>
      <c r="CR81" s="686">
        <f t="shared" si="12"/>
        <v>0</v>
      </c>
      <c r="CS81" s="686">
        <f>SUM(CS82:CS87)</f>
        <v>24</v>
      </c>
      <c r="CT81" s="687">
        <f t="shared" si="12"/>
        <v>0</v>
      </c>
      <c r="CU81" s="687">
        <f t="shared" si="12"/>
        <v>569.16</v>
      </c>
      <c r="CV81" s="687">
        <f t="shared" si="12"/>
        <v>0</v>
      </c>
      <c r="CW81" s="688">
        <f t="shared" si="12"/>
        <v>2.16</v>
      </c>
      <c r="CX81" s="677">
        <f t="shared" si="12"/>
        <v>19.440000000000001</v>
      </c>
      <c r="CY81" s="677">
        <f t="shared" si="12"/>
        <v>3.24</v>
      </c>
      <c r="CZ81" s="688">
        <f t="shared" si="12"/>
        <v>312.12</v>
      </c>
      <c r="DA81" s="689">
        <f t="shared" si="12"/>
        <v>313.5</v>
      </c>
      <c r="DB81" s="690">
        <f t="shared" si="12"/>
        <v>0</v>
      </c>
      <c r="DC81" s="690">
        <f t="shared" si="12"/>
        <v>1572</v>
      </c>
      <c r="DD81" s="690">
        <f t="shared" si="12"/>
        <v>0</v>
      </c>
      <c r="DE81" s="690">
        <f>SUM(DE82:DE87)</f>
        <v>178.8</v>
      </c>
      <c r="DF81" s="690">
        <f t="shared" si="12"/>
        <v>721.5</v>
      </c>
      <c r="DG81" s="690">
        <f t="shared" si="12"/>
        <v>52.5</v>
      </c>
      <c r="DH81" s="690">
        <f t="shared" si="12"/>
        <v>15</v>
      </c>
      <c r="DI81" s="690">
        <f t="shared" ref="DI81" si="14">SUM(DI82:DI87)</f>
        <v>172.8</v>
      </c>
      <c r="DJ81" s="691">
        <f t="shared" si="12"/>
        <v>3561</v>
      </c>
      <c r="DK81" s="675">
        <f t="shared" si="12"/>
        <v>2670</v>
      </c>
      <c r="DL81" s="675">
        <f t="shared" ref="DL81:DO81" si="15">SUM(DL82:DL87)</f>
        <v>309</v>
      </c>
      <c r="DM81" s="675">
        <f t="shared" si="15"/>
        <v>477</v>
      </c>
      <c r="DN81" s="675">
        <f t="shared" si="15"/>
        <v>558</v>
      </c>
      <c r="DO81" s="675">
        <f t="shared" si="15"/>
        <v>913</v>
      </c>
      <c r="DP81" s="675">
        <f>SUM(DP82:DP87)</f>
        <v>1266</v>
      </c>
      <c r="DQ81" s="689">
        <f t="shared" si="12"/>
        <v>0</v>
      </c>
      <c r="DR81" s="692"/>
      <c r="DS81" s="692"/>
      <c r="DT81" s="693"/>
      <c r="DU81" s="692"/>
      <c r="DV81" s="693"/>
      <c r="DW81" s="684">
        <f>SUM(B81:DV81)</f>
        <v>48119.380000000019</v>
      </c>
      <c r="DX81" s="694" t="s">
        <v>90</v>
      </c>
      <c r="DY81" s="659"/>
    </row>
    <row r="82" spans="1:129" ht="14.4">
      <c r="A82" s="636" t="s">
        <v>632</v>
      </c>
      <c r="B82" s="695">
        <f t="shared" ref="B82:BM82" si="16">SUM(B9:B79)</f>
        <v>387</v>
      </c>
      <c r="C82" s="696">
        <f t="shared" si="16"/>
        <v>15</v>
      </c>
      <c r="D82" s="696">
        <f t="shared" si="16"/>
        <v>48</v>
      </c>
      <c r="E82" s="696">
        <f t="shared" si="16"/>
        <v>0</v>
      </c>
      <c r="F82" s="696">
        <f t="shared" si="16"/>
        <v>216.07999999999998</v>
      </c>
      <c r="G82" s="696">
        <f t="shared" si="16"/>
        <v>0</v>
      </c>
      <c r="H82" s="696">
        <f t="shared" si="16"/>
        <v>2.96</v>
      </c>
      <c r="I82" s="697">
        <f t="shared" si="16"/>
        <v>33</v>
      </c>
      <c r="J82" s="695">
        <f t="shared" si="16"/>
        <v>159.04</v>
      </c>
      <c r="K82" s="696">
        <f t="shared" si="16"/>
        <v>13.44</v>
      </c>
      <c r="L82" s="696">
        <f t="shared" si="16"/>
        <v>0</v>
      </c>
      <c r="M82" s="696">
        <f t="shared" si="16"/>
        <v>0</v>
      </c>
      <c r="N82" s="698">
        <f t="shared" si="16"/>
        <v>118.4</v>
      </c>
      <c r="O82" s="698">
        <f t="shared" si="16"/>
        <v>2.96</v>
      </c>
      <c r="P82" s="697">
        <f t="shared" si="16"/>
        <v>17.760000000000002</v>
      </c>
      <c r="Q82" s="695">
        <f t="shared" si="16"/>
        <v>152.32</v>
      </c>
      <c r="R82" s="695">
        <f t="shared" si="16"/>
        <v>13.44</v>
      </c>
      <c r="S82" s="699">
        <f t="shared" si="16"/>
        <v>5199.04</v>
      </c>
      <c r="T82" s="700">
        <f t="shared" si="16"/>
        <v>244.8</v>
      </c>
      <c r="U82" s="695">
        <f t="shared" si="16"/>
        <v>169.2</v>
      </c>
      <c r="V82" s="697">
        <f t="shared" si="16"/>
        <v>7.2</v>
      </c>
      <c r="W82" s="697">
        <f t="shared" si="16"/>
        <v>4.8</v>
      </c>
      <c r="X82" s="697">
        <f t="shared" si="16"/>
        <v>25.2</v>
      </c>
      <c r="Y82" s="695">
        <f t="shared" si="16"/>
        <v>1027.8600000000001</v>
      </c>
      <c r="Z82" s="695">
        <f t="shared" si="16"/>
        <v>0</v>
      </c>
      <c r="AA82" s="696">
        <f t="shared" si="16"/>
        <v>198.72</v>
      </c>
      <c r="AB82" s="696">
        <f t="shared" si="16"/>
        <v>510</v>
      </c>
      <c r="AC82" s="696">
        <f t="shared" si="16"/>
        <v>15.6</v>
      </c>
      <c r="AD82" s="696">
        <f t="shared" si="16"/>
        <v>1094.4000000000001</v>
      </c>
      <c r="AE82" s="696">
        <f t="shared" si="16"/>
        <v>38.4</v>
      </c>
      <c r="AF82" s="696">
        <f t="shared" si="16"/>
        <v>11.2</v>
      </c>
      <c r="AG82" s="696">
        <f t="shared" si="16"/>
        <v>280</v>
      </c>
      <c r="AH82" s="696">
        <f t="shared" si="16"/>
        <v>264.32</v>
      </c>
      <c r="AI82" s="696">
        <f t="shared" si="16"/>
        <v>412.8</v>
      </c>
      <c r="AJ82" s="696">
        <f t="shared" si="16"/>
        <v>19.8</v>
      </c>
      <c r="AK82" s="696">
        <f t="shared" si="16"/>
        <v>691.2</v>
      </c>
      <c r="AL82" s="696">
        <f t="shared" si="16"/>
        <v>0</v>
      </c>
      <c r="AM82" s="701">
        <f t="shared" si="16"/>
        <v>0</v>
      </c>
      <c r="AN82" s="701">
        <f t="shared" si="16"/>
        <v>14.4</v>
      </c>
      <c r="AO82" s="701">
        <f t="shared" si="16"/>
        <v>0</v>
      </c>
      <c r="AP82" s="701">
        <f t="shared" si="16"/>
        <v>8.4</v>
      </c>
      <c r="AQ82" s="695">
        <f t="shared" si="16"/>
        <v>36.799999999999997</v>
      </c>
      <c r="AR82" s="702">
        <f t="shared" si="16"/>
        <v>921.44</v>
      </c>
      <c r="AS82" s="702">
        <f t="shared" si="16"/>
        <v>8.5</v>
      </c>
      <c r="AT82" s="703">
        <f t="shared" si="16"/>
        <v>8.5</v>
      </c>
      <c r="AU82" s="703">
        <f t="shared" si="16"/>
        <v>1.7</v>
      </c>
      <c r="AV82" s="704">
        <f t="shared" si="16"/>
        <v>0</v>
      </c>
      <c r="AW82" s="705">
        <f t="shared" si="16"/>
        <v>0</v>
      </c>
      <c r="AX82" s="705">
        <f t="shared" si="16"/>
        <v>0</v>
      </c>
      <c r="AY82" s="696">
        <f t="shared" si="16"/>
        <v>1173</v>
      </c>
      <c r="AZ82" s="696">
        <f t="shared" si="16"/>
        <v>41</v>
      </c>
      <c r="BA82" s="696">
        <f t="shared" si="16"/>
        <v>143</v>
      </c>
      <c r="BB82" s="696">
        <f t="shared" si="16"/>
        <v>393.59999999999997</v>
      </c>
      <c r="BC82" s="696">
        <f t="shared" si="16"/>
        <v>0</v>
      </c>
      <c r="BD82" s="696">
        <f t="shared" si="16"/>
        <v>445.5</v>
      </c>
      <c r="BE82" s="696">
        <f t="shared" si="16"/>
        <v>33</v>
      </c>
      <c r="BF82" s="696">
        <f t="shared" si="16"/>
        <v>0.8</v>
      </c>
      <c r="BG82" s="696">
        <f t="shared" si="16"/>
        <v>290.39999999999998</v>
      </c>
      <c r="BH82" s="696">
        <f t="shared" si="16"/>
        <v>129.6</v>
      </c>
      <c r="BI82" s="696">
        <f t="shared" si="16"/>
        <v>65</v>
      </c>
      <c r="BJ82" s="696">
        <f t="shared" si="16"/>
        <v>736</v>
      </c>
      <c r="BK82" s="696">
        <f t="shared" si="16"/>
        <v>23</v>
      </c>
      <c r="BL82" s="696">
        <f t="shared" si="16"/>
        <v>27.2</v>
      </c>
      <c r="BM82" s="696">
        <f t="shared" si="16"/>
        <v>984</v>
      </c>
      <c r="BN82" s="696">
        <f t="shared" ref="BN82:DW82" si="17">SUM(BN9:BN79)</f>
        <v>17</v>
      </c>
      <c r="BO82" s="696">
        <f t="shared" si="17"/>
        <v>924</v>
      </c>
      <c r="BP82" s="696">
        <f t="shared" si="17"/>
        <v>296</v>
      </c>
      <c r="BQ82" s="696">
        <f t="shared" si="17"/>
        <v>33</v>
      </c>
      <c r="BR82" s="696">
        <f t="shared" si="17"/>
        <v>0</v>
      </c>
      <c r="BS82" s="696">
        <f t="shared" si="17"/>
        <v>114</v>
      </c>
      <c r="BT82" s="696">
        <f t="shared" si="17"/>
        <v>360.8</v>
      </c>
      <c r="BU82" s="696">
        <f t="shared" si="17"/>
        <v>0</v>
      </c>
      <c r="BV82" s="696">
        <f t="shared" si="17"/>
        <v>306</v>
      </c>
      <c r="BW82" s="696">
        <f t="shared" si="17"/>
        <v>571.5</v>
      </c>
      <c r="BX82" s="696">
        <f t="shared" si="17"/>
        <v>537</v>
      </c>
      <c r="BY82" s="696">
        <f t="shared" si="17"/>
        <v>478.79999999999995</v>
      </c>
      <c r="BZ82" s="696">
        <f t="shared" si="17"/>
        <v>3.24</v>
      </c>
      <c r="CA82" s="696">
        <f t="shared" si="17"/>
        <v>9.24</v>
      </c>
      <c r="CB82" s="696">
        <f t="shared" si="17"/>
        <v>12.6</v>
      </c>
      <c r="CC82" s="696">
        <f t="shared" si="17"/>
        <v>0</v>
      </c>
      <c r="CD82" s="1814">
        <f t="shared" si="17"/>
        <v>7344</v>
      </c>
      <c r="CE82" s="1814">
        <f t="shared" si="17"/>
        <v>2181.6</v>
      </c>
      <c r="CF82" s="1814">
        <f t="shared" si="17"/>
        <v>424.8</v>
      </c>
      <c r="CG82" s="1814">
        <f t="shared" si="17"/>
        <v>1539</v>
      </c>
      <c r="CH82" s="1814">
        <f t="shared" si="17"/>
        <v>1027.5</v>
      </c>
      <c r="CI82" s="1814">
        <f t="shared" si="17"/>
        <v>114</v>
      </c>
      <c r="CJ82" s="1814">
        <f t="shared" si="17"/>
        <v>20.399999999999999</v>
      </c>
      <c r="CK82" s="696">
        <f t="shared" si="17"/>
        <v>652.79999999999995</v>
      </c>
      <c r="CL82" s="696">
        <f t="shared" si="17"/>
        <v>0</v>
      </c>
      <c r="CM82" s="696">
        <f t="shared" si="17"/>
        <v>267.60000000000002</v>
      </c>
      <c r="CN82" s="696">
        <f t="shared" si="17"/>
        <v>0</v>
      </c>
      <c r="CO82" s="696">
        <f t="shared" si="17"/>
        <v>121.5</v>
      </c>
      <c r="CP82" s="696">
        <f t="shared" si="17"/>
        <v>171</v>
      </c>
      <c r="CQ82" s="696">
        <f t="shared" si="17"/>
        <v>3</v>
      </c>
      <c r="CR82" s="696">
        <f t="shared" si="17"/>
        <v>0</v>
      </c>
      <c r="CS82" s="696">
        <f t="shared" si="17"/>
        <v>24</v>
      </c>
      <c r="CT82" s="696">
        <f t="shared" si="17"/>
        <v>0</v>
      </c>
      <c r="CU82" s="696">
        <f t="shared" si="17"/>
        <v>569.16</v>
      </c>
      <c r="CV82" s="696">
        <f t="shared" si="17"/>
        <v>0</v>
      </c>
      <c r="CW82" s="696">
        <f t="shared" si="17"/>
        <v>2.16</v>
      </c>
      <c r="CX82" s="696">
        <f t="shared" si="17"/>
        <v>19.440000000000001</v>
      </c>
      <c r="CY82" s="696">
        <f t="shared" si="17"/>
        <v>3.24</v>
      </c>
      <c r="CZ82" s="696">
        <f t="shared" si="17"/>
        <v>312.12</v>
      </c>
      <c r="DA82" s="696">
        <f t="shared" si="17"/>
        <v>313.5</v>
      </c>
      <c r="DB82" s="696">
        <f t="shared" si="17"/>
        <v>0</v>
      </c>
      <c r="DC82" s="696">
        <f t="shared" si="17"/>
        <v>1572</v>
      </c>
      <c r="DD82" s="696">
        <f t="shared" si="17"/>
        <v>0</v>
      </c>
      <c r="DE82" s="696">
        <f t="shared" si="17"/>
        <v>178.8</v>
      </c>
      <c r="DF82" s="696">
        <f t="shared" si="17"/>
        <v>721.5</v>
      </c>
      <c r="DG82" s="696">
        <f t="shared" si="17"/>
        <v>52.5</v>
      </c>
      <c r="DH82" s="696">
        <f t="shared" si="17"/>
        <v>15</v>
      </c>
      <c r="DI82" s="696">
        <f t="shared" si="17"/>
        <v>172.8</v>
      </c>
      <c r="DJ82" s="696">
        <f t="shared" si="17"/>
        <v>2316</v>
      </c>
      <c r="DK82" s="696">
        <f t="shared" si="17"/>
        <v>1686</v>
      </c>
      <c r="DL82" s="696">
        <f t="shared" si="17"/>
        <v>309</v>
      </c>
      <c r="DM82" s="696">
        <f t="shared" si="17"/>
        <v>477</v>
      </c>
      <c r="DN82" s="696">
        <f t="shared" si="17"/>
        <v>558</v>
      </c>
      <c r="DO82" s="696">
        <f t="shared" si="17"/>
        <v>913</v>
      </c>
      <c r="DP82" s="696">
        <f t="shared" si="17"/>
        <v>432</v>
      </c>
      <c r="DQ82" s="696">
        <f t="shared" si="17"/>
        <v>0</v>
      </c>
      <c r="DR82" s="696">
        <f t="shared" si="17"/>
        <v>0</v>
      </c>
      <c r="DS82" s="696">
        <f t="shared" si="17"/>
        <v>0</v>
      </c>
      <c r="DT82" s="696">
        <f t="shared" si="17"/>
        <v>0</v>
      </c>
      <c r="DU82" s="696">
        <f t="shared" si="17"/>
        <v>0</v>
      </c>
      <c r="DV82" s="696">
        <f t="shared" si="17"/>
        <v>0</v>
      </c>
      <c r="DW82" s="657">
        <f t="shared" si="17"/>
        <v>45056.38</v>
      </c>
      <c r="DX82" s="658" t="str">
        <f>A82</f>
        <v>Склад ГП на 18-00</v>
      </c>
      <c r="DY82" s="659"/>
    </row>
    <row r="83" spans="1:129" ht="14.4">
      <c r="A83" s="706" t="s">
        <v>633</v>
      </c>
      <c r="B83" s="707"/>
      <c r="C83" s="708"/>
      <c r="D83" s="708"/>
      <c r="E83" s="708"/>
      <c r="F83" s="708"/>
      <c r="G83" s="708"/>
      <c r="H83" s="710"/>
      <c r="I83" s="709"/>
      <c r="J83" s="707"/>
      <c r="K83" s="710"/>
      <c r="L83" s="710"/>
      <c r="M83" s="710"/>
      <c r="N83" s="711"/>
      <c r="O83" s="711"/>
      <c r="P83" s="709"/>
      <c r="Q83" s="707"/>
      <c r="R83" s="710"/>
      <c r="S83" s="712"/>
      <c r="T83" s="713"/>
      <c r="U83" s="707"/>
      <c r="V83" s="709"/>
      <c r="W83" s="709"/>
      <c r="X83" s="709"/>
      <c r="Y83" s="707"/>
      <c r="Z83" s="712"/>
      <c r="AA83" s="714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08"/>
      <c r="AM83" s="715"/>
      <c r="AN83" s="715"/>
      <c r="AO83" s="716"/>
      <c r="AP83" s="716"/>
      <c r="AQ83" s="710"/>
      <c r="AR83" s="717"/>
      <c r="AS83" s="717"/>
      <c r="AT83" s="718"/>
      <c r="AU83" s="718"/>
      <c r="AV83" s="719"/>
      <c r="AW83" s="720"/>
      <c r="AX83" s="720"/>
      <c r="AY83" s="708"/>
      <c r="AZ83" s="708"/>
      <c r="BA83" s="708"/>
      <c r="BB83" s="708"/>
      <c r="BC83" s="708"/>
      <c r="BD83" s="708"/>
      <c r="BE83" s="708"/>
      <c r="BF83" s="708"/>
      <c r="BG83" s="708"/>
      <c r="BH83" s="708"/>
      <c r="BI83" s="708"/>
      <c r="BJ83" s="708"/>
      <c r="BK83" s="708"/>
      <c r="BL83" s="710"/>
      <c r="BM83" s="710"/>
      <c r="BN83" s="710"/>
      <c r="BO83" s="708"/>
      <c r="BP83" s="708"/>
      <c r="BQ83" s="708"/>
      <c r="BR83" s="708"/>
      <c r="BS83" s="708"/>
      <c r="BT83" s="708"/>
      <c r="BU83" s="708"/>
      <c r="BV83" s="719"/>
      <c r="BW83" s="710"/>
      <c r="BX83" s="710"/>
      <c r="BY83" s="710"/>
      <c r="BZ83" s="708"/>
      <c r="CA83" s="708"/>
      <c r="CB83" s="708"/>
      <c r="CC83" s="708"/>
      <c r="CD83" s="716"/>
      <c r="CE83" s="716"/>
      <c r="CF83" s="716"/>
      <c r="CG83" s="716"/>
      <c r="CH83" s="716"/>
      <c r="CI83" s="716"/>
      <c r="CJ83" s="716"/>
      <c r="CK83" s="708"/>
      <c r="CL83" s="708"/>
      <c r="CM83" s="708"/>
      <c r="CN83" s="708"/>
      <c r="CO83" s="708"/>
      <c r="CP83" s="711"/>
      <c r="CQ83" s="724"/>
      <c r="CR83" s="721"/>
      <c r="CS83" s="710"/>
      <c r="CT83" s="722"/>
      <c r="CU83" s="710"/>
      <c r="CV83" s="710"/>
      <c r="CW83" s="723"/>
      <c r="CX83" s="720"/>
      <c r="CY83" s="711"/>
      <c r="CZ83" s="723"/>
      <c r="DA83" s="710"/>
      <c r="DB83" s="708"/>
      <c r="DC83" s="708"/>
      <c r="DD83" s="708"/>
      <c r="DE83" s="708"/>
      <c r="DF83" s="708"/>
      <c r="DG83" s="708"/>
      <c r="DH83" s="710"/>
      <c r="DI83" s="710"/>
      <c r="DJ83" s="724">
        <v>1245</v>
      </c>
      <c r="DK83" s="708">
        <v>984</v>
      </c>
      <c r="DL83" s="708"/>
      <c r="DM83" s="708"/>
      <c r="DN83" s="708"/>
      <c r="DO83" s="708"/>
      <c r="DP83" s="708">
        <v>834</v>
      </c>
      <c r="DQ83" s="725"/>
      <c r="DR83" s="726"/>
      <c r="DS83" s="725"/>
      <c r="DT83" s="725"/>
      <c r="DU83" s="725"/>
      <c r="DV83" s="727"/>
      <c r="DW83" s="727">
        <f>SUM(B83:DV83)</f>
        <v>3063</v>
      </c>
      <c r="DX83" s="728" t="str">
        <f>A83</f>
        <v>Склад ПроФреш на 12-00</v>
      </c>
      <c r="DY83" s="659"/>
    </row>
    <row r="84" spans="1:129" ht="14.4">
      <c r="A84" s="729"/>
      <c r="B84" s="730"/>
      <c r="C84" s="731"/>
      <c r="D84" s="731"/>
      <c r="E84" s="731"/>
      <c r="F84" s="732"/>
      <c r="G84" s="732"/>
      <c r="H84" s="731"/>
      <c r="I84" s="733"/>
      <c r="J84" s="730"/>
      <c r="K84" s="730"/>
      <c r="L84" s="730"/>
      <c r="M84" s="730"/>
      <c r="N84" s="734"/>
      <c r="O84" s="734"/>
      <c r="P84" s="733"/>
      <c r="Q84" s="730"/>
      <c r="R84" s="730"/>
      <c r="S84" s="731"/>
      <c r="T84" s="735"/>
      <c r="U84" s="730"/>
      <c r="V84" s="733"/>
      <c r="W84" s="733"/>
      <c r="X84" s="733"/>
      <c r="Y84" s="730"/>
      <c r="Z84" s="730"/>
      <c r="AA84" s="730"/>
      <c r="AB84" s="730"/>
      <c r="AC84" s="730"/>
      <c r="AD84" s="730"/>
      <c r="AE84" s="730"/>
      <c r="AF84" s="730"/>
      <c r="AG84" s="730"/>
      <c r="AH84" s="730"/>
      <c r="AI84" s="730"/>
      <c r="AJ84" s="730"/>
      <c r="AK84" s="730"/>
      <c r="AL84" s="732"/>
      <c r="AM84" s="736"/>
      <c r="AN84" s="736"/>
      <c r="AO84" s="737"/>
      <c r="AP84" s="737"/>
      <c r="AQ84" s="730"/>
      <c r="AR84" s="738"/>
      <c r="AS84" s="738"/>
      <c r="AT84" s="739"/>
      <c r="AU84" s="739"/>
      <c r="AV84" s="740"/>
      <c r="AW84" s="741"/>
      <c r="AX84" s="741"/>
      <c r="AY84" s="742"/>
      <c r="AZ84" s="742"/>
      <c r="BA84" s="742"/>
      <c r="BB84" s="742"/>
      <c r="BC84" s="742"/>
      <c r="BD84" s="742"/>
      <c r="BE84" s="742"/>
      <c r="BF84" s="742"/>
      <c r="BG84" s="742"/>
      <c r="BH84" s="742"/>
      <c r="BI84" s="742"/>
      <c r="BJ84" s="742"/>
      <c r="BK84" s="742"/>
      <c r="BL84" s="730"/>
      <c r="BM84" s="730"/>
      <c r="BN84" s="730"/>
      <c r="BO84" s="742"/>
      <c r="BP84" s="742"/>
      <c r="BQ84" s="742"/>
      <c r="BR84" s="742"/>
      <c r="BS84" s="742"/>
      <c r="BT84" s="742"/>
      <c r="BU84" s="742"/>
      <c r="BV84" s="740"/>
      <c r="BW84" s="730"/>
      <c r="BX84" s="730"/>
      <c r="BY84" s="730"/>
      <c r="BZ84" s="742"/>
      <c r="CA84" s="742"/>
      <c r="CB84" s="742"/>
      <c r="CC84" s="742"/>
      <c r="CD84" s="743"/>
      <c r="CE84" s="743"/>
      <c r="CF84" s="743"/>
      <c r="CG84" s="743"/>
      <c r="CH84" s="743"/>
      <c r="CI84" s="743"/>
      <c r="CJ84" s="743"/>
      <c r="CK84" s="742"/>
      <c r="CL84" s="742"/>
      <c r="CM84" s="742"/>
      <c r="CN84" s="742"/>
      <c r="CO84" s="742"/>
      <c r="CP84" s="734"/>
      <c r="CQ84" s="747"/>
      <c r="CR84" s="744"/>
      <c r="CS84" s="730"/>
      <c r="CT84" s="745"/>
      <c r="CU84" s="730"/>
      <c r="CV84" s="730"/>
      <c r="CW84" s="746"/>
      <c r="CX84" s="741"/>
      <c r="CY84" s="734"/>
      <c r="CZ84" s="746"/>
      <c r="DA84" s="730"/>
      <c r="DB84" s="742"/>
      <c r="DC84" s="742"/>
      <c r="DD84" s="742"/>
      <c r="DE84" s="742"/>
      <c r="DF84" s="742"/>
      <c r="DG84" s="742"/>
      <c r="DH84" s="730"/>
      <c r="DI84" s="730"/>
      <c r="DJ84" s="747"/>
      <c r="DK84" s="732"/>
      <c r="DL84" s="732"/>
      <c r="DM84" s="732"/>
      <c r="DN84" s="732"/>
      <c r="DO84" s="732"/>
      <c r="DP84" s="732"/>
      <c r="DQ84" s="730"/>
      <c r="DR84" s="748"/>
      <c r="DS84" s="730"/>
      <c r="DT84" s="730"/>
      <c r="DU84" s="730"/>
      <c r="DV84" s="741"/>
      <c r="DW84" s="741">
        <f>SUM(B84:DV84)</f>
        <v>0</v>
      </c>
      <c r="DX84" s="749"/>
      <c r="DY84" s="659"/>
    </row>
    <row r="85" spans="1:129" ht="14.4">
      <c r="A85" s="706"/>
      <c r="B85" s="707"/>
      <c r="C85" s="712"/>
      <c r="D85" s="712"/>
      <c r="E85" s="712"/>
      <c r="F85" s="714"/>
      <c r="G85" s="714"/>
      <c r="H85" s="712"/>
      <c r="I85" s="709"/>
      <c r="J85" s="707"/>
      <c r="K85" s="710"/>
      <c r="L85" s="710"/>
      <c r="M85" s="710"/>
      <c r="N85" s="711"/>
      <c r="O85" s="711"/>
      <c r="P85" s="709"/>
      <c r="Q85" s="707"/>
      <c r="R85" s="710"/>
      <c r="S85" s="712"/>
      <c r="T85" s="713"/>
      <c r="U85" s="707"/>
      <c r="V85" s="709"/>
      <c r="W85" s="709"/>
      <c r="X85" s="709"/>
      <c r="Y85" s="707"/>
      <c r="Z85" s="712"/>
      <c r="AA85" s="707"/>
      <c r="AB85" s="714"/>
      <c r="AC85" s="714"/>
      <c r="AD85" s="714"/>
      <c r="AE85" s="714"/>
      <c r="AF85" s="714"/>
      <c r="AG85" s="714"/>
      <c r="AH85" s="714"/>
      <c r="AI85" s="714"/>
      <c r="AJ85" s="714"/>
      <c r="AK85" s="714"/>
      <c r="AL85" s="714"/>
      <c r="AM85" s="750"/>
      <c r="AN85" s="750"/>
      <c r="AO85" s="751"/>
      <c r="AP85" s="751"/>
      <c r="AQ85" s="712"/>
      <c r="AR85" s="717"/>
      <c r="AS85" s="717"/>
      <c r="AT85" s="718"/>
      <c r="AU85" s="718"/>
      <c r="AV85" s="719"/>
      <c r="AW85" s="720"/>
      <c r="AX85" s="720"/>
      <c r="AY85" s="708"/>
      <c r="AZ85" s="708"/>
      <c r="BA85" s="708"/>
      <c r="BB85" s="708"/>
      <c r="BC85" s="708"/>
      <c r="BD85" s="708"/>
      <c r="BE85" s="708"/>
      <c r="BF85" s="708"/>
      <c r="BG85" s="708"/>
      <c r="BH85" s="708"/>
      <c r="BI85" s="708"/>
      <c r="BJ85" s="708"/>
      <c r="BK85" s="708"/>
      <c r="BL85" s="710"/>
      <c r="BM85" s="710"/>
      <c r="BN85" s="710"/>
      <c r="BO85" s="708"/>
      <c r="BP85" s="708"/>
      <c r="BQ85" s="708"/>
      <c r="BR85" s="708"/>
      <c r="BS85" s="708"/>
      <c r="BT85" s="708"/>
      <c r="BU85" s="708"/>
      <c r="BV85" s="719"/>
      <c r="BW85" s="710"/>
      <c r="BX85" s="710"/>
      <c r="BY85" s="710"/>
      <c r="BZ85" s="708"/>
      <c r="CA85" s="708"/>
      <c r="CB85" s="708"/>
      <c r="CC85" s="708"/>
      <c r="CD85" s="716"/>
      <c r="CE85" s="716"/>
      <c r="CF85" s="716"/>
      <c r="CG85" s="716"/>
      <c r="CH85" s="716"/>
      <c r="CI85" s="716"/>
      <c r="CJ85" s="716"/>
      <c r="CK85" s="708"/>
      <c r="CL85" s="708"/>
      <c r="CM85" s="708"/>
      <c r="CN85" s="708"/>
      <c r="CO85" s="708"/>
      <c r="CP85" s="711"/>
      <c r="CQ85" s="724"/>
      <c r="CR85" s="721"/>
      <c r="CS85" s="710"/>
      <c r="CT85" s="722"/>
      <c r="CU85" s="710"/>
      <c r="CV85" s="710"/>
      <c r="CW85" s="723"/>
      <c r="CX85" s="720"/>
      <c r="CY85" s="711"/>
      <c r="CZ85" s="723"/>
      <c r="DA85" s="710"/>
      <c r="DB85" s="708"/>
      <c r="DC85" s="708"/>
      <c r="DD85" s="708"/>
      <c r="DE85" s="708"/>
      <c r="DF85" s="708"/>
      <c r="DG85" s="708"/>
      <c r="DH85" s="710"/>
      <c r="DI85" s="710"/>
      <c r="DJ85" s="724"/>
      <c r="DK85" s="714"/>
      <c r="DL85" s="714"/>
      <c r="DM85" s="714"/>
      <c r="DN85" s="714"/>
      <c r="DO85" s="714"/>
      <c r="DP85" s="714"/>
      <c r="DQ85" s="725"/>
      <c r="DR85" s="726"/>
      <c r="DS85" s="725"/>
      <c r="DT85" s="725"/>
      <c r="DU85" s="725"/>
      <c r="DV85" s="727"/>
      <c r="DW85" s="727">
        <f>SUM(B85:DV85)</f>
        <v>0</v>
      </c>
      <c r="DX85" s="728"/>
      <c r="DY85" s="659"/>
    </row>
    <row r="86" spans="1:129" ht="14.4">
      <c r="A86" s="729" t="s">
        <v>634</v>
      </c>
      <c r="B86" s="730"/>
      <c r="C86" s="731"/>
      <c r="D86" s="731"/>
      <c r="E86" s="731"/>
      <c r="F86" s="732"/>
      <c r="G86" s="732"/>
      <c r="H86" s="731"/>
      <c r="I86" s="733"/>
      <c r="J86" s="730"/>
      <c r="K86" s="730"/>
      <c r="L86" s="730"/>
      <c r="M86" s="730"/>
      <c r="N86" s="734"/>
      <c r="O86" s="734"/>
      <c r="P86" s="733"/>
      <c r="Q86" s="730"/>
      <c r="R86" s="730"/>
      <c r="S86" s="731"/>
      <c r="T86" s="735"/>
      <c r="U86" s="730"/>
      <c r="V86" s="733"/>
      <c r="W86" s="733"/>
      <c r="X86" s="733"/>
      <c r="Y86" s="730"/>
      <c r="Z86" s="730"/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2"/>
      <c r="AM86" s="736"/>
      <c r="AN86" s="736"/>
      <c r="AO86" s="737"/>
      <c r="AP86" s="737"/>
      <c r="AQ86" s="730"/>
      <c r="AR86" s="738"/>
      <c r="AS86" s="738"/>
      <c r="AT86" s="739"/>
      <c r="AU86" s="739"/>
      <c r="AV86" s="740"/>
      <c r="AW86" s="730"/>
      <c r="AX86" s="730"/>
      <c r="AY86" s="742"/>
      <c r="AZ86" s="742"/>
      <c r="BA86" s="742"/>
      <c r="BB86" s="742"/>
      <c r="BC86" s="742"/>
      <c r="BD86" s="742"/>
      <c r="BE86" s="742"/>
      <c r="BF86" s="742"/>
      <c r="BG86" s="742"/>
      <c r="BH86" s="742"/>
      <c r="BI86" s="742"/>
      <c r="BJ86" s="742"/>
      <c r="BK86" s="742"/>
      <c r="BL86" s="730"/>
      <c r="BM86" s="730"/>
      <c r="BN86" s="730"/>
      <c r="BO86" s="742"/>
      <c r="BP86" s="742"/>
      <c r="BQ86" s="742"/>
      <c r="BR86" s="742"/>
      <c r="BS86" s="742"/>
      <c r="BT86" s="742"/>
      <c r="BU86" s="742"/>
      <c r="BV86" s="740"/>
      <c r="BW86" s="730"/>
      <c r="BX86" s="730"/>
      <c r="BY86" s="730"/>
      <c r="BZ86" s="742"/>
      <c r="CA86" s="742"/>
      <c r="CB86" s="742"/>
      <c r="CC86" s="742"/>
      <c r="CD86" s="743"/>
      <c r="CE86" s="743"/>
      <c r="CF86" s="743"/>
      <c r="CG86" s="743"/>
      <c r="CH86" s="743"/>
      <c r="CI86" s="743"/>
      <c r="CJ86" s="743"/>
      <c r="CK86" s="742"/>
      <c r="CL86" s="742"/>
      <c r="CM86" s="742"/>
      <c r="CN86" s="742"/>
      <c r="CO86" s="742"/>
      <c r="CP86" s="734"/>
      <c r="CQ86" s="747"/>
      <c r="CR86" s="744"/>
      <c r="CS86" s="730"/>
      <c r="CT86" s="745"/>
      <c r="CU86" s="730"/>
      <c r="CV86" s="730"/>
      <c r="CW86" s="746"/>
      <c r="CX86" s="741"/>
      <c r="CY86" s="734"/>
      <c r="CZ86" s="746"/>
      <c r="DA86" s="730"/>
      <c r="DB86" s="742"/>
      <c r="DC86" s="742"/>
      <c r="DD86" s="742"/>
      <c r="DE86" s="742"/>
      <c r="DF86" s="742"/>
      <c r="DG86" s="742"/>
      <c r="DH86" s="730"/>
      <c r="DI86" s="730"/>
      <c r="DJ86" s="747"/>
      <c r="DK86" s="732"/>
      <c r="DL86" s="732"/>
      <c r="DM86" s="732"/>
      <c r="DN86" s="732"/>
      <c r="DO86" s="732"/>
      <c r="DP86" s="732"/>
      <c r="DQ86" s="730"/>
      <c r="DR86" s="748"/>
      <c r="DS86" s="730"/>
      <c r="DT86" s="730"/>
      <c r="DU86" s="730"/>
      <c r="DV86" s="741"/>
      <c r="DW86" s="741">
        <f>SUM(B86:DV86)</f>
        <v>0</v>
      </c>
      <c r="DX86" s="752" t="str">
        <f>A86</f>
        <v xml:space="preserve">Складе ИП Антошина (Брянск) на 18-00 </v>
      </c>
      <c r="DY86" s="659"/>
    </row>
    <row r="87" spans="1:129" thickBot="1">
      <c r="A87" s="753" t="s">
        <v>635</v>
      </c>
      <c r="B87" s="754"/>
      <c r="C87" s="755"/>
      <c r="D87" s="755"/>
      <c r="E87" s="755"/>
      <c r="F87" s="755"/>
      <c r="G87" s="755"/>
      <c r="H87" s="757"/>
      <c r="I87" s="756"/>
      <c r="J87" s="754"/>
      <c r="K87" s="757"/>
      <c r="L87" s="757"/>
      <c r="M87" s="757"/>
      <c r="N87" s="758"/>
      <c r="O87" s="758"/>
      <c r="P87" s="756"/>
      <c r="Q87" s="754"/>
      <c r="R87" s="757"/>
      <c r="S87" s="759"/>
      <c r="T87" s="760"/>
      <c r="U87" s="754"/>
      <c r="V87" s="756"/>
      <c r="W87" s="756"/>
      <c r="X87" s="756"/>
      <c r="Y87" s="754"/>
      <c r="Z87" s="759"/>
      <c r="AA87" s="754"/>
      <c r="AB87" s="757"/>
      <c r="AC87" s="757"/>
      <c r="AD87" s="757"/>
      <c r="AE87" s="757"/>
      <c r="AF87" s="757"/>
      <c r="AG87" s="757"/>
      <c r="AH87" s="757"/>
      <c r="AI87" s="757"/>
      <c r="AJ87" s="757"/>
      <c r="AK87" s="757"/>
      <c r="AL87" s="755"/>
      <c r="AM87" s="761"/>
      <c r="AN87" s="761"/>
      <c r="AO87" s="762"/>
      <c r="AP87" s="762"/>
      <c r="AQ87" s="757"/>
      <c r="AR87" s="763"/>
      <c r="AS87" s="763"/>
      <c r="AT87" s="764"/>
      <c r="AU87" s="764"/>
      <c r="AV87" s="765"/>
      <c r="AW87" s="766"/>
      <c r="AX87" s="766"/>
      <c r="AY87" s="755"/>
      <c r="AZ87" s="755"/>
      <c r="BA87" s="755"/>
      <c r="BB87" s="755"/>
      <c r="BC87" s="755"/>
      <c r="BD87" s="755"/>
      <c r="BE87" s="755"/>
      <c r="BF87" s="757"/>
      <c r="BG87" s="757"/>
      <c r="BH87" s="757"/>
      <c r="BI87" s="757"/>
      <c r="BJ87" s="757"/>
      <c r="BK87" s="757"/>
      <c r="BL87" s="757"/>
      <c r="BM87" s="757"/>
      <c r="BN87" s="757"/>
      <c r="BO87" s="757"/>
      <c r="BP87" s="755"/>
      <c r="BQ87" s="755"/>
      <c r="BR87" s="755"/>
      <c r="BS87" s="755"/>
      <c r="BT87" s="755"/>
      <c r="BU87" s="755"/>
      <c r="BV87" s="765"/>
      <c r="BW87" s="757"/>
      <c r="BX87" s="757"/>
      <c r="BY87" s="757"/>
      <c r="BZ87" s="755"/>
      <c r="CA87" s="755"/>
      <c r="CB87" s="755"/>
      <c r="CC87" s="755"/>
      <c r="CD87" s="762"/>
      <c r="CE87" s="762"/>
      <c r="CF87" s="762"/>
      <c r="CG87" s="762"/>
      <c r="CH87" s="762"/>
      <c r="CI87" s="762"/>
      <c r="CJ87" s="762"/>
      <c r="CK87" s="755"/>
      <c r="CL87" s="755"/>
      <c r="CM87" s="755"/>
      <c r="CN87" s="755"/>
      <c r="CO87" s="755"/>
      <c r="CP87" s="758"/>
      <c r="CQ87" s="770"/>
      <c r="CR87" s="767"/>
      <c r="CS87" s="757"/>
      <c r="CT87" s="768"/>
      <c r="CU87" s="757"/>
      <c r="CV87" s="757"/>
      <c r="CW87" s="769"/>
      <c r="CX87" s="766"/>
      <c r="CY87" s="758"/>
      <c r="CZ87" s="769"/>
      <c r="DA87" s="757"/>
      <c r="DB87" s="755"/>
      <c r="DC87" s="755"/>
      <c r="DD87" s="755"/>
      <c r="DE87" s="755"/>
      <c r="DF87" s="755"/>
      <c r="DG87" s="755"/>
      <c r="DH87" s="757"/>
      <c r="DI87" s="757"/>
      <c r="DJ87" s="770"/>
      <c r="DK87" s="755"/>
      <c r="DL87" s="755"/>
      <c r="DM87" s="755"/>
      <c r="DN87" s="755"/>
      <c r="DO87" s="755"/>
      <c r="DP87" s="755"/>
      <c r="DQ87" s="771"/>
      <c r="DR87" s="772">
        <f>SUM(DR9:DR79)</f>
        <v>0</v>
      </c>
      <c r="DS87" s="772">
        <f>SUM(DS9:DS79)</f>
        <v>0</v>
      </c>
      <c r="DT87" s="772"/>
      <c r="DU87" s="772">
        <f>SUM(DU9:DU79)</f>
        <v>0</v>
      </c>
      <c r="DV87" s="772"/>
      <c r="DW87" s="773">
        <f>SUM(B87:DV87)</f>
        <v>0</v>
      </c>
      <c r="DX87" s="774" t="str">
        <f>A87</f>
        <v>Камере созревания (производство) на 18-00</v>
      </c>
      <c r="DY87" s="659"/>
    </row>
    <row r="88" spans="1:129" ht="15.6" thickTop="1" thickBot="1">
      <c r="A88" s="775"/>
      <c r="B88" s="776"/>
      <c r="C88" s="776"/>
      <c r="D88" s="776"/>
      <c r="E88" s="776"/>
      <c r="F88" s="776"/>
      <c r="G88" s="776"/>
      <c r="H88" s="776"/>
      <c r="I88" s="776"/>
      <c r="J88" s="776"/>
      <c r="K88" s="776"/>
      <c r="L88" s="776"/>
      <c r="M88" s="776"/>
      <c r="N88" s="776"/>
      <c r="O88" s="776"/>
      <c r="P88" s="777"/>
      <c r="Q88" s="778"/>
      <c r="R88" s="778"/>
      <c r="S88" s="778"/>
      <c r="T88" s="776"/>
      <c r="U88" s="776"/>
      <c r="V88" s="776"/>
      <c r="W88" s="776"/>
      <c r="X88" s="776"/>
      <c r="Y88" s="776"/>
      <c r="Z88" s="776"/>
      <c r="AA88" s="776"/>
      <c r="AB88" s="776"/>
      <c r="AC88" s="776"/>
      <c r="AD88" s="776"/>
      <c r="AE88" s="776"/>
      <c r="AF88" s="776"/>
      <c r="AG88" s="776"/>
      <c r="AH88" s="776"/>
      <c r="AI88" s="776"/>
      <c r="AJ88" s="776"/>
      <c r="AK88" s="776"/>
      <c r="AL88" s="776"/>
      <c r="AM88" s="777"/>
      <c r="AN88" s="777"/>
      <c r="AO88" s="777"/>
      <c r="AP88" s="777"/>
      <c r="AQ88" s="776"/>
      <c r="AR88" s="779"/>
      <c r="AS88" s="779"/>
      <c r="AT88" s="776"/>
      <c r="AU88" s="776"/>
      <c r="AV88" s="776"/>
      <c r="AW88" s="776"/>
      <c r="AX88" s="776"/>
      <c r="AY88" s="776"/>
      <c r="AZ88" s="776"/>
      <c r="BA88" s="776"/>
      <c r="BB88" s="776"/>
      <c r="BC88" s="776"/>
      <c r="BD88" s="776"/>
      <c r="BE88" s="776"/>
      <c r="BF88" s="776"/>
      <c r="BG88" s="776"/>
      <c r="BH88" s="776"/>
      <c r="BI88" s="776"/>
      <c r="BJ88" s="776"/>
      <c r="BK88" s="776"/>
      <c r="BL88" s="776"/>
      <c r="BM88" s="776"/>
      <c r="BN88" s="776"/>
      <c r="BO88" s="776"/>
      <c r="BP88" s="776"/>
      <c r="BQ88" s="776"/>
      <c r="BR88" s="776"/>
      <c r="BS88" s="776"/>
      <c r="BT88" s="776"/>
      <c r="BU88" s="776"/>
      <c r="BV88" s="776"/>
      <c r="BW88" s="776"/>
      <c r="BX88" s="776"/>
      <c r="BY88" s="776"/>
      <c r="BZ88" s="776"/>
      <c r="CA88" s="776"/>
      <c r="CB88" s="776"/>
      <c r="CC88" s="776"/>
      <c r="CD88" s="777"/>
      <c r="CE88" s="777"/>
      <c r="CF88" s="777"/>
      <c r="CG88" s="777"/>
      <c r="CH88" s="777"/>
      <c r="CI88" s="777"/>
      <c r="CJ88" s="777"/>
      <c r="CK88" s="776"/>
      <c r="CL88" s="776"/>
      <c r="CM88" s="776"/>
      <c r="CN88" s="776"/>
      <c r="CO88" s="776"/>
      <c r="CP88" s="776"/>
      <c r="CQ88" s="776"/>
      <c r="CR88" s="776"/>
      <c r="CS88" s="776"/>
      <c r="CT88" s="776"/>
      <c r="CU88" s="776"/>
      <c r="CV88" s="776"/>
      <c r="CW88" s="776"/>
      <c r="CX88" s="776"/>
      <c r="CY88" s="776"/>
      <c r="CZ88" s="776"/>
      <c r="DA88" s="776"/>
      <c r="DB88" s="776"/>
      <c r="DC88" s="776"/>
      <c r="DD88" s="776"/>
      <c r="DE88" s="776"/>
      <c r="DF88" s="776"/>
      <c r="DG88" s="776"/>
      <c r="DH88" s="776"/>
      <c r="DI88" s="776"/>
      <c r="DJ88" s="780"/>
      <c r="DK88" s="776"/>
      <c r="DL88" s="776"/>
      <c r="DM88" s="776"/>
      <c r="DN88" s="776"/>
      <c r="DO88" s="776"/>
      <c r="DP88" s="776"/>
      <c r="DQ88" s="776"/>
      <c r="DR88" s="780"/>
      <c r="DS88" s="776"/>
      <c r="DT88" s="776"/>
      <c r="DU88" s="776"/>
      <c r="DV88" s="781"/>
      <c r="DW88" s="776"/>
      <c r="DX88" s="782"/>
      <c r="DY88" s="659"/>
    </row>
    <row r="89" spans="1:129" ht="15.6" hidden="1" customHeight="1" outlineLevel="2" thickBot="1">
      <c r="A89" s="783" t="s">
        <v>636</v>
      </c>
      <c r="B89" s="784">
        <f t="shared" ref="B89:BM89" si="18">SUM(B90:B95)</f>
        <v>0</v>
      </c>
      <c r="C89" s="784">
        <f t="shared" si="18"/>
        <v>0</v>
      </c>
      <c r="D89" s="784">
        <f t="shared" si="18"/>
        <v>0</v>
      </c>
      <c r="E89" s="784">
        <f t="shared" si="18"/>
        <v>0</v>
      </c>
      <c r="F89" s="784">
        <f t="shared" si="18"/>
        <v>0</v>
      </c>
      <c r="G89" s="784">
        <f t="shared" si="18"/>
        <v>0</v>
      </c>
      <c r="H89" s="784">
        <f t="shared" si="18"/>
        <v>0</v>
      </c>
      <c r="I89" s="784">
        <f t="shared" si="18"/>
        <v>0</v>
      </c>
      <c r="J89" s="784">
        <f t="shared" si="18"/>
        <v>0</v>
      </c>
      <c r="K89" s="784">
        <f t="shared" si="18"/>
        <v>0</v>
      </c>
      <c r="L89" s="784">
        <f t="shared" si="18"/>
        <v>0</v>
      </c>
      <c r="M89" s="784">
        <f t="shared" si="18"/>
        <v>0</v>
      </c>
      <c r="N89" s="784">
        <f t="shared" si="18"/>
        <v>0</v>
      </c>
      <c r="O89" s="784">
        <f t="shared" si="18"/>
        <v>0</v>
      </c>
      <c r="P89" s="1815">
        <f t="shared" si="18"/>
        <v>0</v>
      </c>
      <c r="Q89" s="787">
        <f t="shared" si="18"/>
        <v>0</v>
      </c>
      <c r="R89" s="787">
        <f t="shared" si="18"/>
        <v>0</v>
      </c>
      <c r="S89" s="787">
        <f t="shared" si="18"/>
        <v>0</v>
      </c>
      <c r="T89" s="784">
        <f t="shared" si="18"/>
        <v>0</v>
      </c>
      <c r="U89" s="784">
        <f t="shared" si="18"/>
        <v>0</v>
      </c>
      <c r="V89" s="784">
        <f t="shared" si="18"/>
        <v>0</v>
      </c>
      <c r="W89" s="784">
        <f t="shared" si="18"/>
        <v>0</v>
      </c>
      <c r="X89" s="784"/>
      <c r="Y89" s="784">
        <f t="shared" si="18"/>
        <v>0</v>
      </c>
      <c r="Z89" s="784">
        <f t="shared" si="18"/>
        <v>0</v>
      </c>
      <c r="AA89" s="784">
        <f t="shared" si="18"/>
        <v>0</v>
      </c>
      <c r="AB89" s="784">
        <f t="shared" si="18"/>
        <v>0</v>
      </c>
      <c r="AC89" s="784">
        <f t="shared" si="18"/>
        <v>0</v>
      </c>
      <c r="AD89" s="784">
        <f t="shared" si="18"/>
        <v>0</v>
      </c>
      <c r="AE89" s="784">
        <f t="shared" si="18"/>
        <v>0</v>
      </c>
      <c r="AF89" s="784">
        <f t="shared" si="18"/>
        <v>0</v>
      </c>
      <c r="AG89" s="784">
        <f t="shared" si="18"/>
        <v>0</v>
      </c>
      <c r="AH89" s="784">
        <f t="shared" si="18"/>
        <v>0</v>
      </c>
      <c r="AI89" s="784">
        <f t="shared" si="18"/>
        <v>0</v>
      </c>
      <c r="AJ89" s="784">
        <f t="shared" si="18"/>
        <v>0</v>
      </c>
      <c r="AK89" s="784">
        <f t="shared" si="18"/>
        <v>0</v>
      </c>
      <c r="AL89" s="784">
        <f t="shared" si="18"/>
        <v>0</v>
      </c>
      <c r="AM89" s="1815">
        <f t="shared" si="18"/>
        <v>0</v>
      </c>
      <c r="AN89" s="1815">
        <f t="shared" si="18"/>
        <v>0</v>
      </c>
      <c r="AO89" s="1815">
        <f t="shared" si="18"/>
        <v>0</v>
      </c>
      <c r="AP89" s="1815">
        <f t="shared" si="18"/>
        <v>0</v>
      </c>
      <c r="AQ89" s="784">
        <f t="shared" si="18"/>
        <v>0</v>
      </c>
      <c r="AR89" s="784">
        <f t="shared" si="18"/>
        <v>0</v>
      </c>
      <c r="AS89" s="784">
        <f t="shared" si="18"/>
        <v>0</v>
      </c>
      <c r="AT89" s="784">
        <f t="shared" si="18"/>
        <v>0</v>
      </c>
      <c r="AU89" s="784">
        <f t="shared" si="18"/>
        <v>0</v>
      </c>
      <c r="AV89" s="784">
        <f t="shared" si="18"/>
        <v>0</v>
      </c>
      <c r="AW89" s="784">
        <f t="shared" si="18"/>
        <v>0</v>
      </c>
      <c r="AX89" s="784">
        <f t="shared" si="18"/>
        <v>0</v>
      </c>
      <c r="AY89" s="784">
        <f t="shared" si="18"/>
        <v>0</v>
      </c>
      <c r="AZ89" s="784">
        <f t="shared" si="18"/>
        <v>0</v>
      </c>
      <c r="BA89" s="784">
        <f t="shared" si="18"/>
        <v>0</v>
      </c>
      <c r="BB89" s="784">
        <f t="shared" si="18"/>
        <v>0</v>
      </c>
      <c r="BC89" s="784">
        <f t="shared" si="18"/>
        <v>0</v>
      </c>
      <c r="BD89" s="784">
        <f t="shared" si="18"/>
        <v>0</v>
      </c>
      <c r="BE89" s="784">
        <f t="shared" si="18"/>
        <v>0</v>
      </c>
      <c r="BF89" s="784">
        <f t="shared" si="18"/>
        <v>0</v>
      </c>
      <c r="BG89" s="784">
        <f t="shared" si="18"/>
        <v>0</v>
      </c>
      <c r="BH89" s="784">
        <f t="shared" si="18"/>
        <v>0</v>
      </c>
      <c r="BI89" s="784">
        <f t="shared" si="18"/>
        <v>0</v>
      </c>
      <c r="BJ89" s="784">
        <f t="shared" si="18"/>
        <v>0</v>
      </c>
      <c r="BK89" s="784">
        <f t="shared" si="18"/>
        <v>0</v>
      </c>
      <c r="BL89" s="784">
        <f t="shared" si="18"/>
        <v>0</v>
      </c>
      <c r="BM89" s="784">
        <f t="shared" si="18"/>
        <v>0</v>
      </c>
      <c r="BN89" s="784">
        <f t="shared" ref="BN89:DV89" si="19">SUM(BN90:BN95)</f>
        <v>0</v>
      </c>
      <c r="BO89" s="784">
        <f t="shared" si="19"/>
        <v>0</v>
      </c>
      <c r="BP89" s="784">
        <f t="shared" si="19"/>
        <v>0</v>
      </c>
      <c r="BQ89" s="784">
        <f t="shared" si="19"/>
        <v>0</v>
      </c>
      <c r="BR89" s="784">
        <f t="shared" si="19"/>
        <v>0</v>
      </c>
      <c r="BS89" s="784">
        <f t="shared" si="19"/>
        <v>0</v>
      </c>
      <c r="BT89" s="784">
        <f t="shared" si="19"/>
        <v>0</v>
      </c>
      <c r="BU89" s="784">
        <f t="shared" si="19"/>
        <v>0</v>
      </c>
      <c r="BV89" s="784">
        <f t="shared" si="19"/>
        <v>0</v>
      </c>
      <c r="BW89" s="784">
        <f t="shared" si="19"/>
        <v>0</v>
      </c>
      <c r="BX89" s="784">
        <f t="shared" si="19"/>
        <v>0</v>
      </c>
      <c r="BY89" s="784">
        <f t="shared" si="19"/>
        <v>0</v>
      </c>
      <c r="BZ89" s="784">
        <f t="shared" si="19"/>
        <v>0</v>
      </c>
      <c r="CA89" s="784">
        <f t="shared" si="19"/>
        <v>0</v>
      </c>
      <c r="CB89" s="784">
        <f t="shared" si="19"/>
        <v>0</v>
      </c>
      <c r="CC89" s="784">
        <f t="shared" si="19"/>
        <v>0</v>
      </c>
      <c r="CD89" s="1815">
        <f t="shared" si="19"/>
        <v>0</v>
      </c>
      <c r="CE89" s="1815">
        <f t="shared" si="19"/>
        <v>0</v>
      </c>
      <c r="CF89" s="1815">
        <f t="shared" si="19"/>
        <v>0</v>
      </c>
      <c r="CG89" s="1815">
        <f t="shared" si="19"/>
        <v>0</v>
      </c>
      <c r="CH89" s="1815">
        <f t="shared" si="19"/>
        <v>0</v>
      </c>
      <c r="CI89" s="1815">
        <f t="shared" si="19"/>
        <v>0</v>
      </c>
      <c r="CJ89" s="1815">
        <f t="shared" si="19"/>
        <v>0</v>
      </c>
      <c r="CK89" s="784">
        <f t="shared" si="19"/>
        <v>0</v>
      </c>
      <c r="CL89" s="784">
        <f t="shared" si="19"/>
        <v>0</v>
      </c>
      <c r="CM89" s="784">
        <f t="shared" si="19"/>
        <v>0</v>
      </c>
      <c r="CN89" s="784">
        <f t="shared" si="19"/>
        <v>0</v>
      </c>
      <c r="CO89" s="784">
        <f t="shared" si="19"/>
        <v>0</v>
      </c>
      <c r="CP89" s="784">
        <f t="shared" si="19"/>
        <v>0</v>
      </c>
      <c r="CQ89" s="784">
        <f t="shared" si="19"/>
        <v>0</v>
      </c>
      <c r="CR89" s="784">
        <f t="shared" si="19"/>
        <v>0</v>
      </c>
      <c r="CS89" s="784">
        <f t="shared" si="19"/>
        <v>0</v>
      </c>
      <c r="CT89" s="784">
        <f t="shared" si="19"/>
        <v>0</v>
      </c>
      <c r="CU89" s="784">
        <f t="shared" si="19"/>
        <v>0</v>
      </c>
      <c r="CV89" s="784">
        <f t="shared" si="19"/>
        <v>0</v>
      </c>
      <c r="CW89" s="784">
        <f t="shared" si="19"/>
        <v>0</v>
      </c>
      <c r="CX89" s="784">
        <f t="shared" si="19"/>
        <v>0</v>
      </c>
      <c r="CY89" s="784">
        <f t="shared" si="19"/>
        <v>0</v>
      </c>
      <c r="CZ89" s="784">
        <f t="shared" si="19"/>
        <v>0</v>
      </c>
      <c r="DA89" s="784">
        <f t="shared" si="19"/>
        <v>0</v>
      </c>
      <c r="DB89" s="784">
        <f t="shared" si="19"/>
        <v>0</v>
      </c>
      <c r="DC89" s="784">
        <f t="shared" si="19"/>
        <v>0</v>
      </c>
      <c r="DD89" s="784">
        <f t="shared" si="19"/>
        <v>0</v>
      </c>
      <c r="DE89" s="784">
        <f t="shared" si="19"/>
        <v>0</v>
      </c>
      <c r="DF89" s="784">
        <f t="shared" si="19"/>
        <v>0</v>
      </c>
      <c r="DG89" s="784">
        <f t="shared" si="19"/>
        <v>0</v>
      </c>
      <c r="DH89" s="784">
        <f t="shared" si="19"/>
        <v>0</v>
      </c>
      <c r="DI89" s="784">
        <f t="shared" si="19"/>
        <v>0</v>
      </c>
      <c r="DJ89" s="784">
        <f t="shared" si="19"/>
        <v>0</v>
      </c>
      <c r="DK89" s="784">
        <f t="shared" si="19"/>
        <v>0</v>
      </c>
      <c r="DL89" s="784">
        <f t="shared" si="19"/>
        <v>0</v>
      </c>
      <c r="DM89" s="784">
        <f t="shared" si="19"/>
        <v>0</v>
      </c>
      <c r="DN89" s="784">
        <f t="shared" si="19"/>
        <v>0</v>
      </c>
      <c r="DO89" s="784">
        <f t="shared" si="19"/>
        <v>0</v>
      </c>
      <c r="DP89" s="784">
        <f t="shared" si="19"/>
        <v>0</v>
      </c>
      <c r="DQ89" s="785">
        <f t="shared" si="19"/>
        <v>0</v>
      </c>
      <c r="DR89" s="789">
        <f t="shared" si="19"/>
        <v>0</v>
      </c>
      <c r="DS89" s="785"/>
      <c r="DT89" s="785"/>
      <c r="DU89" s="785"/>
      <c r="DV89" s="786">
        <f t="shared" si="19"/>
        <v>0</v>
      </c>
      <c r="DW89" s="786">
        <f t="shared" ref="DW89:DW95" si="20">SUM(B89:DV89)</f>
        <v>0</v>
      </c>
      <c r="DX89" s="783" t="s">
        <v>636</v>
      </c>
      <c r="DY89" s="659"/>
    </row>
    <row r="90" spans="1:129" ht="15.6" hidden="1" customHeight="1" outlineLevel="2" thickTop="1" thickBot="1">
      <c r="A90" s="729" t="str">
        <f t="shared" ref="A90:A95" si="21">A82</f>
        <v>Склад ГП на 18-00</v>
      </c>
      <c r="B90" s="731"/>
      <c r="C90" s="731"/>
      <c r="D90" s="731"/>
      <c r="E90" s="731"/>
      <c r="F90" s="732"/>
      <c r="G90" s="730"/>
      <c r="H90" s="730"/>
      <c r="I90" s="730"/>
      <c r="J90" s="730"/>
      <c r="K90" s="730"/>
      <c r="L90" s="730"/>
      <c r="M90" s="730"/>
      <c r="N90" s="747"/>
      <c r="O90" s="747"/>
      <c r="P90" s="737"/>
      <c r="Q90" s="790"/>
      <c r="R90" s="790"/>
      <c r="S90" s="790"/>
      <c r="T90" s="730"/>
      <c r="U90" s="730"/>
      <c r="V90" s="730"/>
      <c r="W90" s="730"/>
      <c r="X90" s="730"/>
      <c r="Y90" s="730"/>
      <c r="Z90" s="730"/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2"/>
      <c r="AM90" s="736"/>
      <c r="AN90" s="736"/>
      <c r="AO90" s="737"/>
      <c r="AP90" s="737"/>
      <c r="AQ90" s="730"/>
      <c r="AR90" s="747"/>
      <c r="AS90" s="747"/>
      <c r="AT90" s="747"/>
      <c r="AU90" s="747"/>
      <c r="AV90" s="747"/>
      <c r="AW90" s="747"/>
      <c r="AX90" s="747"/>
      <c r="AY90" s="730"/>
      <c r="AZ90" s="730"/>
      <c r="BA90" s="732"/>
      <c r="BB90" s="732"/>
      <c r="BC90" s="732"/>
      <c r="BD90" s="732"/>
      <c r="BE90" s="732"/>
      <c r="BF90" s="730"/>
      <c r="BG90" s="730"/>
      <c r="BH90" s="730"/>
      <c r="BI90" s="730"/>
      <c r="BJ90" s="730"/>
      <c r="BK90" s="730"/>
      <c r="BL90" s="730"/>
      <c r="BM90" s="730"/>
      <c r="BN90" s="730"/>
      <c r="BO90" s="732"/>
      <c r="BP90" s="732"/>
      <c r="BQ90" s="732"/>
      <c r="BR90" s="732"/>
      <c r="BS90" s="732"/>
      <c r="BT90" s="732"/>
      <c r="BU90" s="732"/>
      <c r="BV90" s="730"/>
      <c r="BW90" s="730"/>
      <c r="BX90" s="730"/>
      <c r="BY90" s="730"/>
      <c r="BZ90" s="732"/>
      <c r="CA90" s="732"/>
      <c r="CB90" s="732"/>
      <c r="CC90" s="732"/>
      <c r="CD90" s="737"/>
      <c r="CE90" s="737"/>
      <c r="CF90" s="737"/>
      <c r="CG90" s="737"/>
      <c r="CH90" s="737"/>
      <c r="CI90" s="737"/>
      <c r="CJ90" s="737"/>
      <c r="CK90" s="732"/>
      <c r="CL90" s="732"/>
      <c r="CM90" s="732"/>
      <c r="CN90" s="732"/>
      <c r="CO90" s="732"/>
      <c r="CP90" s="734"/>
      <c r="CQ90" s="747"/>
      <c r="CR90" s="744"/>
      <c r="CS90" s="730"/>
      <c r="CT90" s="730"/>
      <c r="CU90" s="730"/>
      <c r="CV90" s="730"/>
      <c r="CW90" s="746"/>
      <c r="CX90" s="741"/>
      <c r="CY90" s="734"/>
      <c r="CZ90" s="730"/>
      <c r="DA90" s="747"/>
      <c r="DB90" s="730"/>
      <c r="DC90" s="730"/>
      <c r="DD90" s="730"/>
      <c r="DE90" s="730"/>
      <c r="DF90" s="732"/>
      <c r="DG90" s="732"/>
      <c r="DH90" s="730"/>
      <c r="DI90" s="730"/>
      <c r="DJ90" s="747"/>
      <c r="DK90" s="732"/>
      <c r="DL90" s="732"/>
      <c r="DM90" s="732"/>
      <c r="DN90" s="732"/>
      <c r="DO90" s="732"/>
      <c r="DP90" s="732"/>
      <c r="DQ90" s="730"/>
      <c r="DR90" s="748"/>
      <c r="DS90" s="730"/>
      <c r="DT90" s="730"/>
      <c r="DU90" s="730"/>
      <c r="DV90" s="741"/>
      <c r="DW90" s="741">
        <f t="shared" si="20"/>
        <v>0</v>
      </c>
      <c r="DX90" s="749" t="s">
        <v>637</v>
      </c>
      <c r="DY90" s="659"/>
    </row>
    <row r="91" spans="1:129" ht="15.6" hidden="1" customHeight="1" outlineLevel="2" thickTop="1">
      <c r="A91" s="706" t="str">
        <f t="shared" si="21"/>
        <v>Склад ПроФреш на 12-00</v>
      </c>
      <c r="B91" s="791"/>
      <c r="C91" s="791"/>
      <c r="D91" s="791"/>
      <c r="E91" s="791"/>
      <c r="F91" s="792"/>
      <c r="G91" s="725"/>
      <c r="H91" s="725"/>
      <c r="I91" s="727"/>
      <c r="J91" s="727"/>
      <c r="K91" s="727"/>
      <c r="L91" s="727"/>
      <c r="M91" s="727"/>
      <c r="N91" s="793"/>
      <c r="O91" s="793"/>
      <c r="P91" s="794"/>
      <c r="Q91" s="712"/>
      <c r="R91" s="712"/>
      <c r="S91" s="712"/>
      <c r="T91" s="725"/>
      <c r="U91" s="725"/>
      <c r="V91" s="725"/>
      <c r="W91" s="725"/>
      <c r="X91" s="725"/>
      <c r="Y91" s="791"/>
      <c r="Z91" s="791"/>
      <c r="AA91" s="795"/>
      <c r="AB91" s="792"/>
      <c r="AC91" s="792"/>
      <c r="AD91" s="792"/>
      <c r="AE91" s="792"/>
      <c r="AF91" s="792"/>
      <c r="AG91" s="792"/>
      <c r="AH91" s="792"/>
      <c r="AI91" s="792"/>
      <c r="AJ91" s="792"/>
      <c r="AK91" s="792"/>
      <c r="AL91" s="792"/>
      <c r="AM91" s="796"/>
      <c r="AN91" s="796"/>
      <c r="AO91" s="794"/>
      <c r="AP91" s="794"/>
      <c r="AQ91" s="791"/>
      <c r="AR91" s="797"/>
      <c r="AS91" s="797"/>
      <c r="AT91" s="797"/>
      <c r="AU91" s="797"/>
      <c r="AV91" s="797"/>
      <c r="AW91" s="726"/>
      <c r="AX91" s="726"/>
      <c r="AY91" s="795"/>
      <c r="AZ91" s="795"/>
      <c r="BA91" s="792"/>
      <c r="BB91" s="792"/>
      <c r="BC91" s="791"/>
      <c r="BD91" s="791"/>
      <c r="BE91" s="791"/>
      <c r="BF91" s="725"/>
      <c r="BG91" s="725"/>
      <c r="BH91" s="725"/>
      <c r="BI91" s="725"/>
      <c r="BJ91" s="725"/>
      <c r="BK91" s="725"/>
      <c r="BL91" s="795"/>
      <c r="BM91" s="795"/>
      <c r="BN91" s="795"/>
      <c r="BO91" s="792"/>
      <c r="BP91" s="791"/>
      <c r="BQ91" s="791"/>
      <c r="BR91" s="791"/>
      <c r="BS91" s="791"/>
      <c r="BT91" s="791"/>
      <c r="BU91" s="791"/>
      <c r="BV91" s="791"/>
      <c r="BW91" s="795"/>
      <c r="BX91" s="795"/>
      <c r="BY91" s="795"/>
      <c r="BZ91" s="792"/>
      <c r="CA91" s="792"/>
      <c r="CB91" s="792"/>
      <c r="CC91" s="792"/>
      <c r="CD91" s="794"/>
      <c r="CE91" s="794"/>
      <c r="CF91" s="794"/>
      <c r="CG91" s="794"/>
      <c r="CH91" s="794"/>
      <c r="CI91" s="794"/>
      <c r="CJ91" s="794"/>
      <c r="CK91" s="792"/>
      <c r="CL91" s="792"/>
      <c r="CM91" s="792"/>
      <c r="CN91" s="792"/>
      <c r="CO91" s="792"/>
      <c r="CP91" s="793"/>
      <c r="CQ91" s="797"/>
      <c r="CR91" s="798"/>
      <c r="CS91" s="725"/>
      <c r="CT91" s="725"/>
      <c r="CU91" s="725"/>
      <c r="CV91" s="725"/>
      <c r="CW91" s="799"/>
      <c r="CX91" s="727"/>
      <c r="CY91" s="793"/>
      <c r="CZ91" s="725"/>
      <c r="DA91" s="726"/>
      <c r="DB91" s="795"/>
      <c r="DC91" s="795"/>
      <c r="DD91" s="795"/>
      <c r="DE91" s="795"/>
      <c r="DF91" s="792"/>
      <c r="DG91" s="792"/>
      <c r="DH91" s="791"/>
      <c r="DI91" s="725"/>
      <c r="DJ91" s="797"/>
      <c r="DK91" s="792"/>
      <c r="DL91" s="792"/>
      <c r="DM91" s="792"/>
      <c r="DN91" s="792"/>
      <c r="DO91" s="792"/>
      <c r="DP91" s="792"/>
      <c r="DQ91" s="725"/>
      <c r="DR91" s="726"/>
      <c r="DS91" s="725"/>
      <c r="DT91" s="725"/>
      <c r="DU91" s="725"/>
      <c r="DV91" s="727"/>
      <c r="DW91" s="727">
        <f t="shared" si="20"/>
        <v>0</v>
      </c>
      <c r="DX91" s="728" t="s">
        <v>638</v>
      </c>
      <c r="DY91" s="659"/>
    </row>
    <row r="92" spans="1:129" ht="15.6" hidden="1" customHeight="1" outlineLevel="2">
      <c r="A92" s="729"/>
      <c r="B92" s="800"/>
      <c r="C92" s="800"/>
      <c r="D92" s="800"/>
      <c r="E92" s="800"/>
      <c r="F92" s="801"/>
      <c r="G92" s="790"/>
      <c r="H92" s="790"/>
      <c r="I92" s="790"/>
      <c r="J92" s="790"/>
      <c r="K92" s="790"/>
      <c r="L92" s="790"/>
      <c r="M92" s="790"/>
      <c r="N92" s="802"/>
      <c r="O92" s="802"/>
      <c r="P92" s="803"/>
      <c r="Q92" s="790"/>
      <c r="R92" s="790"/>
      <c r="S92" s="790"/>
      <c r="T92" s="790"/>
      <c r="U92" s="790"/>
      <c r="V92" s="790"/>
      <c r="W92" s="790"/>
      <c r="X92" s="790"/>
      <c r="Y92" s="790"/>
      <c r="Z92" s="790"/>
      <c r="AA92" s="790"/>
      <c r="AB92" s="790"/>
      <c r="AC92" s="790"/>
      <c r="AD92" s="790"/>
      <c r="AE92" s="790"/>
      <c r="AF92" s="790"/>
      <c r="AG92" s="790"/>
      <c r="AH92" s="790"/>
      <c r="AI92" s="790"/>
      <c r="AJ92" s="790"/>
      <c r="AK92" s="790"/>
      <c r="AL92" s="801"/>
      <c r="AM92" s="804"/>
      <c r="AN92" s="804"/>
      <c r="AO92" s="803"/>
      <c r="AP92" s="803"/>
      <c r="AQ92" s="790"/>
      <c r="AR92" s="802"/>
      <c r="AS92" s="802"/>
      <c r="AT92" s="802"/>
      <c r="AU92" s="802"/>
      <c r="AV92" s="802"/>
      <c r="AW92" s="802"/>
      <c r="AX92" s="802"/>
      <c r="AY92" s="790"/>
      <c r="AZ92" s="790"/>
      <c r="BA92" s="801"/>
      <c r="BB92" s="801"/>
      <c r="BC92" s="801"/>
      <c r="BD92" s="801"/>
      <c r="BE92" s="801"/>
      <c r="BF92" s="790"/>
      <c r="BG92" s="790"/>
      <c r="BH92" s="790"/>
      <c r="BI92" s="790"/>
      <c r="BJ92" s="790"/>
      <c r="BK92" s="790"/>
      <c r="BL92" s="790"/>
      <c r="BM92" s="790"/>
      <c r="BN92" s="790"/>
      <c r="BO92" s="801"/>
      <c r="BP92" s="801"/>
      <c r="BQ92" s="801"/>
      <c r="BR92" s="801"/>
      <c r="BS92" s="801"/>
      <c r="BT92" s="801"/>
      <c r="BU92" s="801"/>
      <c r="BV92" s="790"/>
      <c r="BW92" s="790"/>
      <c r="BX92" s="790"/>
      <c r="BY92" s="790"/>
      <c r="BZ92" s="801"/>
      <c r="CA92" s="801"/>
      <c r="CB92" s="801"/>
      <c r="CC92" s="801"/>
      <c r="CD92" s="803"/>
      <c r="CE92" s="803"/>
      <c r="CF92" s="803"/>
      <c r="CG92" s="803"/>
      <c r="CH92" s="803"/>
      <c r="CI92" s="803"/>
      <c r="CJ92" s="803"/>
      <c r="CK92" s="801"/>
      <c r="CL92" s="801"/>
      <c r="CM92" s="801"/>
      <c r="CN92" s="801"/>
      <c r="CO92" s="801"/>
      <c r="CP92" s="805"/>
      <c r="CQ92" s="802"/>
      <c r="CR92" s="806"/>
      <c r="CS92" s="790"/>
      <c r="CT92" s="790"/>
      <c r="CU92" s="790"/>
      <c r="CV92" s="790"/>
      <c r="CW92" s="807"/>
      <c r="CX92" s="808"/>
      <c r="CY92" s="805"/>
      <c r="CZ92" s="790"/>
      <c r="DA92" s="802"/>
      <c r="DB92" s="790"/>
      <c r="DC92" s="790"/>
      <c r="DD92" s="790"/>
      <c r="DE92" s="790"/>
      <c r="DF92" s="801"/>
      <c r="DG92" s="801"/>
      <c r="DH92" s="790"/>
      <c r="DI92" s="790"/>
      <c r="DJ92" s="802"/>
      <c r="DK92" s="801"/>
      <c r="DL92" s="801"/>
      <c r="DM92" s="801"/>
      <c r="DN92" s="801"/>
      <c r="DO92" s="801"/>
      <c r="DP92" s="801"/>
      <c r="DQ92" s="730"/>
      <c r="DR92" s="748"/>
      <c r="DS92" s="730"/>
      <c r="DT92" s="730"/>
      <c r="DU92" s="730"/>
      <c r="DV92" s="741"/>
      <c r="DW92" s="741">
        <f t="shared" si="20"/>
        <v>0</v>
      </c>
      <c r="DX92" s="749"/>
      <c r="DY92" s="659"/>
    </row>
    <row r="93" spans="1:129" ht="15.6" hidden="1" customHeight="1" outlineLevel="2">
      <c r="A93" s="706"/>
      <c r="B93" s="712"/>
      <c r="C93" s="712"/>
      <c r="D93" s="712"/>
      <c r="E93" s="712"/>
      <c r="F93" s="714"/>
      <c r="G93" s="710"/>
      <c r="H93" s="710"/>
      <c r="I93" s="720"/>
      <c r="J93" s="720"/>
      <c r="K93" s="720"/>
      <c r="L93" s="720"/>
      <c r="M93" s="720"/>
      <c r="N93" s="711"/>
      <c r="O93" s="711"/>
      <c r="P93" s="751"/>
      <c r="Q93" s="712"/>
      <c r="R93" s="712"/>
      <c r="S93" s="712"/>
      <c r="T93" s="710"/>
      <c r="U93" s="710"/>
      <c r="V93" s="710"/>
      <c r="W93" s="710"/>
      <c r="X93" s="710"/>
      <c r="Y93" s="712"/>
      <c r="Z93" s="712"/>
      <c r="AA93" s="707"/>
      <c r="AB93" s="714"/>
      <c r="AC93" s="714"/>
      <c r="AD93" s="714"/>
      <c r="AE93" s="714"/>
      <c r="AF93" s="714"/>
      <c r="AG93" s="714"/>
      <c r="AH93" s="714"/>
      <c r="AI93" s="714"/>
      <c r="AJ93" s="714"/>
      <c r="AK93" s="714"/>
      <c r="AL93" s="714"/>
      <c r="AM93" s="750"/>
      <c r="AN93" s="750"/>
      <c r="AO93" s="751"/>
      <c r="AP93" s="751"/>
      <c r="AQ93" s="712"/>
      <c r="AR93" s="724"/>
      <c r="AS93" s="724"/>
      <c r="AT93" s="724"/>
      <c r="AU93" s="724"/>
      <c r="AV93" s="724"/>
      <c r="AW93" s="809"/>
      <c r="AX93" s="809"/>
      <c r="AY93" s="707"/>
      <c r="AZ93" s="707"/>
      <c r="BA93" s="714"/>
      <c r="BB93" s="714"/>
      <c r="BC93" s="712"/>
      <c r="BD93" s="712"/>
      <c r="BE93" s="712"/>
      <c r="BF93" s="710"/>
      <c r="BG93" s="710"/>
      <c r="BH93" s="710"/>
      <c r="BI93" s="710"/>
      <c r="BJ93" s="710"/>
      <c r="BK93" s="710"/>
      <c r="BL93" s="707"/>
      <c r="BM93" s="707"/>
      <c r="BN93" s="707"/>
      <c r="BO93" s="714"/>
      <c r="BP93" s="712"/>
      <c r="BQ93" s="712"/>
      <c r="BR93" s="712"/>
      <c r="BS93" s="712"/>
      <c r="BT93" s="712"/>
      <c r="BU93" s="712"/>
      <c r="BV93" s="712"/>
      <c r="BW93" s="707"/>
      <c r="BX93" s="707"/>
      <c r="BY93" s="707"/>
      <c r="BZ93" s="714"/>
      <c r="CA93" s="714"/>
      <c r="CB93" s="714"/>
      <c r="CC93" s="714"/>
      <c r="CD93" s="751"/>
      <c r="CE93" s="751"/>
      <c r="CF93" s="751"/>
      <c r="CG93" s="751"/>
      <c r="CH93" s="751"/>
      <c r="CI93" s="751"/>
      <c r="CJ93" s="751"/>
      <c r="CK93" s="714"/>
      <c r="CL93" s="714"/>
      <c r="CM93" s="714"/>
      <c r="CN93" s="714"/>
      <c r="CO93" s="714"/>
      <c r="CP93" s="711"/>
      <c r="CQ93" s="724"/>
      <c r="CR93" s="721"/>
      <c r="CS93" s="710"/>
      <c r="CT93" s="710"/>
      <c r="CU93" s="710"/>
      <c r="CV93" s="710"/>
      <c r="CW93" s="723"/>
      <c r="CX93" s="720"/>
      <c r="CY93" s="711"/>
      <c r="CZ93" s="710"/>
      <c r="DA93" s="809"/>
      <c r="DB93" s="707"/>
      <c r="DC93" s="707"/>
      <c r="DD93" s="707"/>
      <c r="DE93" s="707"/>
      <c r="DF93" s="714"/>
      <c r="DG93" s="714"/>
      <c r="DH93" s="712"/>
      <c r="DI93" s="710"/>
      <c r="DJ93" s="724"/>
      <c r="DK93" s="714"/>
      <c r="DL93" s="714"/>
      <c r="DM93" s="714"/>
      <c r="DN93" s="714"/>
      <c r="DO93" s="714"/>
      <c r="DP93" s="714"/>
      <c r="DQ93" s="725"/>
      <c r="DR93" s="726"/>
      <c r="DS93" s="725"/>
      <c r="DT93" s="725"/>
      <c r="DU93" s="725"/>
      <c r="DV93" s="727"/>
      <c r="DW93" s="727">
        <f t="shared" si="20"/>
        <v>0</v>
      </c>
      <c r="DX93" s="728"/>
      <c r="DY93" s="659"/>
    </row>
    <row r="94" spans="1:129" ht="29.1" hidden="1" customHeight="1" outlineLevel="2">
      <c r="A94" s="729" t="str">
        <f t="shared" si="21"/>
        <v xml:space="preserve">Складе ИП Антошина (Брянск) на 18-00 </v>
      </c>
      <c r="B94" s="731"/>
      <c r="C94" s="731"/>
      <c r="D94" s="731"/>
      <c r="E94" s="731"/>
      <c r="F94" s="732"/>
      <c r="G94" s="730"/>
      <c r="H94" s="730"/>
      <c r="I94" s="730"/>
      <c r="J94" s="730"/>
      <c r="K94" s="730"/>
      <c r="L94" s="730"/>
      <c r="M94" s="730"/>
      <c r="N94" s="747"/>
      <c r="O94" s="747"/>
      <c r="P94" s="743"/>
      <c r="Q94" s="790"/>
      <c r="R94" s="790"/>
      <c r="S94" s="790"/>
      <c r="T94" s="730"/>
      <c r="U94" s="730"/>
      <c r="V94" s="730"/>
      <c r="W94" s="730"/>
      <c r="X94" s="730"/>
      <c r="Y94" s="730"/>
      <c r="Z94" s="730"/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2"/>
      <c r="AM94" s="736"/>
      <c r="AN94" s="736"/>
      <c r="AO94" s="737"/>
      <c r="AP94" s="737"/>
      <c r="AQ94" s="730"/>
      <c r="AR94" s="747"/>
      <c r="AS94" s="747"/>
      <c r="AT94" s="747"/>
      <c r="AU94" s="747"/>
      <c r="AV94" s="747"/>
      <c r="AW94" s="747"/>
      <c r="AX94" s="747"/>
      <c r="AY94" s="730"/>
      <c r="AZ94" s="730"/>
      <c r="BA94" s="742"/>
      <c r="BB94" s="742"/>
      <c r="BC94" s="742"/>
      <c r="BD94" s="742"/>
      <c r="BE94" s="742"/>
      <c r="BF94" s="730"/>
      <c r="BG94" s="730"/>
      <c r="BH94" s="730"/>
      <c r="BI94" s="730"/>
      <c r="BJ94" s="730"/>
      <c r="BK94" s="730"/>
      <c r="BL94" s="730"/>
      <c r="BM94" s="730"/>
      <c r="BN94" s="730"/>
      <c r="BO94" s="742"/>
      <c r="BP94" s="742"/>
      <c r="BQ94" s="742"/>
      <c r="BR94" s="742"/>
      <c r="BS94" s="742"/>
      <c r="BT94" s="742"/>
      <c r="BU94" s="742"/>
      <c r="BV94" s="730"/>
      <c r="BW94" s="730"/>
      <c r="BX94" s="730"/>
      <c r="BY94" s="730"/>
      <c r="BZ94" s="742"/>
      <c r="CA94" s="742"/>
      <c r="CB94" s="742"/>
      <c r="CC94" s="742"/>
      <c r="CD94" s="743"/>
      <c r="CE94" s="743"/>
      <c r="CF94" s="743"/>
      <c r="CG94" s="743"/>
      <c r="CH94" s="743"/>
      <c r="CI94" s="743"/>
      <c r="CJ94" s="743"/>
      <c r="CK94" s="742"/>
      <c r="CL94" s="742"/>
      <c r="CM94" s="742"/>
      <c r="CN94" s="742"/>
      <c r="CO94" s="742"/>
      <c r="CP94" s="734"/>
      <c r="CQ94" s="747"/>
      <c r="CR94" s="744"/>
      <c r="CS94" s="730"/>
      <c r="CT94" s="730"/>
      <c r="CU94" s="730"/>
      <c r="CV94" s="730"/>
      <c r="CW94" s="746"/>
      <c r="CX94" s="741"/>
      <c r="CY94" s="734"/>
      <c r="CZ94" s="730"/>
      <c r="DA94" s="730"/>
      <c r="DB94" s="742"/>
      <c r="DC94" s="742"/>
      <c r="DD94" s="742"/>
      <c r="DE94" s="742"/>
      <c r="DF94" s="742"/>
      <c r="DG94" s="742"/>
      <c r="DH94" s="730"/>
      <c r="DI94" s="730"/>
      <c r="DJ94" s="747"/>
      <c r="DK94" s="732"/>
      <c r="DL94" s="732"/>
      <c r="DM94" s="732"/>
      <c r="DN94" s="732"/>
      <c r="DO94" s="732"/>
      <c r="DP94" s="732"/>
      <c r="DQ94" s="730"/>
      <c r="DR94" s="748"/>
      <c r="DS94" s="730"/>
      <c r="DT94" s="730"/>
      <c r="DU94" s="730"/>
      <c r="DV94" s="741"/>
      <c r="DW94" s="741">
        <f t="shared" si="20"/>
        <v>0</v>
      </c>
      <c r="DX94" s="749" t="s">
        <v>639</v>
      </c>
      <c r="DY94" s="659"/>
    </row>
    <row r="95" spans="1:129" ht="29.1" hidden="1" customHeight="1" outlineLevel="2">
      <c r="A95" s="706" t="str">
        <f t="shared" si="21"/>
        <v>Камере созревания (производство) на 18-00</v>
      </c>
      <c r="B95" s="708"/>
      <c r="C95" s="708"/>
      <c r="D95" s="708"/>
      <c r="E95" s="708"/>
      <c r="F95" s="708"/>
      <c r="G95" s="710"/>
      <c r="H95" s="710"/>
      <c r="I95" s="720"/>
      <c r="J95" s="720"/>
      <c r="K95" s="720"/>
      <c r="L95" s="720"/>
      <c r="M95" s="720"/>
      <c r="N95" s="711"/>
      <c r="O95" s="711"/>
      <c r="P95" s="716"/>
      <c r="Q95" s="712"/>
      <c r="R95" s="712"/>
      <c r="S95" s="712"/>
      <c r="T95" s="710"/>
      <c r="U95" s="710"/>
      <c r="V95" s="710"/>
      <c r="W95" s="710"/>
      <c r="X95" s="710"/>
      <c r="Y95" s="712"/>
      <c r="Z95" s="712"/>
      <c r="AA95" s="707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08"/>
      <c r="AM95" s="715"/>
      <c r="AN95" s="715"/>
      <c r="AO95" s="716"/>
      <c r="AP95" s="716"/>
      <c r="AQ95" s="710"/>
      <c r="AR95" s="724"/>
      <c r="AS95" s="724"/>
      <c r="AT95" s="724"/>
      <c r="AU95" s="724"/>
      <c r="AV95" s="724"/>
      <c r="AW95" s="724"/>
      <c r="AX95" s="724"/>
      <c r="AY95" s="710"/>
      <c r="AZ95" s="710"/>
      <c r="BA95" s="708"/>
      <c r="BB95" s="708"/>
      <c r="BC95" s="708"/>
      <c r="BD95" s="708"/>
      <c r="BE95" s="708"/>
      <c r="BF95" s="710"/>
      <c r="BG95" s="710"/>
      <c r="BH95" s="710"/>
      <c r="BI95" s="710"/>
      <c r="BJ95" s="710"/>
      <c r="BK95" s="710"/>
      <c r="BL95" s="710"/>
      <c r="BM95" s="710"/>
      <c r="BN95" s="710"/>
      <c r="BO95" s="710"/>
      <c r="BP95" s="708"/>
      <c r="BQ95" s="708"/>
      <c r="BR95" s="708"/>
      <c r="BS95" s="708"/>
      <c r="BT95" s="708"/>
      <c r="BU95" s="708"/>
      <c r="BV95" s="710"/>
      <c r="BW95" s="710"/>
      <c r="BX95" s="710"/>
      <c r="BY95" s="710"/>
      <c r="BZ95" s="708"/>
      <c r="CA95" s="708"/>
      <c r="CB95" s="708"/>
      <c r="CC95" s="708"/>
      <c r="CD95" s="716"/>
      <c r="CE95" s="716"/>
      <c r="CF95" s="716"/>
      <c r="CG95" s="716"/>
      <c r="CH95" s="716"/>
      <c r="CI95" s="716"/>
      <c r="CJ95" s="716"/>
      <c r="CK95" s="708"/>
      <c r="CL95" s="708"/>
      <c r="CM95" s="708"/>
      <c r="CN95" s="708"/>
      <c r="CO95" s="708"/>
      <c r="CP95" s="711"/>
      <c r="CQ95" s="724"/>
      <c r="CR95" s="721"/>
      <c r="CS95" s="710"/>
      <c r="CT95" s="710"/>
      <c r="CU95" s="710"/>
      <c r="CV95" s="710"/>
      <c r="CW95" s="723"/>
      <c r="CX95" s="720"/>
      <c r="CY95" s="711"/>
      <c r="CZ95" s="710"/>
      <c r="DA95" s="710"/>
      <c r="DB95" s="708"/>
      <c r="DC95" s="708"/>
      <c r="DD95" s="708"/>
      <c r="DE95" s="708"/>
      <c r="DF95" s="708"/>
      <c r="DG95" s="708"/>
      <c r="DH95" s="710"/>
      <c r="DI95" s="710"/>
      <c r="DJ95" s="724"/>
      <c r="DK95" s="708"/>
      <c r="DL95" s="708"/>
      <c r="DM95" s="708"/>
      <c r="DN95" s="708"/>
      <c r="DO95" s="708"/>
      <c r="DP95" s="708"/>
      <c r="DQ95" s="725"/>
      <c r="DR95" s="726"/>
      <c r="DS95" s="725"/>
      <c r="DT95" s="725"/>
      <c r="DU95" s="725"/>
      <c r="DV95" s="727"/>
      <c r="DW95" s="727">
        <f t="shared" si="20"/>
        <v>0</v>
      </c>
      <c r="DX95" s="728" t="s">
        <v>640</v>
      </c>
      <c r="DY95" s="659"/>
    </row>
    <row r="96" spans="1:129" ht="7.5" hidden="1" customHeight="1" outlineLevel="2">
      <c r="A96" s="810"/>
      <c r="B96" s="811"/>
      <c r="C96" s="811"/>
      <c r="D96" s="811"/>
      <c r="E96" s="811"/>
      <c r="F96" s="811"/>
      <c r="G96" s="811"/>
      <c r="H96" s="811"/>
      <c r="I96" s="811"/>
      <c r="J96" s="811"/>
      <c r="K96" s="811"/>
      <c r="L96" s="811"/>
      <c r="M96" s="811"/>
      <c r="N96" s="811"/>
      <c r="O96" s="811"/>
      <c r="P96" s="812"/>
      <c r="Q96" s="813"/>
      <c r="R96" s="813"/>
      <c r="S96" s="813"/>
      <c r="T96" s="811"/>
      <c r="U96" s="811"/>
      <c r="V96" s="811"/>
      <c r="W96" s="811"/>
      <c r="X96" s="811"/>
      <c r="Y96" s="811"/>
      <c r="Z96" s="811"/>
      <c r="AA96" s="811"/>
      <c r="AB96" s="811"/>
      <c r="AC96" s="811"/>
      <c r="AD96" s="811"/>
      <c r="AE96" s="811"/>
      <c r="AF96" s="811"/>
      <c r="AG96" s="811"/>
      <c r="AH96" s="811"/>
      <c r="AI96" s="811"/>
      <c r="AJ96" s="811"/>
      <c r="AK96" s="811"/>
      <c r="AL96" s="811"/>
      <c r="AM96" s="812"/>
      <c r="AN96" s="812"/>
      <c r="AO96" s="812"/>
      <c r="AP96" s="812"/>
      <c r="AQ96" s="811"/>
      <c r="AR96" s="811"/>
      <c r="AS96" s="811"/>
      <c r="AT96" s="811"/>
      <c r="AU96" s="811"/>
      <c r="AV96" s="811"/>
      <c r="AW96" s="811"/>
      <c r="AX96" s="811"/>
      <c r="AY96" s="811"/>
      <c r="AZ96" s="811"/>
      <c r="BA96" s="811"/>
      <c r="BB96" s="811"/>
      <c r="BC96" s="811"/>
      <c r="BD96" s="811"/>
      <c r="BE96" s="811"/>
      <c r="BF96" s="811"/>
      <c r="BG96" s="811"/>
      <c r="BH96" s="811"/>
      <c r="BI96" s="811"/>
      <c r="BJ96" s="811"/>
      <c r="BK96" s="811"/>
      <c r="BL96" s="811"/>
      <c r="BM96" s="811"/>
      <c r="BN96" s="811"/>
      <c r="BO96" s="811"/>
      <c r="BP96" s="811"/>
      <c r="BQ96" s="811"/>
      <c r="BR96" s="811"/>
      <c r="BS96" s="811"/>
      <c r="BT96" s="811"/>
      <c r="BU96" s="811"/>
      <c r="BV96" s="811"/>
      <c r="BW96" s="811"/>
      <c r="BX96" s="811"/>
      <c r="BY96" s="811"/>
      <c r="BZ96" s="811"/>
      <c r="CA96" s="811"/>
      <c r="CB96" s="811"/>
      <c r="CC96" s="811"/>
      <c r="CD96" s="812"/>
      <c r="CE96" s="812"/>
      <c r="CF96" s="812"/>
      <c r="CG96" s="812"/>
      <c r="CH96" s="812"/>
      <c r="CI96" s="812"/>
      <c r="CJ96" s="812"/>
      <c r="CK96" s="811"/>
      <c r="CL96" s="811"/>
      <c r="CM96" s="811"/>
      <c r="CN96" s="811"/>
      <c r="CO96" s="811"/>
      <c r="CP96" s="811"/>
      <c r="CQ96" s="811"/>
      <c r="CR96" s="811"/>
      <c r="CS96" s="811"/>
      <c r="CT96" s="811"/>
      <c r="CU96" s="811"/>
      <c r="CV96" s="811"/>
      <c r="CW96" s="811"/>
      <c r="CX96" s="811"/>
      <c r="CY96" s="811"/>
      <c r="CZ96" s="811"/>
      <c r="DA96" s="811"/>
      <c r="DB96" s="811"/>
      <c r="DC96" s="811"/>
      <c r="DD96" s="811"/>
      <c r="DE96" s="811"/>
      <c r="DF96" s="811"/>
      <c r="DG96" s="811"/>
      <c r="DH96" s="811"/>
      <c r="DI96" s="811"/>
      <c r="DJ96" s="814"/>
      <c r="DK96" s="811"/>
      <c r="DL96" s="811"/>
      <c r="DM96" s="811"/>
      <c r="DN96" s="811"/>
      <c r="DO96" s="811"/>
      <c r="DP96" s="811"/>
      <c r="DQ96" s="811"/>
      <c r="DR96" s="815"/>
      <c r="DS96" s="811"/>
      <c r="DT96" s="811"/>
      <c r="DU96" s="811"/>
      <c r="DV96" s="816"/>
      <c r="DW96" s="811"/>
      <c r="DX96" s="817"/>
      <c r="DY96" s="659"/>
    </row>
    <row r="97" spans="1:129" ht="15.6" hidden="1" customHeight="1" outlineLevel="2" thickBot="1">
      <c r="A97" s="783" t="s">
        <v>641</v>
      </c>
      <c r="B97" s="788">
        <f t="shared" ref="B97:BM97" si="22">SUM(B98:B103)</f>
        <v>0</v>
      </c>
      <c r="C97" s="788">
        <f t="shared" si="22"/>
        <v>0</v>
      </c>
      <c r="D97" s="788">
        <f t="shared" si="22"/>
        <v>0</v>
      </c>
      <c r="E97" s="788">
        <f t="shared" si="22"/>
        <v>0</v>
      </c>
      <c r="F97" s="788">
        <f t="shared" si="22"/>
        <v>0</v>
      </c>
      <c r="G97" s="788">
        <f t="shared" si="22"/>
        <v>0</v>
      </c>
      <c r="H97" s="788">
        <f t="shared" si="22"/>
        <v>0</v>
      </c>
      <c r="I97" s="788">
        <f t="shared" si="22"/>
        <v>0</v>
      </c>
      <c r="J97" s="788">
        <f t="shared" si="22"/>
        <v>0</v>
      </c>
      <c r="K97" s="788">
        <f t="shared" si="22"/>
        <v>0</v>
      </c>
      <c r="L97" s="788">
        <f t="shared" si="22"/>
        <v>0</v>
      </c>
      <c r="M97" s="788">
        <f t="shared" si="22"/>
        <v>0</v>
      </c>
      <c r="N97" s="788">
        <f t="shared" si="22"/>
        <v>0</v>
      </c>
      <c r="O97" s="788">
        <f t="shared" si="22"/>
        <v>0</v>
      </c>
      <c r="P97" s="1816">
        <f t="shared" si="22"/>
        <v>0</v>
      </c>
      <c r="Q97" s="1598">
        <f t="shared" si="22"/>
        <v>0</v>
      </c>
      <c r="R97" s="1598">
        <f t="shared" si="22"/>
        <v>0</v>
      </c>
      <c r="S97" s="1598">
        <f t="shared" si="22"/>
        <v>0</v>
      </c>
      <c r="T97" s="788">
        <f t="shared" si="22"/>
        <v>0</v>
      </c>
      <c r="U97" s="788">
        <f t="shared" si="22"/>
        <v>0</v>
      </c>
      <c r="V97" s="788">
        <f t="shared" si="22"/>
        <v>0</v>
      </c>
      <c r="W97" s="788">
        <f t="shared" si="22"/>
        <v>0</v>
      </c>
      <c r="X97" s="788"/>
      <c r="Y97" s="788">
        <f t="shared" si="22"/>
        <v>0</v>
      </c>
      <c r="Z97" s="788">
        <f t="shared" si="22"/>
        <v>0</v>
      </c>
      <c r="AA97" s="788">
        <f t="shared" si="22"/>
        <v>0</v>
      </c>
      <c r="AB97" s="788">
        <f t="shared" si="22"/>
        <v>0</v>
      </c>
      <c r="AC97" s="788">
        <f t="shared" si="22"/>
        <v>0</v>
      </c>
      <c r="AD97" s="788">
        <f t="shared" si="22"/>
        <v>0</v>
      </c>
      <c r="AE97" s="788">
        <f t="shared" si="22"/>
        <v>0</v>
      </c>
      <c r="AF97" s="788">
        <f t="shared" si="22"/>
        <v>0</v>
      </c>
      <c r="AG97" s="788">
        <f t="shared" si="22"/>
        <v>0</v>
      </c>
      <c r="AH97" s="788">
        <f t="shared" si="22"/>
        <v>0</v>
      </c>
      <c r="AI97" s="788">
        <f t="shared" si="22"/>
        <v>0</v>
      </c>
      <c r="AJ97" s="788">
        <f t="shared" si="22"/>
        <v>0</v>
      </c>
      <c r="AK97" s="788">
        <f t="shared" si="22"/>
        <v>0</v>
      </c>
      <c r="AL97" s="788">
        <f t="shared" si="22"/>
        <v>0</v>
      </c>
      <c r="AM97" s="1816">
        <f t="shared" si="22"/>
        <v>0</v>
      </c>
      <c r="AN97" s="1816">
        <f t="shared" si="22"/>
        <v>0</v>
      </c>
      <c r="AO97" s="1816">
        <f t="shared" si="22"/>
        <v>0</v>
      </c>
      <c r="AP97" s="1816">
        <f t="shared" si="22"/>
        <v>0</v>
      </c>
      <c r="AQ97" s="788">
        <f t="shared" si="22"/>
        <v>0</v>
      </c>
      <c r="AR97" s="788">
        <f t="shared" si="22"/>
        <v>0</v>
      </c>
      <c r="AS97" s="788">
        <f t="shared" si="22"/>
        <v>0</v>
      </c>
      <c r="AT97" s="788">
        <f t="shared" si="22"/>
        <v>0</v>
      </c>
      <c r="AU97" s="788">
        <f t="shared" si="22"/>
        <v>0</v>
      </c>
      <c r="AV97" s="788">
        <f t="shared" si="22"/>
        <v>0</v>
      </c>
      <c r="AW97" s="788">
        <f t="shared" si="22"/>
        <v>0</v>
      </c>
      <c r="AX97" s="788">
        <f t="shared" si="22"/>
        <v>0</v>
      </c>
      <c r="AY97" s="788">
        <f t="shared" si="22"/>
        <v>0</v>
      </c>
      <c r="AZ97" s="788">
        <f t="shared" si="22"/>
        <v>0</v>
      </c>
      <c r="BA97" s="788">
        <f t="shared" si="22"/>
        <v>0</v>
      </c>
      <c r="BB97" s="788">
        <f t="shared" si="22"/>
        <v>0</v>
      </c>
      <c r="BC97" s="788">
        <f t="shared" si="22"/>
        <v>0</v>
      </c>
      <c r="BD97" s="788">
        <f t="shared" si="22"/>
        <v>0</v>
      </c>
      <c r="BE97" s="788">
        <f t="shared" si="22"/>
        <v>0</v>
      </c>
      <c r="BF97" s="788">
        <f t="shared" si="22"/>
        <v>0</v>
      </c>
      <c r="BG97" s="788">
        <f t="shared" si="22"/>
        <v>0</v>
      </c>
      <c r="BH97" s="788">
        <f t="shared" si="22"/>
        <v>0</v>
      </c>
      <c r="BI97" s="788">
        <f t="shared" si="22"/>
        <v>0</v>
      </c>
      <c r="BJ97" s="788">
        <f t="shared" si="22"/>
        <v>0</v>
      </c>
      <c r="BK97" s="788">
        <f t="shared" si="22"/>
        <v>0</v>
      </c>
      <c r="BL97" s="788">
        <f t="shared" si="22"/>
        <v>0</v>
      </c>
      <c r="BM97" s="788">
        <f t="shared" si="22"/>
        <v>0</v>
      </c>
      <c r="BN97" s="788">
        <f t="shared" ref="BN97:DV97" si="23">SUM(BN98:BN103)</f>
        <v>0</v>
      </c>
      <c r="BO97" s="788">
        <f t="shared" si="23"/>
        <v>0</v>
      </c>
      <c r="BP97" s="788">
        <f t="shared" si="23"/>
        <v>0</v>
      </c>
      <c r="BQ97" s="788">
        <f t="shared" si="23"/>
        <v>0</v>
      </c>
      <c r="BR97" s="788">
        <f t="shared" si="23"/>
        <v>0</v>
      </c>
      <c r="BS97" s="788">
        <f t="shared" si="23"/>
        <v>0</v>
      </c>
      <c r="BT97" s="788">
        <f t="shared" si="23"/>
        <v>0</v>
      </c>
      <c r="BU97" s="788">
        <f t="shared" si="23"/>
        <v>0</v>
      </c>
      <c r="BV97" s="788">
        <f t="shared" si="23"/>
        <v>0</v>
      </c>
      <c r="BW97" s="788">
        <f t="shared" si="23"/>
        <v>0</v>
      </c>
      <c r="BX97" s="788">
        <f t="shared" si="23"/>
        <v>0</v>
      </c>
      <c r="BY97" s="788">
        <f t="shared" si="23"/>
        <v>0</v>
      </c>
      <c r="BZ97" s="788">
        <f t="shared" si="23"/>
        <v>0</v>
      </c>
      <c r="CA97" s="788">
        <f t="shared" si="23"/>
        <v>0</v>
      </c>
      <c r="CB97" s="788">
        <f t="shared" si="23"/>
        <v>0</v>
      </c>
      <c r="CC97" s="788">
        <f t="shared" si="23"/>
        <v>0</v>
      </c>
      <c r="CD97" s="1816">
        <f t="shared" si="23"/>
        <v>0</v>
      </c>
      <c r="CE97" s="1816">
        <f t="shared" si="23"/>
        <v>0</v>
      </c>
      <c r="CF97" s="1816">
        <f t="shared" si="23"/>
        <v>0</v>
      </c>
      <c r="CG97" s="1816">
        <f t="shared" si="23"/>
        <v>0</v>
      </c>
      <c r="CH97" s="1816">
        <f t="shared" si="23"/>
        <v>0</v>
      </c>
      <c r="CI97" s="1816">
        <f t="shared" si="23"/>
        <v>0</v>
      </c>
      <c r="CJ97" s="1816">
        <f t="shared" si="23"/>
        <v>0</v>
      </c>
      <c r="CK97" s="788">
        <f t="shared" si="23"/>
        <v>0</v>
      </c>
      <c r="CL97" s="788">
        <f t="shared" si="23"/>
        <v>0</v>
      </c>
      <c r="CM97" s="788">
        <f t="shared" si="23"/>
        <v>0</v>
      </c>
      <c r="CN97" s="788">
        <f t="shared" si="23"/>
        <v>0</v>
      </c>
      <c r="CO97" s="788">
        <f t="shared" si="23"/>
        <v>0</v>
      </c>
      <c r="CP97" s="788">
        <f t="shared" si="23"/>
        <v>0</v>
      </c>
      <c r="CQ97" s="788">
        <f t="shared" si="23"/>
        <v>0</v>
      </c>
      <c r="CR97" s="788">
        <f t="shared" si="23"/>
        <v>0</v>
      </c>
      <c r="CS97" s="788">
        <f t="shared" si="23"/>
        <v>0</v>
      </c>
      <c r="CT97" s="788">
        <f t="shared" si="23"/>
        <v>0</v>
      </c>
      <c r="CU97" s="788">
        <f t="shared" si="23"/>
        <v>0</v>
      </c>
      <c r="CV97" s="788">
        <f t="shared" si="23"/>
        <v>0</v>
      </c>
      <c r="CW97" s="788">
        <f t="shared" si="23"/>
        <v>0</v>
      </c>
      <c r="CX97" s="788">
        <f t="shared" si="23"/>
        <v>0</v>
      </c>
      <c r="CY97" s="788">
        <f t="shared" si="23"/>
        <v>0</v>
      </c>
      <c r="CZ97" s="788">
        <f t="shared" si="23"/>
        <v>0</v>
      </c>
      <c r="DA97" s="788">
        <f t="shared" si="23"/>
        <v>0</v>
      </c>
      <c r="DB97" s="788">
        <f t="shared" si="23"/>
        <v>0</v>
      </c>
      <c r="DC97" s="788">
        <f t="shared" si="23"/>
        <v>0</v>
      </c>
      <c r="DD97" s="788">
        <f t="shared" si="23"/>
        <v>0</v>
      </c>
      <c r="DE97" s="788">
        <f t="shared" si="23"/>
        <v>0</v>
      </c>
      <c r="DF97" s="788">
        <f t="shared" si="23"/>
        <v>0</v>
      </c>
      <c r="DG97" s="788">
        <f t="shared" si="23"/>
        <v>0</v>
      </c>
      <c r="DH97" s="788">
        <f t="shared" si="23"/>
        <v>0</v>
      </c>
      <c r="DI97" s="788">
        <f t="shared" si="23"/>
        <v>0</v>
      </c>
      <c r="DJ97" s="788">
        <f t="shared" si="23"/>
        <v>0</v>
      </c>
      <c r="DK97" s="788">
        <f t="shared" si="23"/>
        <v>0</v>
      </c>
      <c r="DL97" s="788">
        <f t="shared" si="23"/>
        <v>0</v>
      </c>
      <c r="DM97" s="788">
        <f t="shared" si="23"/>
        <v>0</v>
      </c>
      <c r="DN97" s="788">
        <f t="shared" si="23"/>
        <v>0</v>
      </c>
      <c r="DO97" s="788">
        <f t="shared" si="23"/>
        <v>0</v>
      </c>
      <c r="DP97" s="788">
        <f t="shared" si="23"/>
        <v>0</v>
      </c>
      <c r="DQ97" s="785">
        <f t="shared" si="23"/>
        <v>0</v>
      </c>
      <c r="DR97" s="789">
        <f t="shared" si="23"/>
        <v>0</v>
      </c>
      <c r="DS97" s="785"/>
      <c r="DT97" s="785"/>
      <c r="DU97" s="785"/>
      <c r="DV97" s="786">
        <f t="shared" si="23"/>
        <v>0</v>
      </c>
      <c r="DW97" s="786">
        <f>SUM(B97:DV97)</f>
        <v>0</v>
      </c>
      <c r="DX97" s="783" t="s">
        <v>641</v>
      </c>
      <c r="DY97" s="659"/>
    </row>
    <row r="98" spans="1:129" ht="15.6" hidden="1" customHeight="1" outlineLevel="2" thickTop="1" thickBot="1">
      <c r="A98" s="729" t="str">
        <f t="shared" ref="A98:A103" si="24">A90</f>
        <v>Склад ГП на 18-00</v>
      </c>
      <c r="B98" s="731"/>
      <c r="C98" s="731"/>
      <c r="D98" s="731"/>
      <c r="E98" s="731"/>
      <c r="F98" s="732"/>
      <c r="G98" s="730"/>
      <c r="H98" s="730"/>
      <c r="I98" s="730"/>
      <c r="J98" s="730"/>
      <c r="K98" s="730"/>
      <c r="L98" s="730"/>
      <c r="M98" s="730"/>
      <c r="N98" s="747"/>
      <c r="O98" s="747"/>
      <c r="P98" s="737"/>
      <c r="Q98" s="790"/>
      <c r="R98" s="790"/>
      <c r="S98" s="790"/>
      <c r="T98" s="730"/>
      <c r="U98" s="730"/>
      <c r="V98" s="730"/>
      <c r="W98" s="730"/>
      <c r="X98" s="730"/>
      <c r="Y98" s="730"/>
      <c r="Z98" s="730"/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2"/>
      <c r="AM98" s="736"/>
      <c r="AN98" s="736"/>
      <c r="AO98" s="737"/>
      <c r="AP98" s="737"/>
      <c r="AQ98" s="730"/>
      <c r="AR98" s="747"/>
      <c r="AS98" s="747"/>
      <c r="AT98" s="747"/>
      <c r="AU98" s="747"/>
      <c r="AV98" s="747"/>
      <c r="AW98" s="747"/>
      <c r="AX98" s="747"/>
      <c r="AY98" s="730"/>
      <c r="AZ98" s="730"/>
      <c r="BA98" s="732"/>
      <c r="BB98" s="732"/>
      <c r="BC98" s="732"/>
      <c r="BD98" s="732"/>
      <c r="BE98" s="732"/>
      <c r="BF98" s="730"/>
      <c r="BG98" s="730"/>
      <c r="BH98" s="730"/>
      <c r="BI98" s="730"/>
      <c r="BJ98" s="730"/>
      <c r="BK98" s="730"/>
      <c r="BL98" s="730"/>
      <c r="BM98" s="730"/>
      <c r="BN98" s="730"/>
      <c r="BO98" s="732"/>
      <c r="BP98" s="732"/>
      <c r="BQ98" s="732"/>
      <c r="BR98" s="732"/>
      <c r="BS98" s="732"/>
      <c r="BT98" s="732"/>
      <c r="BU98" s="732"/>
      <c r="BV98" s="730"/>
      <c r="BW98" s="730"/>
      <c r="BX98" s="730"/>
      <c r="BY98" s="730"/>
      <c r="BZ98" s="732"/>
      <c r="CA98" s="732"/>
      <c r="CB98" s="732"/>
      <c r="CC98" s="732"/>
      <c r="CD98" s="737"/>
      <c r="CE98" s="737"/>
      <c r="CF98" s="737"/>
      <c r="CG98" s="737"/>
      <c r="CH98" s="737"/>
      <c r="CI98" s="737"/>
      <c r="CJ98" s="737"/>
      <c r="CK98" s="732"/>
      <c r="CL98" s="732"/>
      <c r="CM98" s="732"/>
      <c r="CN98" s="732"/>
      <c r="CO98" s="732"/>
      <c r="CP98" s="734"/>
      <c r="CQ98" s="747"/>
      <c r="CR98" s="744"/>
      <c r="CS98" s="730"/>
      <c r="CT98" s="730"/>
      <c r="CU98" s="730"/>
      <c r="CV98" s="730"/>
      <c r="CW98" s="746"/>
      <c r="CX98" s="741"/>
      <c r="CY98" s="734"/>
      <c r="CZ98" s="730"/>
      <c r="DA98" s="747"/>
      <c r="DB98" s="730"/>
      <c r="DC98" s="730"/>
      <c r="DD98" s="730"/>
      <c r="DE98" s="730"/>
      <c r="DF98" s="732"/>
      <c r="DG98" s="732"/>
      <c r="DH98" s="730"/>
      <c r="DI98" s="730"/>
      <c r="DJ98" s="747"/>
      <c r="DK98" s="732"/>
      <c r="DL98" s="732"/>
      <c r="DM98" s="732"/>
      <c r="DN98" s="732"/>
      <c r="DO98" s="732"/>
      <c r="DP98" s="732"/>
      <c r="DQ98" s="730"/>
      <c r="DR98" s="748"/>
      <c r="DS98" s="730"/>
      <c r="DT98" s="730"/>
      <c r="DU98" s="730"/>
      <c r="DV98" s="741"/>
      <c r="DW98" s="741">
        <f>SUM(B98:DV98)</f>
        <v>0</v>
      </c>
      <c r="DX98" s="749" t="s">
        <v>637</v>
      </c>
      <c r="DY98" s="659"/>
    </row>
    <row r="99" spans="1:129" ht="15.6" hidden="1" customHeight="1" outlineLevel="2" thickTop="1" thickBot="1">
      <c r="A99" s="706" t="str">
        <f t="shared" si="24"/>
        <v>Склад ПроФреш на 12-00</v>
      </c>
      <c r="B99" s="791"/>
      <c r="C99" s="791"/>
      <c r="D99" s="791"/>
      <c r="E99" s="791"/>
      <c r="F99" s="792"/>
      <c r="G99" s="725"/>
      <c r="H99" s="725"/>
      <c r="I99" s="727"/>
      <c r="J99" s="727"/>
      <c r="K99" s="727"/>
      <c r="L99" s="727"/>
      <c r="M99" s="727"/>
      <c r="N99" s="793"/>
      <c r="O99" s="793"/>
      <c r="P99" s="794"/>
      <c r="Q99" s="712"/>
      <c r="R99" s="712"/>
      <c r="S99" s="712"/>
      <c r="T99" s="725"/>
      <c r="U99" s="725"/>
      <c r="V99" s="725"/>
      <c r="W99" s="725"/>
      <c r="X99" s="725"/>
      <c r="Y99" s="791"/>
      <c r="Z99" s="791"/>
      <c r="AA99" s="795"/>
      <c r="AB99" s="792"/>
      <c r="AC99" s="792"/>
      <c r="AD99" s="792"/>
      <c r="AE99" s="792"/>
      <c r="AF99" s="792"/>
      <c r="AG99" s="792"/>
      <c r="AH99" s="792"/>
      <c r="AI99" s="792"/>
      <c r="AJ99" s="792"/>
      <c r="AK99" s="792"/>
      <c r="AL99" s="792"/>
      <c r="AM99" s="796"/>
      <c r="AN99" s="796"/>
      <c r="AO99" s="794"/>
      <c r="AP99" s="794"/>
      <c r="AQ99" s="791"/>
      <c r="AR99" s="797"/>
      <c r="AS99" s="797"/>
      <c r="AT99" s="797"/>
      <c r="AU99" s="797"/>
      <c r="AV99" s="797"/>
      <c r="AW99" s="726"/>
      <c r="AX99" s="726"/>
      <c r="AY99" s="795"/>
      <c r="AZ99" s="795"/>
      <c r="BA99" s="792"/>
      <c r="BB99" s="792"/>
      <c r="BC99" s="791"/>
      <c r="BD99" s="791"/>
      <c r="BE99" s="791"/>
      <c r="BF99" s="725"/>
      <c r="BG99" s="725"/>
      <c r="BH99" s="725"/>
      <c r="BI99" s="725"/>
      <c r="BJ99" s="725"/>
      <c r="BK99" s="725"/>
      <c r="BL99" s="795"/>
      <c r="BM99" s="795"/>
      <c r="BN99" s="795"/>
      <c r="BO99" s="792"/>
      <c r="BP99" s="791"/>
      <c r="BQ99" s="791"/>
      <c r="BR99" s="791"/>
      <c r="BS99" s="791"/>
      <c r="BT99" s="791"/>
      <c r="BU99" s="791"/>
      <c r="BV99" s="791"/>
      <c r="BW99" s="795"/>
      <c r="BX99" s="795"/>
      <c r="BY99" s="795"/>
      <c r="BZ99" s="792"/>
      <c r="CA99" s="792"/>
      <c r="CB99" s="792"/>
      <c r="CC99" s="792"/>
      <c r="CD99" s="794"/>
      <c r="CE99" s="794"/>
      <c r="CF99" s="794"/>
      <c r="CG99" s="794"/>
      <c r="CH99" s="794"/>
      <c r="CI99" s="794"/>
      <c r="CJ99" s="794"/>
      <c r="CK99" s="792"/>
      <c r="CL99" s="792"/>
      <c r="CM99" s="792"/>
      <c r="CN99" s="792"/>
      <c r="CO99" s="792"/>
      <c r="CP99" s="793"/>
      <c r="CQ99" s="797"/>
      <c r="CR99" s="798"/>
      <c r="CS99" s="725"/>
      <c r="CT99" s="725"/>
      <c r="CU99" s="725"/>
      <c r="CV99" s="725"/>
      <c r="CW99" s="799"/>
      <c r="CX99" s="727"/>
      <c r="CY99" s="793"/>
      <c r="CZ99" s="725"/>
      <c r="DA99" s="726"/>
      <c r="DB99" s="795"/>
      <c r="DC99" s="795"/>
      <c r="DD99" s="795"/>
      <c r="DE99" s="795"/>
      <c r="DF99" s="792"/>
      <c r="DG99" s="792"/>
      <c r="DH99" s="791"/>
      <c r="DI99" s="725"/>
      <c r="DJ99" s="797"/>
      <c r="DK99" s="792"/>
      <c r="DL99" s="792"/>
      <c r="DM99" s="792"/>
      <c r="DN99" s="792"/>
      <c r="DO99" s="792"/>
      <c r="DP99" s="792"/>
      <c r="DQ99" s="725"/>
      <c r="DR99" s="726"/>
      <c r="DS99" s="725"/>
      <c r="DT99" s="725"/>
      <c r="DU99" s="725"/>
      <c r="DV99" s="727"/>
      <c r="DW99" s="727">
        <f>SUM(B99:DV99)</f>
        <v>0</v>
      </c>
      <c r="DX99" s="728" t="s">
        <v>638</v>
      </c>
      <c r="DY99" s="659"/>
    </row>
    <row r="100" spans="1:129" ht="15.6" hidden="1" customHeight="1" outlineLevel="2" thickTop="1" thickBot="1">
      <c r="A100" s="729">
        <f t="shared" si="24"/>
        <v>0</v>
      </c>
      <c r="B100" s="731"/>
      <c r="C100" s="731"/>
      <c r="D100" s="731"/>
      <c r="E100" s="731"/>
      <c r="F100" s="732"/>
      <c r="G100" s="730"/>
      <c r="H100" s="730"/>
      <c r="I100" s="730"/>
      <c r="J100" s="730"/>
      <c r="K100" s="730"/>
      <c r="L100" s="730"/>
      <c r="M100" s="730"/>
      <c r="N100" s="747"/>
      <c r="O100" s="747"/>
      <c r="P100" s="737"/>
      <c r="Q100" s="790"/>
      <c r="R100" s="790"/>
      <c r="S100" s="790"/>
      <c r="T100" s="730"/>
      <c r="U100" s="730"/>
      <c r="V100" s="730"/>
      <c r="W100" s="730"/>
      <c r="X100" s="730"/>
      <c r="Y100" s="730"/>
      <c r="Z100" s="730"/>
      <c r="AA100" s="730"/>
      <c r="AB100" s="730"/>
      <c r="AC100" s="730"/>
      <c r="AD100" s="730"/>
      <c r="AE100" s="730"/>
      <c r="AF100" s="730"/>
      <c r="AG100" s="730"/>
      <c r="AH100" s="730"/>
      <c r="AI100" s="730"/>
      <c r="AJ100" s="730"/>
      <c r="AK100" s="730"/>
      <c r="AL100" s="732"/>
      <c r="AM100" s="736"/>
      <c r="AN100" s="736"/>
      <c r="AO100" s="737"/>
      <c r="AP100" s="737"/>
      <c r="AQ100" s="730"/>
      <c r="AR100" s="747"/>
      <c r="AS100" s="747"/>
      <c r="AT100" s="747"/>
      <c r="AU100" s="747"/>
      <c r="AV100" s="747"/>
      <c r="AW100" s="747"/>
      <c r="AX100" s="747"/>
      <c r="AY100" s="730"/>
      <c r="AZ100" s="730"/>
      <c r="BA100" s="732"/>
      <c r="BB100" s="732"/>
      <c r="BC100" s="732"/>
      <c r="BD100" s="732"/>
      <c r="BE100" s="732"/>
      <c r="BF100" s="730"/>
      <c r="BG100" s="730"/>
      <c r="BH100" s="730"/>
      <c r="BI100" s="730"/>
      <c r="BJ100" s="730"/>
      <c r="BK100" s="730"/>
      <c r="BL100" s="730"/>
      <c r="BM100" s="730"/>
      <c r="BN100" s="730"/>
      <c r="BO100" s="732"/>
      <c r="BP100" s="732"/>
      <c r="BQ100" s="732"/>
      <c r="BR100" s="732"/>
      <c r="BS100" s="732"/>
      <c r="BT100" s="732"/>
      <c r="BU100" s="732"/>
      <c r="BV100" s="730"/>
      <c r="BW100" s="730"/>
      <c r="BX100" s="730"/>
      <c r="BY100" s="730"/>
      <c r="BZ100" s="732"/>
      <c r="CA100" s="732"/>
      <c r="CB100" s="732"/>
      <c r="CC100" s="732"/>
      <c r="CD100" s="737"/>
      <c r="CE100" s="737"/>
      <c r="CF100" s="737"/>
      <c r="CG100" s="737"/>
      <c r="CH100" s="737"/>
      <c r="CI100" s="737"/>
      <c r="CJ100" s="737"/>
      <c r="CK100" s="732"/>
      <c r="CL100" s="732"/>
      <c r="CM100" s="732"/>
      <c r="CN100" s="732"/>
      <c r="CO100" s="732"/>
      <c r="CP100" s="734"/>
      <c r="CQ100" s="747"/>
      <c r="CR100" s="744"/>
      <c r="CS100" s="730"/>
      <c r="CT100" s="730"/>
      <c r="CU100" s="730"/>
      <c r="CV100" s="730"/>
      <c r="CW100" s="746"/>
      <c r="CX100" s="741"/>
      <c r="CY100" s="734"/>
      <c r="CZ100" s="730"/>
      <c r="DA100" s="747"/>
      <c r="DB100" s="730"/>
      <c r="DC100" s="730"/>
      <c r="DD100" s="730"/>
      <c r="DE100" s="730"/>
      <c r="DF100" s="732"/>
      <c r="DG100" s="732"/>
      <c r="DH100" s="730"/>
      <c r="DI100" s="730"/>
      <c r="DJ100" s="747"/>
      <c r="DK100" s="732"/>
      <c r="DL100" s="732"/>
      <c r="DM100" s="732"/>
      <c r="DN100" s="732"/>
      <c r="DO100" s="732"/>
      <c r="DP100" s="732"/>
      <c r="DQ100" s="730"/>
      <c r="DR100" s="748"/>
      <c r="DS100" s="730"/>
      <c r="DT100" s="730"/>
      <c r="DU100" s="730"/>
      <c r="DV100" s="741"/>
      <c r="DW100" s="741">
        <f>SUM(B100:DV100)</f>
        <v>0</v>
      </c>
      <c r="DX100" s="749">
        <v>0</v>
      </c>
      <c r="DY100" s="659"/>
    </row>
    <row r="101" spans="1:129" ht="15.6" hidden="1" customHeight="1" outlineLevel="2" thickTop="1" thickBot="1">
      <c r="A101" s="706">
        <f t="shared" si="24"/>
        <v>0</v>
      </c>
      <c r="B101" s="791"/>
      <c r="C101" s="791"/>
      <c r="D101" s="791"/>
      <c r="E101" s="791"/>
      <c r="F101" s="792"/>
      <c r="G101" s="725"/>
      <c r="H101" s="725"/>
      <c r="I101" s="727"/>
      <c r="J101" s="727"/>
      <c r="K101" s="727"/>
      <c r="L101" s="727"/>
      <c r="M101" s="727"/>
      <c r="N101" s="793"/>
      <c r="O101" s="793"/>
      <c r="P101" s="794"/>
      <c r="Q101" s="712"/>
      <c r="R101" s="712"/>
      <c r="S101" s="712"/>
      <c r="T101" s="725"/>
      <c r="U101" s="725"/>
      <c r="V101" s="725"/>
      <c r="W101" s="725"/>
      <c r="X101" s="725"/>
      <c r="Y101" s="791"/>
      <c r="Z101" s="791"/>
      <c r="AA101" s="795"/>
      <c r="AB101" s="792"/>
      <c r="AC101" s="792"/>
      <c r="AD101" s="792"/>
      <c r="AE101" s="792"/>
      <c r="AF101" s="792"/>
      <c r="AG101" s="792"/>
      <c r="AH101" s="792"/>
      <c r="AI101" s="792"/>
      <c r="AJ101" s="792"/>
      <c r="AK101" s="792"/>
      <c r="AL101" s="792"/>
      <c r="AM101" s="796"/>
      <c r="AN101" s="796"/>
      <c r="AO101" s="794"/>
      <c r="AP101" s="794"/>
      <c r="AQ101" s="791"/>
      <c r="AR101" s="797"/>
      <c r="AS101" s="797"/>
      <c r="AT101" s="797"/>
      <c r="AU101" s="797"/>
      <c r="AV101" s="797"/>
      <c r="AW101" s="726"/>
      <c r="AX101" s="726"/>
      <c r="AY101" s="795"/>
      <c r="AZ101" s="795"/>
      <c r="BA101" s="792"/>
      <c r="BB101" s="792"/>
      <c r="BC101" s="791"/>
      <c r="BD101" s="791"/>
      <c r="BE101" s="791"/>
      <c r="BF101" s="725"/>
      <c r="BG101" s="725"/>
      <c r="BH101" s="725"/>
      <c r="BI101" s="725"/>
      <c r="BJ101" s="725"/>
      <c r="BK101" s="725"/>
      <c r="BL101" s="795"/>
      <c r="BM101" s="795"/>
      <c r="BN101" s="795"/>
      <c r="BO101" s="792"/>
      <c r="BP101" s="791"/>
      <c r="BQ101" s="791"/>
      <c r="BR101" s="791"/>
      <c r="BS101" s="791"/>
      <c r="BT101" s="791"/>
      <c r="BU101" s="791"/>
      <c r="BV101" s="791"/>
      <c r="BW101" s="795"/>
      <c r="BX101" s="795"/>
      <c r="BY101" s="795"/>
      <c r="BZ101" s="792"/>
      <c r="CA101" s="792"/>
      <c r="CB101" s="792"/>
      <c r="CC101" s="792"/>
      <c r="CD101" s="794"/>
      <c r="CE101" s="794"/>
      <c r="CF101" s="794"/>
      <c r="CG101" s="794"/>
      <c r="CH101" s="794"/>
      <c r="CI101" s="794"/>
      <c r="CJ101" s="794"/>
      <c r="CK101" s="792"/>
      <c r="CL101" s="792"/>
      <c r="CM101" s="792"/>
      <c r="CN101" s="792"/>
      <c r="CO101" s="792"/>
      <c r="CP101" s="793"/>
      <c r="CQ101" s="797"/>
      <c r="CR101" s="798"/>
      <c r="CS101" s="725"/>
      <c r="CT101" s="725"/>
      <c r="CU101" s="725"/>
      <c r="CV101" s="725"/>
      <c r="CW101" s="799"/>
      <c r="CX101" s="727"/>
      <c r="CY101" s="793"/>
      <c r="CZ101" s="725"/>
      <c r="DA101" s="726"/>
      <c r="DB101" s="795"/>
      <c r="DC101" s="795"/>
      <c r="DD101" s="795"/>
      <c r="DE101" s="795"/>
      <c r="DF101" s="792"/>
      <c r="DG101" s="792"/>
      <c r="DH101" s="791"/>
      <c r="DI101" s="725"/>
      <c r="DJ101" s="797"/>
      <c r="DK101" s="792"/>
      <c r="DL101" s="792"/>
      <c r="DM101" s="792"/>
      <c r="DN101" s="792"/>
      <c r="DO101" s="792"/>
      <c r="DP101" s="792"/>
      <c r="DQ101" s="725"/>
      <c r="DR101" s="726"/>
      <c r="DS101" s="725"/>
      <c r="DT101" s="725"/>
      <c r="DU101" s="725"/>
      <c r="DV101" s="727"/>
      <c r="DW101" s="727">
        <f>SUM(B101:DV101)</f>
        <v>0</v>
      </c>
      <c r="DX101" s="728">
        <v>0</v>
      </c>
      <c r="DY101" s="659"/>
    </row>
    <row r="102" spans="1:129" ht="29.1" hidden="1" customHeight="1" outlineLevel="2" thickTop="1" thickBot="1">
      <c r="A102" s="729" t="str">
        <f t="shared" si="24"/>
        <v xml:space="preserve">Складе ИП Антошина (Брянск) на 18-00 </v>
      </c>
      <c r="B102" s="731"/>
      <c r="C102" s="731"/>
      <c r="D102" s="731"/>
      <c r="E102" s="731"/>
      <c r="F102" s="732"/>
      <c r="G102" s="730"/>
      <c r="H102" s="730"/>
      <c r="I102" s="730"/>
      <c r="J102" s="730"/>
      <c r="K102" s="730"/>
      <c r="L102" s="730"/>
      <c r="M102" s="730"/>
      <c r="N102" s="747"/>
      <c r="O102" s="747"/>
      <c r="P102" s="737"/>
      <c r="Q102" s="790"/>
      <c r="R102" s="790"/>
      <c r="S102" s="790"/>
      <c r="T102" s="730"/>
      <c r="U102" s="730"/>
      <c r="V102" s="730"/>
      <c r="W102" s="730"/>
      <c r="X102" s="730"/>
      <c r="Y102" s="730"/>
      <c r="Z102" s="730"/>
      <c r="AA102" s="730"/>
      <c r="AB102" s="730"/>
      <c r="AC102" s="730"/>
      <c r="AD102" s="730"/>
      <c r="AE102" s="730"/>
      <c r="AF102" s="730"/>
      <c r="AG102" s="730"/>
      <c r="AH102" s="730"/>
      <c r="AI102" s="730"/>
      <c r="AJ102" s="730"/>
      <c r="AK102" s="730"/>
      <c r="AL102" s="732"/>
      <c r="AM102" s="736"/>
      <c r="AN102" s="736"/>
      <c r="AO102" s="737"/>
      <c r="AP102" s="737"/>
      <c r="AQ102" s="730"/>
      <c r="AR102" s="747"/>
      <c r="AS102" s="747"/>
      <c r="AT102" s="747"/>
      <c r="AU102" s="747"/>
      <c r="AV102" s="747"/>
      <c r="AW102" s="747"/>
      <c r="AX102" s="747"/>
      <c r="AY102" s="730"/>
      <c r="AZ102" s="730"/>
      <c r="BA102" s="732"/>
      <c r="BB102" s="732"/>
      <c r="BC102" s="732"/>
      <c r="BD102" s="732"/>
      <c r="BE102" s="732"/>
      <c r="BF102" s="730"/>
      <c r="BG102" s="730"/>
      <c r="BH102" s="730"/>
      <c r="BI102" s="730"/>
      <c r="BJ102" s="730"/>
      <c r="BK102" s="730"/>
      <c r="BL102" s="730"/>
      <c r="BM102" s="730"/>
      <c r="BN102" s="730"/>
      <c r="BO102" s="732"/>
      <c r="BP102" s="732"/>
      <c r="BQ102" s="732"/>
      <c r="BR102" s="732"/>
      <c r="BS102" s="732"/>
      <c r="BT102" s="732"/>
      <c r="BU102" s="732"/>
      <c r="BV102" s="730"/>
      <c r="BW102" s="730"/>
      <c r="BX102" s="730"/>
      <c r="BY102" s="730"/>
      <c r="BZ102" s="732"/>
      <c r="CA102" s="732"/>
      <c r="CB102" s="732"/>
      <c r="CC102" s="732"/>
      <c r="CD102" s="737"/>
      <c r="CE102" s="737"/>
      <c r="CF102" s="737"/>
      <c r="CG102" s="737"/>
      <c r="CH102" s="737"/>
      <c r="CI102" s="737"/>
      <c r="CJ102" s="737"/>
      <c r="CK102" s="732"/>
      <c r="CL102" s="732"/>
      <c r="CM102" s="732"/>
      <c r="CN102" s="732"/>
      <c r="CO102" s="732"/>
      <c r="CP102" s="734"/>
      <c r="CQ102" s="747"/>
      <c r="CR102" s="744"/>
      <c r="CS102" s="730"/>
      <c r="CT102" s="730"/>
      <c r="CU102" s="730"/>
      <c r="CV102" s="730"/>
      <c r="CW102" s="746"/>
      <c r="CX102" s="741"/>
      <c r="CY102" s="734"/>
      <c r="CZ102" s="730"/>
      <c r="DA102" s="747"/>
      <c r="DB102" s="730"/>
      <c r="DC102" s="730"/>
      <c r="DD102" s="730"/>
      <c r="DE102" s="730"/>
      <c r="DF102" s="732"/>
      <c r="DG102" s="732"/>
      <c r="DH102" s="730"/>
      <c r="DI102" s="730"/>
      <c r="DJ102" s="747"/>
      <c r="DK102" s="732"/>
      <c r="DL102" s="732"/>
      <c r="DM102" s="732"/>
      <c r="DN102" s="732"/>
      <c r="DO102" s="732"/>
      <c r="DP102" s="732"/>
      <c r="DQ102" s="730"/>
      <c r="DR102" s="748"/>
      <c r="DS102" s="730"/>
      <c r="DT102" s="730"/>
      <c r="DU102" s="730"/>
      <c r="DV102" s="741"/>
      <c r="DW102" s="741"/>
      <c r="DX102" s="749" t="s">
        <v>639</v>
      </c>
      <c r="DY102" s="659"/>
    </row>
    <row r="103" spans="1:129" ht="29.1" hidden="1" customHeight="1" outlineLevel="2" thickTop="1">
      <c r="A103" s="706" t="str">
        <f t="shared" si="24"/>
        <v>Камере созревания (производство) на 18-00</v>
      </c>
      <c r="B103" s="708"/>
      <c r="C103" s="708"/>
      <c r="D103" s="708"/>
      <c r="E103" s="708"/>
      <c r="F103" s="708"/>
      <c r="G103" s="710"/>
      <c r="H103" s="710"/>
      <c r="I103" s="720"/>
      <c r="J103" s="720"/>
      <c r="K103" s="720"/>
      <c r="L103" s="720"/>
      <c r="M103" s="720"/>
      <c r="N103" s="711"/>
      <c r="O103" s="711"/>
      <c r="P103" s="716"/>
      <c r="Q103" s="712"/>
      <c r="R103" s="712"/>
      <c r="S103" s="712"/>
      <c r="T103" s="710"/>
      <c r="U103" s="710"/>
      <c r="V103" s="710"/>
      <c r="W103" s="710"/>
      <c r="X103" s="710"/>
      <c r="Y103" s="712"/>
      <c r="Z103" s="712"/>
      <c r="AA103" s="707"/>
      <c r="AB103" s="710"/>
      <c r="AC103" s="710"/>
      <c r="AD103" s="710"/>
      <c r="AE103" s="710"/>
      <c r="AF103" s="710"/>
      <c r="AG103" s="710"/>
      <c r="AH103" s="710"/>
      <c r="AI103" s="710"/>
      <c r="AJ103" s="710"/>
      <c r="AK103" s="710"/>
      <c r="AL103" s="708"/>
      <c r="AM103" s="715"/>
      <c r="AN103" s="715"/>
      <c r="AO103" s="716"/>
      <c r="AP103" s="716"/>
      <c r="AQ103" s="710"/>
      <c r="AR103" s="724"/>
      <c r="AS103" s="724"/>
      <c r="AT103" s="724"/>
      <c r="AU103" s="724"/>
      <c r="AV103" s="724"/>
      <c r="AW103" s="724"/>
      <c r="AX103" s="724"/>
      <c r="AY103" s="710"/>
      <c r="AZ103" s="710"/>
      <c r="BA103" s="708"/>
      <c r="BB103" s="708"/>
      <c r="BC103" s="708"/>
      <c r="BD103" s="708"/>
      <c r="BE103" s="708"/>
      <c r="BF103" s="710"/>
      <c r="BG103" s="710"/>
      <c r="BH103" s="710"/>
      <c r="BI103" s="710"/>
      <c r="BJ103" s="710"/>
      <c r="BK103" s="710"/>
      <c r="BL103" s="710"/>
      <c r="BM103" s="710"/>
      <c r="BN103" s="710"/>
      <c r="BO103" s="710"/>
      <c r="BP103" s="708"/>
      <c r="BQ103" s="708"/>
      <c r="BR103" s="708"/>
      <c r="BS103" s="708"/>
      <c r="BT103" s="708"/>
      <c r="BU103" s="708"/>
      <c r="BV103" s="710"/>
      <c r="BW103" s="710"/>
      <c r="BX103" s="710"/>
      <c r="BY103" s="710"/>
      <c r="BZ103" s="708"/>
      <c r="CA103" s="708"/>
      <c r="CB103" s="708"/>
      <c r="CC103" s="708"/>
      <c r="CD103" s="716"/>
      <c r="CE103" s="716"/>
      <c r="CF103" s="716"/>
      <c r="CG103" s="716"/>
      <c r="CH103" s="716"/>
      <c r="CI103" s="716"/>
      <c r="CJ103" s="716"/>
      <c r="CK103" s="708"/>
      <c r="CL103" s="708"/>
      <c r="CM103" s="708"/>
      <c r="CN103" s="708"/>
      <c r="CO103" s="708"/>
      <c r="CP103" s="711"/>
      <c r="CQ103" s="724"/>
      <c r="CR103" s="721"/>
      <c r="CS103" s="710"/>
      <c r="CT103" s="710"/>
      <c r="CU103" s="710"/>
      <c r="CV103" s="710"/>
      <c r="CW103" s="723"/>
      <c r="CX103" s="720"/>
      <c r="CY103" s="711"/>
      <c r="CZ103" s="710"/>
      <c r="DA103" s="710"/>
      <c r="DB103" s="708"/>
      <c r="DC103" s="708"/>
      <c r="DD103" s="708"/>
      <c r="DE103" s="708"/>
      <c r="DF103" s="708"/>
      <c r="DG103" s="708"/>
      <c r="DH103" s="710"/>
      <c r="DI103" s="710"/>
      <c r="DJ103" s="724"/>
      <c r="DK103" s="708"/>
      <c r="DL103" s="708"/>
      <c r="DM103" s="708"/>
      <c r="DN103" s="708"/>
      <c r="DO103" s="708"/>
      <c r="DP103" s="708"/>
      <c r="DQ103" s="725"/>
      <c r="DR103" s="726"/>
      <c r="DS103" s="725"/>
      <c r="DT103" s="725"/>
      <c r="DU103" s="725"/>
      <c r="DV103" s="727"/>
      <c r="DW103" s="727">
        <f>SUM(B103:DV103)</f>
        <v>0</v>
      </c>
      <c r="DX103" s="728" t="s">
        <v>640</v>
      </c>
      <c r="DY103" s="659"/>
    </row>
    <row r="104" spans="1:129" ht="7.5" hidden="1" customHeight="1" outlineLevel="2" thickTop="1">
      <c r="A104" s="810"/>
      <c r="B104" s="811"/>
      <c r="C104" s="811"/>
      <c r="D104" s="811"/>
      <c r="E104" s="811"/>
      <c r="F104" s="811"/>
      <c r="G104" s="811"/>
      <c r="H104" s="811"/>
      <c r="I104" s="811"/>
      <c r="J104" s="811"/>
      <c r="K104" s="811"/>
      <c r="L104" s="811"/>
      <c r="M104" s="811"/>
      <c r="N104" s="811"/>
      <c r="O104" s="811"/>
      <c r="P104" s="812"/>
      <c r="Q104" s="813"/>
      <c r="R104" s="813"/>
      <c r="S104" s="813"/>
      <c r="T104" s="811"/>
      <c r="U104" s="811"/>
      <c r="V104" s="811"/>
      <c r="W104" s="811"/>
      <c r="X104" s="811"/>
      <c r="Y104" s="811"/>
      <c r="Z104" s="811"/>
      <c r="AA104" s="811"/>
      <c r="AB104" s="811"/>
      <c r="AC104" s="811"/>
      <c r="AD104" s="811"/>
      <c r="AE104" s="811"/>
      <c r="AF104" s="811"/>
      <c r="AG104" s="811"/>
      <c r="AH104" s="811"/>
      <c r="AI104" s="811"/>
      <c r="AJ104" s="811"/>
      <c r="AK104" s="811"/>
      <c r="AL104" s="811"/>
      <c r="AM104" s="812"/>
      <c r="AN104" s="812"/>
      <c r="AO104" s="812"/>
      <c r="AP104" s="812"/>
      <c r="AQ104" s="811"/>
      <c r="AR104" s="811"/>
      <c r="AS104" s="811"/>
      <c r="AT104" s="811"/>
      <c r="AU104" s="811"/>
      <c r="AV104" s="811"/>
      <c r="AW104" s="811"/>
      <c r="AX104" s="811"/>
      <c r="AY104" s="811"/>
      <c r="AZ104" s="811"/>
      <c r="BA104" s="811"/>
      <c r="BB104" s="811"/>
      <c r="BC104" s="811"/>
      <c r="BD104" s="811"/>
      <c r="BE104" s="811"/>
      <c r="BF104" s="811"/>
      <c r="BG104" s="811"/>
      <c r="BH104" s="811"/>
      <c r="BI104" s="811"/>
      <c r="BJ104" s="811"/>
      <c r="BK104" s="811"/>
      <c r="BL104" s="811"/>
      <c r="BM104" s="811"/>
      <c r="BN104" s="811"/>
      <c r="BO104" s="811"/>
      <c r="BP104" s="811"/>
      <c r="BQ104" s="811"/>
      <c r="BR104" s="811"/>
      <c r="BS104" s="811"/>
      <c r="BT104" s="811"/>
      <c r="BU104" s="811"/>
      <c r="BV104" s="811"/>
      <c r="BW104" s="811"/>
      <c r="BX104" s="811"/>
      <c r="BY104" s="811"/>
      <c r="BZ104" s="811"/>
      <c r="CA104" s="811"/>
      <c r="CB104" s="811"/>
      <c r="CC104" s="811"/>
      <c r="CD104" s="812"/>
      <c r="CE104" s="812"/>
      <c r="CF104" s="812"/>
      <c r="CG104" s="812"/>
      <c r="CH104" s="812"/>
      <c r="CI104" s="812"/>
      <c r="CJ104" s="812"/>
      <c r="CK104" s="811"/>
      <c r="CL104" s="811"/>
      <c r="CM104" s="811"/>
      <c r="CN104" s="811"/>
      <c r="CO104" s="811"/>
      <c r="CP104" s="811"/>
      <c r="CQ104" s="811"/>
      <c r="CR104" s="811"/>
      <c r="CS104" s="811"/>
      <c r="CT104" s="811"/>
      <c r="CU104" s="811"/>
      <c r="CV104" s="811"/>
      <c r="CW104" s="811"/>
      <c r="CX104" s="811"/>
      <c r="CY104" s="811"/>
      <c r="CZ104" s="811"/>
      <c r="DA104" s="811"/>
      <c r="DB104" s="811"/>
      <c r="DC104" s="811"/>
      <c r="DD104" s="811"/>
      <c r="DE104" s="811"/>
      <c r="DF104" s="811"/>
      <c r="DG104" s="811"/>
      <c r="DH104" s="811"/>
      <c r="DI104" s="811"/>
      <c r="DJ104" s="814"/>
      <c r="DK104" s="811"/>
      <c r="DL104" s="811"/>
      <c r="DM104" s="811"/>
      <c r="DN104" s="811"/>
      <c r="DO104" s="811"/>
      <c r="DP104" s="811"/>
      <c r="DQ104" s="811"/>
      <c r="DR104" s="815"/>
      <c r="DS104" s="811"/>
      <c r="DT104" s="811"/>
      <c r="DU104" s="811"/>
      <c r="DV104" s="816"/>
      <c r="DW104" s="811"/>
      <c r="DX104" s="817"/>
      <c r="DY104" s="659"/>
    </row>
    <row r="105" spans="1:129" ht="29.1" hidden="1" customHeight="1" outlineLevel="2" thickTop="1">
      <c r="A105" s="783" t="s">
        <v>642</v>
      </c>
      <c r="B105" s="788">
        <f t="shared" ref="B105:BM105" si="25">SUM(B106:B111)</f>
        <v>387</v>
      </c>
      <c r="C105" s="788">
        <f t="shared" si="25"/>
        <v>15</v>
      </c>
      <c r="D105" s="788">
        <f t="shared" si="25"/>
        <v>48</v>
      </c>
      <c r="E105" s="788">
        <f t="shared" si="25"/>
        <v>0</v>
      </c>
      <c r="F105" s="788">
        <f t="shared" si="25"/>
        <v>216.07999999999998</v>
      </c>
      <c r="G105" s="788">
        <f t="shared" si="25"/>
        <v>0</v>
      </c>
      <c r="H105" s="788">
        <f t="shared" si="25"/>
        <v>2.96</v>
      </c>
      <c r="I105" s="788">
        <f t="shared" si="25"/>
        <v>33</v>
      </c>
      <c r="J105" s="788">
        <f t="shared" si="25"/>
        <v>159.04</v>
      </c>
      <c r="K105" s="788">
        <f t="shared" si="25"/>
        <v>13.44</v>
      </c>
      <c r="L105" s="788">
        <f t="shared" si="25"/>
        <v>0</v>
      </c>
      <c r="M105" s="788">
        <f t="shared" si="25"/>
        <v>0</v>
      </c>
      <c r="N105" s="788">
        <f t="shared" si="25"/>
        <v>118.4</v>
      </c>
      <c r="O105" s="788">
        <f t="shared" si="25"/>
        <v>2.96</v>
      </c>
      <c r="P105" s="1816">
        <f t="shared" si="25"/>
        <v>17.760000000000002</v>
      </c>
      <c r="Q105" s="1598">
        <f t="shared" si="25"/>
        <v>152.32</v>
      </c>
      <c r="R105" s="1598">
        <f t="shared" si="25"/>
        <v>13.44</v>
      </c>
      <c r="S105" s="1598">
        <f t="shared" si="25"/>
        <v>5199.04</v>
      </c>
      <c r="T105" s="788">
        <f t="shared" si="25"/>
        <v>244.8</v>
      </c>
      <c r="U105" s="788">
        <f t="shared" si="25"/>
        <v>169.2</v>
      </c>
      <c r="V105" s="788">
        <f t="shared" si="25"/>
        <v>7.2</v>
      </c>
      <c r="W105" s="788">
        <f t="shared" si="25"/>
        <v>4.8</v>
      </c>
      <c r="X105" s="788"/>
      <c r="Y105" s="788">
        <f t="shared" si="25"/>
        <v>1027.8600000000001</v>
      </c>
      <c r="Z105" s="788">
        <f t="shared" si="25"/>
        <v>0</v>
      </c>
      <c r="AA105" s="788">
        <f t="shared" si="25"/>
        <v>198.72</v>
      </c>
      <c r="AB105" s="788">
        <f t="shared" si="25"/>
        <v>510</v>
      </c>
      <c r="AC105" s="788">
        <f t="shared" si="25"/>
        <v>15.6</v>
      </c>
      <c r="AD105" s="788">
        <f t="shared" si="25"/>
        <v>1094.4000000000001</v>
      </c>
      <c r="AE105" s="788">
        <f t="shared" si="25"/>
        <v>38.4</v>
      </c>
      <c r="AF105" s="788">
        <f t="shared" si="25"/>
        <v>11.2</v>
      </c>
      <c r="AG105" s="788">
        <f t="shared" si="25"/>
        <v>280</v>
      </c>
      <c r="AH105" s="788">
        <f t="shared" si="25"/>
        <v>264.32</v>
      </c>
      <c r="AI105" s="788">
        <f t="shared" si="25"/>
        <v>412.8</v>
      </c>
      <c r="AJ105" s="788">
        <f t="shared" si="25"/>
        <v>19.8</v>
      </c>
      <c r="AK105" s="788">
        <f t="shared" si="25"/>
        <v>691.2</v>
      </c>
      <c r="AL105" s="788">
        <f t="shared" si="25"/>
        <v>0</v>
      </c>
      <c r="AM105" s="1816">
        <f t="shared" si="25"/>
        <v>0</v>
      </c>
      <c r="AN105" s="1816">
        <f t="shared" si="25"/>
        <v>14.4</v>
      </c>
      <c r="AO105" s="1816">
        <f t="shared" si="25"/>
        <v>0</v>
      </c>
      <c r="AP105" s="1816">
        <f t="shared" si="25"/>
        <v>8.4</v>
      </c>
      <c r="AQ105" s="788">
        <f t="shared" si="25"/>
        <v>36.799999999999997</v>
      </c>
      <c r="AR105" s="788">
        <f t="shared" si="25"/>
        <v>921.44</v>
      </c>
      <c r="AS105" s="788">
        <f t="shared" si="25"/>
        <v>8.5</v>
      </c>
      <c r="AT105" s="788">
        <f t="shared" si="25"/>
        <v>8.5</v>
      </c>
      <c r="AU105" s="788">
        <f t="shared" si="25"/>
        <v>1.7</v>
      </c>
      <c r="AV105" s="788">
        <f t="shared" si="25"/>
        <v>0</v>
      </c>
      <c r="AW105" s="788">
        <f t="shared" si="25"/>
        <v>0</v>
      </c>
      <c r="AX105" s="788">
        <f t="shared" si="25"/>
        <v>0</v>
      </c>
      <c r="AY105" s="788">
        <f t="shared" si="25"/>
        <v>1173</v>
      </c>
      <c r="AZ105" s="788">
        <f t="shared" si="25"/>
        <v>41</v>
      </c>
      <c r="BA105" s="788">
        <f t="shared" si="25"/>
        <v>143</v>
      </c>
      <c r="BB105" s="788">
        <f t="shared" si="25"/>
        <v>393.59999999999997</v>
      </c>
      <c r="BC105" s="788">
        <f t="shared" si="25"/>
        <v>0</v>
      </c>
      <c r="BD105" s="788">
        <f t="shared" si="25"/>
        <v>445.5</v>
      </c>
      <c r="BE105" s="788">
        <f t="shared" si="25"/>
        <v>33</v>
      </c>
      <c r="BF105" s="788">
        <f t="shared" si="25"/>
        <v>0.8</v>
      </c>
      <c r="BG105" s="788">
        <f t="shared" si="25"/>
        <v>290.39999999999998</v>
      </c>
      <c r="BH105" s="788">
        <f t="shared" si="25"/>
        <v>129.6</v>
      </c>
      <c r="BI105" s="788">
        <f t="shared" si="25"/>
        <v>65</v>
      </c>
      <c r="BJ105" s="788">
        <f t="shared" si="25"/>
        <v>736</v>
      </c>
      <c r="BK105" s="788">
        <f t="shared" si="25"/>
        <v>23</v>
      </c>
      <c r="BL105" s="788">
        <f t="shared" si="25"/>
        <v>27.2</v>
      </c>
      <c r="BM105" s="788">
        <f t="shared" si="25"/>
        <v>984</v>
      </c>
      <c r="BN105" s="788">
        <f t="shared" ref="BN105:DV105" si="26">SUM(BN106:BN111)</f>
        <v>17</v>
      </c>
      <c r="BO105" s="788">
        <f t="shared" si="26"/>
        <v>924</v>
      </c>
      <c r="BP105" s="788">
        <f t="shared" si="26"/>
        <v>296</v>
      </c>
      <c r="BQ105" s="788">
        <f t="shared" si="26"/>
        <v>33</v>
      </c>
      <c r="BR105" s="788">
        <f t="shared" si="26"/>
        <v>0</v>
      </c>
      <c r="BS105" s="788">
        <f t="shared" si="26"/>
        <v>114</v>
      </c>
      <c r="BT105" s="788">
        <f t="shared" si="26"/>
        <v>360.8</v>
      </c>
      <c r="BU105" s="788">
        <f t="shared" si="26"/>
        <v>0</v>
      </c>
      <c r="BV105" s="788">
        <f t="shared" si="26"/>
        <v>306</v>
      </c>
      <c r="BW105" s="788">
        <f t="shared" si="26"/>
        <v>571.5</v>
      </c>
      <c r="BX105" s="788">
        <f t="shared" si="26"/>
        <v>537</v>
      </c>
      <c r="BY105" s="788">
        <f t="shared" si="26"/>
        <v>478.79999999999995</v>
      </c>
      <c r="BZ105" s="788">
        <f t="shared" si="26"/>
        <v>3.24</v>
      </c>
      <c r="CA105" s="788">
        <f t="shared" si="26"/>
        <v>9.24</v>
      </c>
      <c r="CB105" s="788">
        <f t="shared" si="26"/>
        <v>12.6</v>
      </c>
      <c r="CC105" s="788">
        <f t="shared" si="26"/>
        <v>0</v>
      </c>
      <c r="CD105" s="1816">
        <f t="shared" si="26"/>
        <v>7344</v>
      </c>
      <c r="CE105" s="1816">
        <f t="shared" si="26"/>
        <v>2181.6</v>
      </c>
      <c r="CF105" s="1816">
        <f t="shared" si="26"/>
        <v>424.8</v>
      </c>
      <c r="CG105" s="1816">
        <f t="shared" si="26"/>
        <v>1539</v>
      </c>
      <c r="CH105" s="1816">
        <f t="shared" si="26"/>
        <v>1027.5</v>
      </c>
      <c r="CI105" s="1816">
        <f t="shared" si="26"/>
        <v>114</v>
      </c>
      <c r="CJ105" s="1816">
        <f t="shared" si="26"/>
        <v>20.399999999999999</v>
      </c>
      <c r="CK105" s="788">
        <f t="shared" si="26"/>
        <v>652.79999999999995</v>
      </c>
      <c r="CL105" s="788">
        <f t="shared" si="26"/>
        <v>0</v>
      </c>
      <c r="CM105" s="788">
        <f t="shared" si="26"/>
        <v>267.60000000000002</v>
      </c>
      <c r="CN105" s="788">
        <f t="shared" si="26"/>
        <v>0</v>
      </c>
      <c r="CO105" s="788">
        <f t="shared" si="26"/>
        <v>121.5</v>
      </c>
      <c r="CP105" s="788">
        <f t="shared" si="26"/>
        <v>171</v>
      </c>
      <c r="CQ105" s="788">
        <f t="shared" si="26"/>
        <v>3</v>
      </c>
      <c r="CR105" s="788">
        <f t="shared" si="26"/>
        <v>0</v>
      </c>
      <c r="CS105" s="788">
        <f t="shared" si="26"/>
        <v>24</v>
      </c>
      <c r="CT105" s="788">
        <f t="shared" si="26"/>
        <v>0</v>
      </c>
      <c r="CU105" s="788">
        <f t="shared" si="26"/>
        <v>569.16</v>
      </c>
      <c r="CV105" s="788">
        <f t="shared" si="26"/>
        <v>0</v>
      </c>
      <c r="CW105" s="788">
        <f t="shared" si="26"/>
        <v>2.16</v>
      </c>
      <c r="CX105" s="788">
        <f t="shared" si="26"/>
        <v>19.440000000000001</v>
      </c>
      <c r="CY105" s="788">
        <f t="shared" si="26"/>
        <v>3.24</v>
      </c>
      <c r="CZ105" s="788">
        <f t="shared" si="26"/>
        <v>312.12</v>
      </c>
      <c r="DA105" s="788">
        <f t="shared" si="26"/>
        <v>313.5</v>
      </c>
      <c r="DB105" s="788">
        <f t="shared" si="26"/>
        <v>0</v>
      </c>
      <c r="DC105" s="788">
        <f t="shared" si="26"/>
        <v>1572</v>
      </c>
      <c r="DD105" s="788">
        <f t="shared" si="26"/>
        <v>0</v>
      </c>
      <c r="DE105" s="788">
        <f t="shared" si="26"/>
        <v>178.8</v>
      </c>
      <c r="DF105" s="788">
        <f t="shared" si="26"/>
        <v>721.5</v>
      </c>
      <c r="DG105" s="788">
        <f t="shared" si="26"/>
        <v>52.5</v>
      </c>
      <c r="DH105" s="788">
        <f t="shared" si="26"/>
        <v>15</v>
      </c>
      <c r="DI105" s="788">
        <f t="shared" si="26"/>
        <v>172.8</v>
      </c>
      <c r="DJ105" s="788">
        <f t="shared" si="26"/>
        <v>3561</v>
      </c>
      <c r="DK105" s="788">
        <f t="shared" si="26"/>
        <v>2670</v>
      </c>
      <c r="DL105" s="788">
        <f t="shared" si="26"/>
        <v>309</v>
      </c>
      <c r="DM105" s="788">
        <f t="shared" si="26"/>
        <v>477</v>
      </c>
      <c r="DN105" s="788">
        <f t="shared" si="26"/>
        <v>558</v>
      </c>
      <c r="DO105" s="788">
        <f t="shared" si="26"/>
        <v>913</v>
      </c>
      <c r="DP105" s="788">
        <f t="shared" si="26"/>
        <v>1266</v>
      </c>
      <c r="DQ105" s="785">
        <f t="shared" si="26"/>
        <v>0</v>
      </c>
      <c r="DR105" s="789">
        <f t="shared" si="26"/>
        <v>0</v>
      </c>
      <c r="DS105" s="785"/>
      <c r="DT105" s="785"/>
      <c r="DU105" s="785"/>
      <c r="DV105" s="786">
        <f t="shared" si="26"/>
        <v>0</v>
      </c>
      <c r="DW105" s="786">
        <f t="shared" ref="DW105:DW111" si="27">SUM(B105:DV105)</f>
        <v>48094.180000000022</v>
      </c>
      <c r="DX105" s="783" t="s">
        <v>642</v>
      </c>
      <c r="DY105" s="659"/>
    </row>
    <row r="106" spans="1:129" ht="15.6" hidden="1" customHeight="1" outlineLevel="2">
      <c r="A106" s="729" t="str">
        <f>A98</f>
        <v>Склад ГП на 18-00</v>
      </c>
      <c r="B106" s="732">
        <f t="shared" ref="B106:BM110" si="28">B82+B90+B98</f>
        <v>387</v>
      </c>
      <c r="C106" s="732">
        <f t="shared" si="28"/>
        <v>15</v>
      </c>
      <c r="D106" s="732">
        <f t="shared" si="28"/>
        <v>48</v>
      </c>
      <c r="E106" s="732">
        <f t="shared" si="28"/>
        <v>0</v>
      </c>
      <c r="F106" s="732">
        <f t="shared" si="28"/>
        <v>216.07999999999998</v>
      </c>
      <c r="G106" s="732">
        <f t="shared" si="28"/>
        <v>0</v>
      </c>
      <c r="H106" s="732">
        <f t="shared" si="28"/>
        <v>2.96</v>
      </c>
      <c r="I106" s="732">
        <f t="shared" si="28"/>
        <v>33</v>
      </c>
      <c r="J106" s="732">
        <f t="shared" si="28"/>
        <v>159.04</v>
      </c>
      <c r="K106" s="732">
        <f t="shared" si="28"/>
        <v>13.44</v>
      </c>
      <c r="L106" s="732">
        <f t="shared" si="28"/>
        <v>0</v>
      </c>
      <c r="M106" s="732">
        <f t="shared" si="28"/>
        <v>0</v>
      </c>
      <c r="N106" s="732">
        <f t="shared" si="28"/>
        <v>118.4</v>
      </c>
      <c r="O106" s="732">
        <f t="shared" si="28"/>
        <v>2.96</v>
      </c>
      <c r="P106" s="1817">
        <f t="shared" si="28"/>
        <v>17.760000000000002</v>
      </c>
      <c r="Q106" s="801">
        <f t="shared" si="28"/>
        <v>152.32</v>
      </c>
      <c r="R106" s="801">
        <f t="shared" si="28"/>
        <v>13.44</v>
      </c>
      <c r="S106" s="801">
        <f t="shared" si="28"/>
        <v>5199.04</v>
      </c>
      <c r="T106" s="732">
        <f t="shared" si="28"/>
        <v>244.8</v>
      </c>
      <c r="U106" s="732">
        <f t="shared" si="28"/>
        <v>169.2</v>
      </c>
      <c r="V106" s="732">
        <f t="shared" si="28"/>
        <v>7.2</v>
      </c>
      <c r="W106" s="732">
        <f t="shared" si="28"/>
        <v>4.8</v>
      </c>
      <c r="X106" s="732"/>
      <c r="Y106" s="732">
        <f t="shared" si="28"/>
        <v>1027.8600000000001</v>
      </c>
      <c r="Z106" s="732">
        <f t="shared" si="28"/>
        <v>0</v>
      </c>
      <c r="AA106" s="732">
        <f t="shared" si="28"/>
        <v>198.72</v>
      </c>
      <c r="AB106" s="732">
        <f t="shared" si="28"/>
        <v>510</v>
      </c>
      <c r="AC106" s="732">
        <f t="shared" si="28"/>
        <v>15.6</v>
      </c>
      <c r="AD106" s="732">
        <f t="shared" si="28"/>
        <v>1094.4000000000001</v>
      </c>
      <c r="AE106" s="732">
        <f t="shared" si="28"/>
        <v>38.4</v>
      </c>
      <c r="AF106" s="732">
        <f t="shared" si="28"/>
        <v>11.2</v>
      </c>
      <c r="AG106" s="732">
        <f t="shared" si="28"/>
        <v>280</v>
      </c>
      <c r="AH106" s="732">
        <f t="shared" si="28"/>
        <v>264.32</v>
      </c>
      <c r="AI106" s="732">
        <f t="shared" si="28"/>
        <v>412.8</v>
      </c>
      <c r="AJ106" s="732">
        <f t="shared" si="28"/>
        <v>19.8</v>
      </c>
      <c r="AK106" s="732">
        <f t="shared" si="28"/>
        <v>691.2</v>
      </c>
      <c r="AL106" s="732">
        <f t="shared" si="28"/>
        <v>0</v>
      </c>
      <c r="AM106" s="1817">
        <f t="shared" si="28"/>
        <v>0</v>
      </c>
      <c r="AN106" s="1817">
        <f t="shared" si="28"/>
        <v>14.4</v>
      </c>
      <c r="AO106" s="1817">
        <f t="shared" si="28"/>
        <v>0</v>
      </c>
      <c r="AP106" s="1817">
        <f t="shared" si="28"/>
        <v>8.4</v>
      </c>
      <c r="AQ106" s="732">
        <f t="shared" si="28"/>
        <v>36.799999999999997</v>
      </c>
      <c r="AR106" s="732">
        <f t="shared" si="28"/>
        <v>921.44</v>
      </c>
      <c r="AS106" s="732">
        <f t="shared" si="28"/>
        <v>8.5</v>
      </c>
      <c r="AT106" s="732">
        <f t="shared" si="28"/>
        <v>8.5</v>
      </c>
      <c r="AU106" s="732">
        <f t="shared" si="28"/>
        <v>1.7</v>
      </c>
      <c r="AV106" s="732">
        <f t="shared" si="28"/>
        <v>0</v>
      </c>
      <c r="AW106" s="732">
        <f t="shared" si="28"/>
        <v>0</v>
      </c>
      <c r="AX106" s="732">
        <f t="shared" si="28"/>
        <v>0</v>
      </c>
      <c r="AY106" s="732">
        <f t="shared" si="28"/>
        <v>1173</v>
      </c>
      <c r="AZ106" s="732">
        <f t="shared" si="28"/>
        <v>41</v>
      </c>
      <c r="BA106" s="732">
        <f t="shared" si="28"/>
        <v>143</v>
      </c>
      <c r="BB106" s="732">
        <f t="shared" si="28"/>
        <v>393.59999999999997</v>
      </c>
      <c r="BC106" s="732">
        <f t="shared" si="28"/>
        <v>0</v>
      </c>
      <c r="BD106" s="732">
        <f t="shared" si="28"/>
        <v>445.5</v>
      </c>
      <c r="BE106" s="732">
        <f t="shared" si="28"/>
        <v>33</v>
      </c>
      <c r="BF106" s="732">
        <f t="shared" si="28"/>
        <v>0.8</v>
      </c>
      <c r="BG106" s="732">
        <f t="shared" si="28"/>
        <v>290.39999999999998</v>
      </c>
      <c r="BH106" s="732">
        <f t="shared" si="28"/>
        <v>129.6</v>
      </c>
      <c r="BI106" s="732">
        <f t="shared" si="28"/>
        <v>65</v>
      </c>
      <c r="BJ106" s="732">
        <f t="shared" si="28"/>
        <v>736</v>
      </c>
      <c r="BK106" s="732">
        <f t="shared" si="28"/>
        <v>23</v>
      </c>
      <c r="BL106" s="732">
        <f t="shared" si="28"/>
        <v>27.2</v>
      </c>
      <c r="BM106" s="732">
        <f t="shared" si="28"/>
        <v>984</v>
      </c>
      <c r="BN106" s="732">
        <f t="shared" ref="BN106:DV110" si="29">BN82+BN90+BN98</f>
        <v>17</v>
      </c>
      <c r="BO106" s="732">
        <f t="shared" si="29"/>
        <v>924</v>
      </c>
      <c r="BP106" s="732">
        <f t="shared" si="29"/>
        <v>296</v>
      </c>
      <c r="BQ106" s="732">
        <f t="shared" si="29"/>
        <v>33</v>
      </c>
      <c r="BR106" s="732">
        <f t="shared" si="29"/>
        <v>0</v>
      </c>
      <c r="BS106" s="732">
        <f t="shared" si="29"/>
        <v>114</v>
      </c>
      <c r="BT106" s="732">
        <f t="shared" si="29"/>
        <v>360.8</v>
      </c>
      <c r="BU106" s="732">
        <f t="shared" si="29"/>
        <v>0</v>
      </c>
      <c r="BV106" s="732">
        <f t="shared" si="29"/>
        <v>306</v>
      </c>
      <c r="BW106" s="732">
        <f t="shared" si="29"/>
        <v>571.5</v>
      </c>
      <c r="BX106" s="732">
        <f t="shared" si="29"/>
        <v>537</v>
      </c>
      <c r="BY106" s="732">
        <f t="shared" si="29"/>
        <v>478.79999999999995</v>
      </c>
      <c r="BZ106" s="732">
        <f t="shared" si="29"/>
        <v>3.24</v>
      </c>
      <c r="CA106" s="732">
        <f t="shared" si="29"/>
        <v>9.24</v>
      </c>
      <c r="CB106" s="732">
        <f t="shared" si="29"/>
        <v>12.6</v>
      </c>
      <c r="CC106" s="732">
        <f t="shared" si="29"/>
        <v>0</v>
      </c>
      <c r="CD106" s="1817">
        <f t="shared" si="29"/>
        <v>7344</v>
      </c>
      <c r="CE106" s="1817">
        <f t="shared" si="29"/>
        <v>2181.6</v>
      </c>
      <c r="CF106" s="1817">
        <f t="shared" si="29"/>
        <v>424.8</v>
      </c>
      <c r="CG106" s="1817">
        <f t="shared" si="29"/>
        <v>1539</v>
      </c>
      <c r="CH106" s="1817">
        <f t="shared" si="29"/>
        <v>1027.5</v>
      </c>
      <c r="CI106" s="1817">
        <f t="shared" si="29"/>
        <v>114</v>
      </c>
      <c r="CJ106" s="1817">
        <f t="shared" si="29"/>
        <v>20.399999999999999</v>
      </c>
      <c r="CK106" s="732">
        <f t="shared" si="29"/>
        <v>652.79999999999995</v>
      </c>
      <c r="CL106" s="732">
        <f t="shared" si="29"/>
        <v>0</v>
      </c>
      <c r="CM106" s="732">
        <f t="shared" si="29"/>
        <v>267.60000000000002</v>
      </c>
      <c r="CN106" s="732">
        <f t="shared" si="29"/>
        <v>0</v>
      </c>
      <c r="CO106" s="732">
        <f t="shared" si="29"/>
        <v>121.5</v>
      </c>
      <c r="CP106" s="732">
        <f t="shared" si="29"/>
        <v>171</v>
      </c>
      <c r="CQ106" s="732">
        <f t="shared" si="29"/>
        <v>3</v>
      </c>
      <c r="CR106" s="732">
        <f t="shared" si="29"/>
        <v>0</v>
      </c>
      <c r="CS106" s="732">
        <f t="shared" si="29"/>
        <v>24</v>
      </c>
      <c r="CT106" s="732">
        <f t="shared" si="29"/>
        <v>0</v>
      </c>
      <c r="CU106" s="732">
        <f t="shared" si="29"/>
        <v>569.16</v>
      </c>
      <c r="CV106" s="732">
        <f t="shared" si="29"/>
        <v>0</v>
      </c>
      <c r="CW106" s="732">
        <f t="shared" si="29"/>
        <v>2.16</v>
      </c>
      <c r="CX106" s="732">
        <f t="shared" si="29"/>
        <v>19.440000000000001</v>
      </c>
      <c r="CY106" s="732">
        <f t="shared" si="29"/>
        <v>3.24</v>
      </c>
      <c r="CZ106" s="732">
        <f t="shared" si="29"/>
        <v>312.12</v>
      </c>
      <c r="DA106" s="732">
        <f t="shared" si="29"/>
        <v>313.5</v>
      </c>
      <c r="DB106" s="732">
        <f t="shared" si="29"/>
        <v>0</v>
      </c>
      <c r="DC106" s="732">
        <f t="shared" si="29"/>
        <v>1572</v>
      </c>
      <c r="DD106" s="732">
        <f t="shared" si="29"/>
        <v>0</v>
      </c>
      <c r="DE106" s="732">
        <f t="shared" si="29"/>
        <v>178.8</v>
      </c>
      <c r="DF106" s="732">
        <f t="shared" si="29"/>
        <v>721.5</v>
      </c>
      <c r="DG106" s="732">
        <f t="shared" si="29"/>
        <v>52.5</v>
      </c>
      <c r="DH106" s="732">
        <f t="shared" si="29"/>
        <v>15</v>
      </c>
      <c r="DI106" s="732">
        <f t="shared" si="29"/>
        <v>172.8</v>
      </c>
      <c r="DJ106" s="732">
        <f t="shared" si="29"/>
        <v>2316</v>
      </c>
      <c r="DK106" s="732">
        <f t="shared" si="29"/>
        <v>1686</v>
      </c>
      <c r="DL106" s="732">
        <f t="shared" si="29"/>
        <v>309</v>
      </c>
      <c r="DM106" s="732">
        <f t="shared" si="29"/>
        <v>477</v>
      </c>
      <c r="DN106" s="732">
        <f t="shared" si="29"/>
        <v>558</v>
      </c>
      <c r="DO106" s="732">
        <f t="shared" si="29"/>
        <v>913</v>
      </c>
      <c r="DP106" s="732">
        <f t="shared" si="29"/>
        <v>432</v>
      </c>
      <c r="DQ106" s="730">
        <f t="shared" si="29"/>
        <v>0</v>
      </c>
      <c r="DR106" s="748">
        <f t="shared" si="29"/>
        <v>0</v>
      </c>
      <c r="DS106" s="730"/>
      <c r="DT106" s="730"/>
      <c r="DU106" s="730"/>
      <c r="DV106" s="741">
        <f t="shared" si="29"/>
        <v>0</v>
      </c>
      <c r="DW106" s="741">
        <f t="shared" si="27"/>
        <v>45031.180000000022</v>
      </c>
      <c r="DX106" s="749" t="s">
        <v>637</v>
      </c>
      <c r="DY106" s="659"/>
    </row>
    <row r="107" spans="1:129" ht="15.6" hidden="1" customHeight="1" outlineLevel="2">
      <c r="A107" s="706" t="str">
        <f>A99</f>
        <v>Склад ПроФреш на 12-00</v>
      </c>
      <c r="B107" s="792">
        <f t="shared" si="28"/>
        <v>0</v>
      </c>
      <c r="C107" s="792">
        <f t="shared" si="28"/>
        <v>0</v>
      </c>
      <c r="D107" s="792">
        <f t="shared" si="28"/>
        <v>0</v>
      </c>
      <c r="E107" s="792">
        <f t="shared" si="28"/>
        <v>0</v>
      </c>
      <c r="F107" s="792">
        <f t="shared" si="28"/>
        <v>0</v>
      </c>
      <c r="G107" s="792">
        <f t="shared" si="28"/>
        <v>0</v>
      </c>
      <c r="H107" s="792">
        <f t="shared" si="28"/>
        <v>0</v>
      </c>
      <c r="I107" s="792">
        <f t="shared" si="28"/>
        <v>0</v>
      </c>
      <c r="J107" s="792">
        <f t="shared" si="28"/>
        <v>0</v>
      </c>
      <c r="K107" s="792">
        <f t="shared" si="28"/>
        <v>0</v>
      </c>
      <c r="L107" s="792">
        <f t="shared" si="28"/>
        <v>0</v>
      </c>
      <c r="M107" s="792">
        <f t="shared" si="28"/>
        <v>0</v>
      </c>
      <c r="N107" s="792">
        <f t="shared" si="28"/>
        <v>0</v>
      </c>
      <c r="O107" s="792">
        <f t="shared" si="28"/>
        <v>0</v>
      </c>
      <c r="P107" s="1818">
        <f t="shared" si="28"/>
        <v>0</v>
      </c>
      <c r="Q107" s="714">
        <f t="shared" si="28"/>
        <v>0</v>
      </c>
      <c r="R107" s="714">
        <f t="shared" si="28"/>
        <v>0</v>
      </c>
      <c r="S107" s="714">
        <f t="shared" si="28"/>
        <v>0</v>
      </c>
      <c r="T107" s="792">
        <f t="shared" si="28"/>
        <v>0</v>
      </c>
      <c r="U107" s="792">
        <f t="shared" si="28"/>
        <v>0</v>
      </c>
      <c r="V107" s="792">
        <f t="shared" si="28"/>
        <v>0</v>
      </c>
      <c r="W107" s="792">
        <f t="shared" si="28"/>
        <v>0</v>
      </c>
      <c r="X107" s="792"/>
      <c r="Y107" s="792">
        <f t="shared" si="28"/>
        <v>0</v>
      </c>
      <c r="Z107" s="792">
        <f t="shared" si="28"/>
        <v>0</v>
      </c>
      <c r="AA107" s="792">
        <f t="shared" si="28"/>
        <v>0</v>
      </c>
      <c r="AB107" s="792">
        <f t="shared" si="28"/>
        <v>0</v>
      </c>
      <c r="AC107" s="792">
        <f t="shared" si="28"/>
        <v>0</v>
      </c>
      <c r="AD107" s="792">
        <f t="shared" si="28"/>
        <v>0</v>
      </c>
      <c r="AE107" s="792">
        <f t="shared" si="28"/>
        <v>0</v>
      </c>
      <c r="AF107" s="792">
        <f t="shared" si="28"/>
        <v>0</v>
      </c>
      <c r="AG107" s="792">
        <f t="shared" si="28"/>
        <v>0</v>
      </c>
      <c r="AH107" s="792">
        <f t="shared" si="28"/>
        <v>0</v>
      </c>
      <c r="AI107" s="792">
        <f t="shared" si="28"/>
        <v>0</v>
      </c>
      <c r="AJ107" s="792">
        <f t="shared" si="28"/>
        <v>0</v>
      </c>
      <c r="AK107" s="792">
        <f t="shared" si="28"/>
        <v>0</v>
      </c>
      <c r="AL107" s="792">
        <f t="shared" si="28"/>
        <v>0</v>
      </c>
      <c r="AM107" s="1818">
        <f t="shared" si="28"/>
        <v>0</v>
      </c>
      <c r="AN107" s="1818">
        <f t="shared" si="28"/>
        <v>0</v>
      </c>
      <c r="AO107" s="1818">
        <f t="shared" si="28"/>
        <v>0</v>
      </c>
      <c r="AP107" s="1818">
        <f t="shared" si="28"/>
        <v>0</v>
      </c>
      <c r="AQ107" s="792">
        <f t="shared" si="28"/>
        <v>0</v>
      </c>
      <c r="AR107" s="792">
        <f t="shared" si="28"/>
        <v>0</v>
      </c>
      <c r="AS107" s="792">
        <f t="shared" si="28"/>
        <v>0</v>
      </c>
      <c r="AT107" s="792">
        <f t="shared" si="28"/>
        <v>0</v>
      </c>
      <c r="AU107" s="792">
        <f t="shared" si="28"/>
        <v>0</v>
      </c>
      <c r="AV107" s="792">
        <f t="shared" si="28"/>
        <v>0</v>
      </c>
      <c r="AW107" s="792">
        <f t="shared" si="28"/>
        <v>0</v>
      </c>
      <c r="AX107" s="792">
        <f t="shared" si="28"/>
        <v>0</v>
      </c>
      <c r="AY107" s="792">
        <f t="shared" si="28"/>
        <v>0</v>
      </c>
      <c r="AZ107" s="792">
        <f t="shared" si="28"/>
        <v>0</v>
      </c>
      <c r="BA107" s="792">
        <f t="shared" si="28"/>
        <v>0</v>
      </c>
      <c r="BB107" s="792">
        <f t="shared" si="28"/>
        <v>0</v>
      </c>
      <c r="BC107" s="792">
        <f t="shared" si="28"/>
        <v>0</v>
      </c>
      <c r="BD107" s="792">
        <f t="shared" si="28"/>
        <v>0</v>
      </c>
      <c r="BE107" s="792">
        <f t="shared" si="28"/>
        <v>0</v>
      </c>
      <c r="BF107" s="792">
        <f t="shared" si="28"/>
        <v>0</v>
      </c>
      <c r="BG107" s="792">
        <f t="shared" si="28"/>
        <v>0</v>
      </c>
      <c r="BH107" s="792">
        <f t="shared" si="28"/>
        <v>0</v>
      </c>
      <c r="BI107" s="792">
        <f t="shared" si="28"/>
        <v>0</v>
      </c>
      <c r="BJ107" s="792">
        <f t="shared" si="28"/>
        <v>0</v>
      </c>
      <c r="BK107" s="792">
        <f t="shared" si="28"/>
        <v>0</v>
      </c>
      <c r="BL107" s="792">
        <f t="shared" si="28"/>
        <v>0</v>
      </c>
      <c r="BM107" s="792">
        <f t="shared" si="28"/>
        <v>0</v>
      </c>
      <c r="BN107" s="792">
        <f t="shared" si="29"/>
        <v>0</v>
      </c>
      <c r="BO107" s="792">
        <f t="shared" si="29"/>
        <v>0</v>
      </c>
      <c r="BP107" s="792">
        <f t="shared" si="29"/>
        <v>0</v>
      </c>
      <c r="BQ107" s="792">
        <f t="shared" si="29"/>
        <v>0</v>
      </c>
      <c r="BR107" s="792">
        <f t="shared" si="29"/>
        <v>0</v>
      </c>
      <c r="BS107" s="792">
        <f t="shared" si="29"/>
        <v>0</v>
      </c>
      <c r="BT107" s="792">
        <f t="shared" si="29"/>
        <v>0</v>
      </c>
      <c r="BU107" s="792">
        <f t="shared" si="29"/>
        <v>0</v>
      </c>
      <c r="BV107" s="792">
        <f t="shared" si="29"/>
        <v>0</v>
      </c>
      <c r="BW107" s="792">
        <f t="shared" si="29"/>
        <v>0</v>
      </c>
      <c r="BX107" s="792">
        <f t="shared" si="29"/>
        <v>0</v>
      </c>
      <c r="BY107" s="792">
        <f t="shared" si="29"/>
        <v>0</v>
      </c>
      <c r="BZ107" s="792">
        <f t="shared" si="29"/>
        <v>0</v>
      </c>
      <c r="CA107" s="792">
        <f t="shared" si="29"/>
        <v>0</v>
      </c>
      <c r="CB107" s="792">
        <f t="shared" si="29"/>
        <v>0</v>
      </c>
      <c r="CC107" s="792">
        <f t="shared" si="29"/>
        <v>0</v>
      </c>
      <c r="CD107" s="1818">
        <f t="shared" si="29"/>
        <v>0</v>
      </c>
      <c r="CE107" s="1818">
        <f t="shared" si="29"/>
        <v>0</v>
      </c>
      <c r="CF107" s="1818">
        <f t="shared" si="29"/>
        <v>0</v>
      </c>
      <c r="CG107" s="1818">
        <f t="shared" si="29"/>
        <v>0</v>
      </c>
      <c r="CH107" s="1818">
        <f t="shared" si="29"/>
        <v>0</v>
      </c>
      <c r="CI107" s="1818">
        <f t="shared" si="29"/>
        <v>0</v>
      </c>
      <c r="CJ107" s="1818">
        <f t="shared" si="29"/>
        <v>0</v>
      </c>
      <c r="CK107" s="792">
        <f t="shared" si="29"/>
        <v>0</v>
      </c>
      <c r="CL107" s="792">
        <f t="shared" si="29"/>
        <v>0</v>
      </c>
      <c r="CM107" s="792">
        <f t="shared" si="29"/>
        <v>0</v>
      </c>
      <c r="CN107" s="792">
        <f t="shared" si="29"/>
        <v>0</v>
      </c>
      <c r="CO107" s="792">
        <f t="shared" si="29"/>
        <v>0</v>
      </c>
      <c r="CP107" s="792">
        <f t="shared" si="29"/>
        <v>0</v>
      </c>
      <c r="CQ107" s="792">
        <f t="shared" si="29"/>
        <v>0</v>
      </c>
      <c r="CR107" s="792">
        <f t="shared" si="29"/>
        <v>0</v>
      </c>
      <c r="CS107" s="792">
        <f t="shared" si="29"/>
        <v>0</v>
      </c>
      <c r="CT107" s="792">
        <f t="shared" si="29"/>
        <v>0</v>
      </c>
      <c r="CU107" s="792">
        <f t="shared" si="29"/>
        <v>0</v>
      </c>
      <c r="CV107" s="792">
        <f t="shared" si="29"/>
        <v>0</v>
      </c>
      <c r="CW107" s="792">
        <f t="shared" si="29"/>
        <v>0</v>
      </c>
      <c r="CX107" s="792">
        <f t="shared" si="29"/>
        <v>0</v>
      </c>
      <c r="CY107" s="792">
        <f t="shared" si="29"/>
        <v>0</v>
      </c>
      <c r="CZ107" s="792">
        <f t="shared" si="29"/>
        <v>0</v>
      </c>
      <c r="DA107" s="792">
        <f t="shared" si="29"/>
        <v>0</v>
      </c>
      <c r="DB107" s="792">
        <f t="shared" si="29"/>
        <v>0</v>
      </c>
      <c r="DC107" s="792">
        <f t="shared" si="29"/>
        <v>0</v>
      </c>
      <c r="DD107" s="792">
        <f t="shared" si="29"/>
        <v>0</v>
      </c>
      <c r="DE107" s="792">
        <f t="shared" si="29"/>
        <v>0</v>
      </c>
      <c r="DF107" s="792">
        <f t="shared" si="29"/>
        <v>0</v>
      </c>
      <c r="DG107" s="792">
        <f t="shared" si="29"/>
        <v>0</v>
      </c>
      <c r="DH107" s="792">
        <f t="shared" si="29"/>
        <v>0</v>
      </c>
      <c r="DI107" s="792">
        <f t="shared" si="29"/>
        <v>0</v>
      </c>
      <c r="DJ107" s="792">
        <f t="shared" si="29"/>
        <v>1245</v>
      </c>
      <c r="DK107" s="792">
        <f t="shared" si="29"/>
        <v>984</v>
      </c>
      <c r="DL107" s="792">
        <f t="shared" si="29"/>
        <v>0</v>
      </c>
      <c r="DM107" s="792">
        <f t="shared" si="29"/>
        <v>0</v>
      </c>
      <c r="DN107" s="792">
        <f t="shared" si="29"/>
        <v>0</v>
      </c>
      <c r="DO107" s="792">
        <f t="shared" si="29"/>
        <v>0</v>
      </c>
      <c r="DP107" s="792">
        <f t="shared" si="29"/>
        <v>834</v>
      </c>
      <c r="DQ107" s="725">
        <f t="shared" si="29"/>
        <v>0</v>
      </c>
      <c r="DR107" s="726">
        <f t="shared" si="29"/>
        <v>0</v>
      </c>
      <c r="DS107" s="725"/>
      <c r="DT107" s="725"/>
      <c r="DU107" s="725"/>
      <c r="DV107" s="727">
        <f t="shared" si="29"/>
        <v>0</v>
      </c>
      <c r="DW107" s="727">
        <f t="shared" si="27"/>
        <v>3063</v>
      </c>
      <c r="DX107" s="728" t="s">
        <v>638</v>
      </c>
      <c r="DY107" s="659"/>
    </row>
    <row r="108" spans="1:129" ht="15.6" hidden="1" customHeight="1" outlineLevel="2">
      <c r="A108" s="729">
        <f>A100</f>
        <v>0</v>
      </c>
      <c r="B108" s="732">
        <f t="shared" si="28"/>
        <v>0</v>
      </c>
      <c r="C108" s="732">
        <f t="shared" si="28"/>
        <v>0</v>
      </c>
      <c r="D108" s="732">
        <f t="shared" si="28"/>
        <v>0</v>
      </c>
      <c r="E108" s="732">
        <f t="shared" si="28"/>
        <v>0</v>
      </c>
      <c r="F108" s="732">
        <f t="shared" si="28"/>
        <v>0</v>
      </c>
      <c r="G108" s="732">
        <f t="shared" si="28"/>
        <v>0</v>
      </c>
      <c r="H108" s="732">
        <f t="shared" si="28"/>
        <v>0</v>
      </c>
      <c r="I108" s="732">
        <f t="shared" si="28"/>
        <v>0</v>
      </c>
      <c r="J108" s="732">
        <f t="shared" si="28"/>
        <v>0</v>
      </c>
      <c r="K108" s="732">
        <f t="shared" si="28"/>
        <v>0</v>
      </c>
      <c r="L108" s="732">
        <f t="shared" si="28"/>
        <v>0</v>
      </c>
      <c r="M108" s="732">
        <f t="shared" si="28"/>
        <v>0</v>
      </c>
      <c r="N108" s="732">
        <f t="shared" si="28"/>
        <v>0</v>
      </c>
      <c r="O108" s="732">
        <f t="shared" si="28"/>
        <v>0</v>
      </c>
      <c r="P108" s="1817">
        <f t="shared" si="28"/>
        <v>0</v>
      </c>
      <c r="Q108" s="801">
        <f t="shared" si="28"/>
        <v>0</v>
      </c>
      <c r="R108" s="801">
        <f t="shared" si="28"/>
        <v>0</v>
      </c>
      <c r="S108" s="801">
        <f t="shared" si="28"/>
        <v>0</v>
      </c>
      <c r="T108" s="732">
        <f t="shared" si="28"/>
        <v>0</v>
      </c>
      <c r="U108" s="732">
        <f t="shared" si="28"/>
        <v>0</v>
      </c>
      <c r="V108" s="732">
        <f t="shared" si="28"/>
        <v>0</v>
      </c>
      <c r="W108" s="732">
        <f t="shared" si="28"/>
        <v>0</v>
      </c>
      <c r="X108" s="732"/>
      <c r="Y108" s="732">
        <f t="shared" si="28"/>
        <v>0</v>
      </c>
      <c r="Z108" s="732">
        <f t="shared" si="28"/>
        <v>0</v>
      </c>
      <c r="AA108" s="732">
        <f t="shared" si="28"/>
        <v>0</v>
      </c>
      <c r="AB108" s="732">
        <f t="shared" si="28"/>
        <v>0</v>
      </c>
      <c r="AC108" s="732">
        <f t="shared" si="28"/>
        <v>0</v>
      </c>
      <c r="AD108" s="732">
        <f t="shared" si="28"/>
        <v>0</v>
      </c>
      <c r="AE108" s="732">
        <f t="shared" si="28"/>
        <v>0</v>
      </c>
      <c r="AF108" s="732">
        <f t="shared" si="28"/>
        <v>0</v>
      </c>
      <c r="AG108" s="732">
        <f t="shared" si="28"/>
        <v>0</v>
      </c>
      <c r="AH108" s="732">
        <f t="shared" si="28"/>
        <v>0</v>
      </c>
      <c r="AI108" s="732">
        <f t="shared" si="28"/>
        <v>0</v>
      </c>
      <c r="AJ108" s="732">
        <f t="shared" si="28"/>
        <v>0</v>
      </c>
      <c r="AK108" s="732">
        <f t="shared" si="28"/>
        <v>0</v>
      </c>
      <c r="AL108" s="732">
        <f t="shared" si="28"/>
        <v>0</v>
      </c>
      <c r="AM108" s="1817">
        <f t="shared" si="28"/>
        <v>0</v>
      </c>
      <c r="AN108" s="1817">
        <f t="shared" si="28"/>
        <v>0</v>
      </c>
      <c r="AO108" s="1817">
        <f t="shared" si="28"/>
        <v>0</v>
      </c>
      <c r="AP108" s="1817">
        <f t="shared" si="28"/>
        <v>0</v>
      </c>
      <c r="AQ108" s="732">
        <f t="shared" si="28"/>
        <v>0</v>
      </c>
      <c r="AR108" s="732">
        <f t="shared" si="28"/>
        <v>0</v>
      </c>
      <c r="AS108" s="732">
        <f t="shared" si="28"/>
        <v>0</v>
      </c>
      <c r="AT108" s="732">
        <f t="shared" si="28"/>
        <v>0</v>
      </c>
      <c r="AU108" s="732">
        <f t="shared" si="28"/>
        <v>0</v>
      </c>
      <c r="AV108" s="732">
        <f t="shared" si="28"/>
        <v>0</v>
      </c>
      <c r="AW108" s="732">
        <f t="shared" si="28"/>
        <v>0</v>
      </c>
      <c r="AX108" s="732">
        <f t="shared" si="28"/>
        <v>0</v>
      </c>
      <c r="AY108" s="732">
        <f t="shared" si="28"/>
        <v>0</v>
      </c>
      <c r="AZ108" s="732">
        <f t="shared" si="28"/>
        <v>0</v>
      </c>
      <c r="BA108" s="732">
        <f t="shared" si="28"/>
        <v>0</v>
      </c>
      <c r="BB108" s="732">
        <f t="shared" si="28"/>
        <v>0</v>
      </c>
      <c r="BC108" s="732">
        <f t="shared" si="28"/>
        <v>0</v>
      </c>
      <c r="BD108" s="732">
        <f t="shared" si="28"/>
        <v>0</v>
      </c>
      <c r="BE108" s="732">
        <f t="shared" si="28"/>
        <v>0</v>
      </c>
      <c r="BF108" s="732">
        <f t="shared" si="28"/>
        <v>0</v>
      </c>
      <c r="BG108" s="732">
        <f t="shared" si="28"/>
        <v>0</v>
      </c>
      <c r="BH108" s="732">
        <f t="shared" si="28"/>
        <v>0</v>
      </c>
      <c r="BI108" s="732">
        <f t="shared" si="28"/>
        <v>0</v>
      </c>
      <c r="BJ108" s="732">
        <f t="shared" si="28"/>
        <v>0</v>
      </c>
      <c r="BK108" s="732">
        <f t="shared" si="28"/>
        <v>0</v>
      </c>
      <c r="BL108" s="732">
        <f t="shared" si="28"/>
        <v>0</v>
      </c>
      <c r="BM108" s="732">
        <f t="shared" si="28"/>
        <v>0</v>
      </c>
      <c r="BN108" s="732">
        <f t="shared" si="29"/>
        <v>0</v>
      </c>
      <c r="BO108" s="732">
        <f t="shared" si="29"/>
        <v>0</v>
      </c>
      <c r="BP108" s="732">
        <f t="shared" si="29"/>
        <v>0</v>
      </c>
      <c r="BQ108" s="732">
        <f t="shared" si="29"/>
        <v>0</v>
      </c>
      <c r="BR108" s="732">
        <f t="shared" si="29"/>
        <v>0</v>
      </c>
      <c r="BS108" s="732">
        <f t="shared" si="29"/>
        <v>0</v>
      </c>
      <c r="BT108" s="732">
        <f t="shared" si="29"/>
        <v>0</v>
      </c>
      <c r="BU108" s="732">
        <f t="shared" si="29"/>
        <v>0</v>
      </c>
      <c r="BV108" s="732">
        <f t="shared" si="29"/>
        <v>0</v>
      </c>
      <c r="BW108" s="732">
        <f t="shared" si="29"/>
        <v>0</v>
      </c>
      <c r="BX108" s="732">
        <f t="shared" si="29"/>
        <v>0</v>
      </c>
      <c r="BY108" s="732">
        <f t="shared" si="29"/>
        <v>0</v>
      </c>
      <c r="BZ108" s="732">
        <f t="shared" si="29"/>
        <v>0</v>
      </c>
      <c r="CA108" s="732">
        <f t="shared" si="29"/>
        <v>0</v>
      </c>
      <c r="CB108" s="732">
        <f t="shared" si="29"/>
        <v>0</v>
      </c>
      <c r="CC108" s="732">
        <f t="shared" si="29"/>
        <v>0</v>
      </c>
      <c r="CD108" s="1817">
        <f t="shared" si="29"/>
        <v>0</v>
      </c>
      <c r="CE108" s="1817">
        <f t="shared" si="29"/>
        <v>0</v>
      </c>
      <c r="CF108" s="1817">
        <f t="shared" si="29"/>
        <v>0</v>
      </c>
      <c r="CG108" s="1817">
        <f t="shared" si="29"/>
        <v>0</v>
      </c>
      <c r="CH108" s="1817">
        <f t="shared" si="29"/>
        <v>0</v>
      </c>
      <c r="CI108" s="1817">
        <f t="shared" si="29"/>
        <v>0</v>
      </c>
      <c r="CJ108" s="1817">
        <f t="shared" si="29"/>
        <v>0</v>
      </c>
      <c r="CK108" s="732">
        <f t="shared" si="29"/>
        <v>0</v>
      </c>
      <c r="CL108" s="732">
        <f t="shared" si="29"/>
        <v>0</v>
      </c>
      <c r="CM108" s="732">
        <f t="shared" si="29"/>
        <v>0</v>
      </c>
      <c r="CN108" s="732">
        <f t="shared" si="29"/>
        <v>0</v>
      </c>
      <c r="CO108" s="732">
        <f t="shared" si="29"/>
        <v>0</v>
      </c>
      <c r="CP108" s="732">
        <f t="shared" si="29"/>
        <v>0</v>
      </c>
      <c r="CQ108" s="732">
        <f t="shared" si="29"/>
        <v>0</v>
      </c>
      <c r="CR108" s="732">
        <f t="shared" si="29"/>
        <v>0</v>
      </c>
      <c r="CS108" s="732">
        <f t="shared" si="29"/>
        <v>0</v>
      </c>
      <c r="CT108" s="732">
        <f t="shared" si="29"/>
        <v>0</v>
      </c>
      <c r="CU108" s="732">
        <f t="shared" si="29"/>
        <v>0</v>
      </c>
      <c r="CV108" s="732">
        <f t="shared" si="29"/>
        <v>0</v>
      </c>
      <c r="CW108" s="732">
        <f t="shared" si="29"/>
        <v>0</v>
      </c>
      <c r="CX108" s="732">
        <f t="shared" si="29"/>
        <v>0</v>
      </c>
      <c r="CY108" s="732">
        <f t="shared" si="29"/>
        <v>0</v>
      </c>
      <c r="CZ108" s="732">
        <f t="shared" si="29"/>
        <v>0</v>
      </c>
      <c r="DA108" s="732">
        <f t="shared" si="29"/>
        <v>0</v>
      </c>
      <c r="DB108" s="732">
        <f t="shared" si="29"/>
        <v>0</v>
      </c>
      <c r="DC108" s="732">
        <f t="shared" si="29"/>
        <v>0</v>
      </c>
      <c r="DD108" s="732">
        <f t="shared" si="29"/>
        <v>0</v>
      </c>
      <c r="DE108" s="732">
        <f t="shared" si="29"/>
        <v>0</v>
      </c>
      <c r="DF108" s="732">
        <f t="shared" si="29"/>
        <v>0</v>
      </c>
      <c r="DG108" s="732">
        <f t="shared" si="29"/>
        <v>0</v>
      </c>
      <c r="DH108" s="732">
        <f t="shared" si="29"/>
        <v>0</v>
      </c>
      <c r="DI108" s="732">
        <f t="shared" si="29"/>
        <v>0</v>
      </c>
      <c r="DJ108" s="732">
        <f t="shared" si="29"/>
        <v>0</v>
      </c>
      <c r="DK108" s="732">
        <f t="shared" si="29"/>
        <v>0</v>
      </c>
      <c r="DL108" s="732">
        <f t="shared" si="29"/>
        <v>0</v>
      </c>
      <c r="DM108" s="732">
        <f t="shared" si="29"/>
        <v>0</v>
      </c>
      <c r="DN108" s="732">
        <f t="shared" si="29"/>
        <v>0</v>
      </c>
      <c r="DO108" s="732">
        <f t="shared" si="29"/>
        <v>0</v>
      </c>
      <c r="DP108" s="732">
        <f t="shared" si="29"/>
        <v>0</v>
      </c>
      <c r="DQ108" s="730">
        <f t="shared" si="29"/>
        <v>0</v>
      </c>
      <c r="DR108" s="748">
        <f t="shared" si="29"/>
        <v>0</v>
      </c>
      <c r="DS108" s="730"/>
      <c r="DT108" s="730"/>
      <c r="DU108" s="730"/>
      <c r="DV108" s="741">
        <f t="shared" si="29"/>
        <v>0</v>
      </c>
      <c r="DW108" s="741">
        <f t="shared" si="27"/>
        <v>0</v>
      </c>
      <c r="DX108" s="749">
        <v>0</v>
      </c>
      <c r="DY108" s="659"/>
    </row>
    <row r="109" spans="1:129" ht="15.6" hidden="1" customHeight="1" outlineLevel="2">
      <c r="A109" s="706">
        <f>A101</f>
        <v>0</v>
      </c>
      <c r="B109" s="792">
        <f t="shared" si="28"/>
        <v>0</v>
      </c>
      <c r="C109" s="792">
        <f t="shared" si="28"/>
        <v>0</v>
      </c>
      <c r="D109" s="792">
        <f t="shared" si="28"/>
        <v>0</v>
      </c>
      <c r="E109" s="792">
        <f t="shared" si="28"/>
        <v>0</v>
      </c>
      <c r="F109" s="792">
        <f t="shared" si="28"/>
        <v>0</v>
      </c>
      <c r="G109" s="792">
        <f t="shared" si="28"/>
        <v>0</v>
      </c>
      <c r="H109" s="792">
        <f t="shared" si="28"/>
        <v>0</v>
      </c>
      <c r="I109" s="792">
        <f t="shared" si="28"/>
        <v>0</v>
      </c>
      <c r="J109" s="792">
        <f t="shared" si="28"/>
        <v>0</v>
      </c>
      <c r="K109" s="792">
        <f t="shared" si="28"/>
        <v>0</v>
      </c>
      <c r="L109" s="792">
        <f t="shared" si="28"/>
        <v>0</v>
      </c>
      <c r="M109" s="792">
        <f t="shared" si="28"/>
        <v>0</v>
      </c>
      <c r="N109" s="792">
        <f t="shared" si="28"/>
        <v>0</v>
      </c>
      <c r="O109" s="792">
        <f t="shared" si="28"/>
        <v>0</v>
      </c>
      <c r="P109" s="1818">
        <f t="shared" si="28"/>
        <v>0</v>
      </c>
      <c r="Q109" s="714">
        <f t="shared" si="28"/>
        <v>0</v>
      </c>
      <c r="R109" s="714">
        <f t="shared" si="28"/>
        <v>0</v>
      </c>
      <c r="S109" s="714">
        <f t="shared" si="28"/>
        <v>0</v>
      </c>
      <c r="T109" s="792">
        <f t="shared" si="28"/>
        <v>0</v>
      </c>
      <c r="U109" s="792">
        <f t="shared" si="28"/>
        <v>0</v>
      </c>
      <c r="V109" s="792">
        <f t="shared" si="28"/>
        <v>0</v>
      </c>
      <c r="W109" s="792">
        <f t="shared" si="28"/>
        <v>0</v>
      </c>
      <c r="X109" s="792"/>
      <c r="Y109" s="792">
        <f t="shared" si="28"/>
        <v>0</v>
      </c>
      <c r="Z109" s="792">
        <f t="shared" si="28"/>
        <v>0</v>
      </c>
      <c r="AA109" s="792">
        <f t="shared" si="28"/>
        <v>0</v>
      </c>
      <c r="AB109" s="792">
        <f t="shared" si="28"/>
        <v>0</v>
      </c>
      <c r="AC109" s="792">
        <f t="shared" si="28"/>
        <v>0</v>
      </c>
      <c r="AD109" s="792">
        <f t="shared" si="28"/>
        <v>0</v>
      </c>
      <c r="AE109" s="792">
        <f t="shared" si="28"/>
        <v>0</v>
      </c>
      <c r="AF109" s="792">
        <f t="shared" si="28"/>
        <v>0</v>
      </c>
      <c r="AG109" s="792">
        <f t="shared" si="28"/>
        <v>0</v>
      </c>
      <c r="AH109" s="792">
        <f t="shared" si="28"/>
        <v>0</v>
      </c>
      <c r="AI109" s="792">
        <f t="shared" si="28"/>
        <v>0</v>
      </c>
      <c r="AJ109" s="792">
        <f t="shared" si="28"/>
        <v>0</v>
      </c>
      <c r="AK109" s="792">
        <f t="shared" si="28"/>
        <v>0</v>
      </c>
      <c r="AL109" s="792">
        <f t="shared" si="28"/>
        <v>0</v>
      </c>
      <c r="AM109" s="1818">
        <f t="shared" si="28"/>
        <v>0</v>
      </c>
      <c r="AN109" s="1818">
        <f t="shared" si="28"/>
        <v>0</v>
      </c>
      <c r="AO109" s="1818">
        <f t="shared" si="28"/>
        <v>0</v>
      </c>
      <c r="AP109" s="1818">
        <f t="shared" si="28"/>
        <v>0</v>
      </c>
      <c r="AQ109" s="792">
        <f t="shared" si="28"/>
        <v>0</v>
      </c>
      <c r="AR109" s="792">
        <f t="shared" si="28"/>
        <v>0</v>
      </c>
      <c r="AS109" s="792">
        <f t="shared" si="28"/>
        <v>0</v>
      </c>
      <c r="AT109" s="792">
        <f t="shared" si="28"/>
        <v>0</v>
      </c>
      <c r="AU109" s="792">
        <f t="shared" si="28"/>
        <v>0</v>
      </c>
      <c r="AV109" s="792">
        <f t="shared" si="28"/>
        <v>0</v>
      </c>
      <c r="AW109" s="792">
        <f t="shared" si="28"/>
        <v>0</v>
      </c>
      <c r="AX109" s="792">
        <f t="shared" si="28"/>
        <v>0</v>
      </c>
      <c r="AY109" s="792">
        <f t="shared" si="28"/>
        <v>0</v>
      </c>
      <c r="AZ109" s="792">
        <f t="shared" si="28"/>
        <v>0</v>
      </c>
      <c r="BA109" s="792">
        <f t="shared" si="28"/>
        <v>0</v>
      </c>
      <c r="BB109" s="792">
        <f t="shared" si="28"/>
        <v>0</v>
      </c>
      <c r="BC109" s="792">
        <f t="shared" si="28"/>
        <v>0</v>
      </c>
      <c r="BD109" s="792">
        <f t="shared" si="28"/>
        <v>0</v>
      </c>
      <c r="BE109" s="792">
        <f t="shared" si="28"/>
        <v>0</v>
      </c>
      <c r="BF109" s="792">
        <f t="shared" si="28"/>
        <v>0</v>
      </c>
      <c r="BG109" s="792">
        <f t="shared" si="28"/>
        <v>0</v>
      </c>
      <c r="BH109" s="792">
        <f t="shared" si="28"/>
        <v>0</v>
      </c>
      <c r="BI109" s="792">
        <f t="shared" si="28"/>
        <v>0</v>
      </c>
      <c r="BJ109" s="792">
        <f t="shared" si="28"/>
        <v>0</v>
      </c>
      <c r="BK109" s="792">
        <f t="shared" si="28"/>
        <v>0</v>
      </c>
      <c r="BL109" s="792">
        <f t="shared" si="28"/>
        <v>0</v>
      </c>
      <c r="BM109" s="792">
        <f t="shared" si="28"/>
        <v>0</v>
      </c>
      <c r="BN109" s="792">
        <f t="shared" si="29"/>
        <v>0</v>
      </c>
      <c r="BO109" s="792">
        <f t="shared" si="29"/>
        <v>0</v>
      </c>
      <c r="BP109" s="792">
        <f t="shared" si="29"/>
        <v>0</v>
      </c>
      <c r="BQ109" s="792">
        <f t="shared" si="29"/>
        <v>0</v>
      </c>
      <c r="BR109" s="792">
        <f t="shared" si="29"/>
        <v>0</v>
      </c>
      <c r="BS109" s="792">
        <f t="shared" si="29"/>
        <v>0</v>
      </c>
      <c r="BT109" s="792">
        <f t="shared" si="29"/>
        <v>0</v>
      </c>
      <c r="BU109" s="792">
        <f t="shared" si="29"/>
        <v>0</v>
      </c>
      <c r="BV109" s="792">
        <f t="shared" si="29"/>
        <v>0</v>
      </c>
      <c r="BW109" s="792">
        <f t="shared" si="29"/>
        <v>0</v>
      </c>
      <c r="BX109" s="792">
        <f t="shared" si="29"/>
        <v>0</v>
      </c>
      <c r="BY109" s="792">
        <f t="shared" si="29"/>
        <v>0</v>
      </c>
      <c r="BZ109" s="792">
        <f t="shared" si="29"/>
        <v>0</v>
      </c>
      <c r="CA109" s="792">
        <f t="shared" si="29"/>
        <v>0</v>
      </c>
      <c r="CB109" s="792">
        <f t="shared" si="29"/>
        <v>0</v>
      </c>
      <c r="CC109" s="792">
        <f t="shared" si="29"/>
        <v>0</v>
      </c>
      <c r="CD109" s="1818">
        <f t="shared" si="29"/>
        <v>0</v>
      </c>
      <c r="CE109" s="1818">
        <f t="shared" si="29"/>
        <v>0</v>
      </c>
      <c r="CF109" s="1818">
        <f t="shared" si="29"/>
        <v>0</v>
      </c>
      <c r="CG109" s="1818">
        <f t="shared" si="29"/>
        <v>0</v>
      </c>
      <c r="CH109" s="1818">
        <f t="shared" si="29"/>
        <v>0</v>
      </c>
      <c r="CI109" s="1818">
        <f t="shared" si="29"/>
        <v>0</v>
      </c>
      <c r="CJ109" s="1818">
        <f t="shared" si="29"/>
        <v>0</v>
      </c>
      <c r="CK109" s="792">
        <f t="shared" si="29"/>
        <v>0</v>
      </c>
      <c r="CL109" s="792">
        <f t="shared" si="29"/>
        <v>0</v>
      </c>
      <c r="CM109" s="792">
        <f t="shared" si="29"/>
        <v>0</v>
      </c>
      <c r="CN109" s="792">
        <f t="shared" si="29"/>
        <v>0</v>
      </c>
      <c r="CO109" s="792">
        <f t="shared" si="29"/>
        <v>0</v>
      </c>
      <c r="CP109" s="792">
        <f t="shared" si="29"/>
        <v>0</v>
      </c>
      <c r="CQ109" s="792">
        <f t="shared" si="29"/>
        <v>0</v>
      </c>
      <c r="CR109" s="792">
        <f t="shared" si="29"/>
        <v>0</v>
      </c>
      <c r="CS109" s="792">
        <f t="shared" si="29"/>
        <v>0</v>
      </c>
      <c r="CT109" s="792">
        <f t="shared" si="29"/>
        <v>0</v>
      </c>
      <c r="CU109" s="792">
        <f t="shared" si="29"/>
        <v>0</v>
      </c>
      <c r="CV109" s="792">
        <f t="shared" si="29"/>
        <v>0</v>
      </c>
      <c r="CW109" s="792">
        <f t="shared" si="29"/>
        <v>0</v>
      </c>
      <c r="CX109" s="792">
        <f t="shared" si="29"/>
        <v>0</v>
      </c>
      <c r="CY109" s="792">
        <f t="shared" si="29"/>
        <v>0</v>
      </c>
      <c r="CZ109" s="792">
        <f t="shared" si="29"/>
        <v>0</v>
      </c>
      <c r="DA109" s="792">
        <f t="shared" si="29"/>
        <v>0</v>
      </c>
      <c r="DB109" s="792">
        <f t="shared" si="29"/>
        <v>0</v>
      </c>
      <c r="DC109" s="792">
        <f t="shared" si="29"/>
        <v>0</v>
      </c>
      <c r="DD109" s="792">
        <f t="shared" si="29"/>
        <v>0</v>
      </c>
      <c r="DE109" s="792">
        <f t="shared" si="29"/>
        <v>0</v>
      </c>
      <c r="DF109" s="792">
        <f t="shared" si="29"/>
        <v>0</v>
      </c>
      <c r="DG109" s="792">
        <f t="shared" si="29"/>
        <v>0</v>
      </c>
      <c r="DH109" s="792">
        <f t="shared" si="29"/>
        <v>0</v>
      </c>
      <c r="DI109" s="792">
        <f t="shared" si="29"/>
        <v>0</v>
      </c>
      <c r="DJ109" s="792">
        <f t="shared" si="29"/>
        <v>0</v>
      </c>
      <c r="DK109" s="792">
        <f t="shared" si="29"/>
        <v>0</v>
      </c>
      <c r="DL109" s="792">
        <f t="shared" si="29"/>
        <v>0</v>
      </c>
      <c r="DM109" s="792">
        <f t="shared" si="29"/>
        <v>0</v>
      </c>
      <c r="DN109" s="792">
        <f t="shared" si="29"/>
        <v>0</v>
      </c>
      <c r="DO109" s="792">
        <f t="shared" si="29"/>
        <v>0</v>
      </c>
      <c r="DP109" s="792">
        <f t="shared" si="29"/>
        <v>0</v>
      </c>
      <c r="DQ109" s="725">
        <f t="shared" si="29"/>
        <v>0</v>
      </c>
      <c r="DR109" s="726">
        <f t="shared" si="29"/>
        <v>0</v>
      </c>
      <c r="DS109" s="725"/>
      <c r="DT109" s="725"/>
      <c r="DU109" s="725"/>
      <c r="DV109" s="727">
        <f t="shared" si="29"/>
        <v>0</v>
      </c>
      <c r="DW109" s="727">
        <f t="shared" si="27"/>
        <v>0</v>
      </c>
      <c r="DX109" s="728">
        <v>0</v>
      </c>
      <c r="DY109" s="659"/>
    </row>
    <row r="110" spans="1:129" ht="29.1" hidden="1" customHeight="1" outlineLevel="2">
      <c r="A110" s="729" t="str">
        <f>A86</f>
        <v xml:space="preserve">Складе ИП Антошина (Брянск) на 18-00 </v>
      </c>
      <c r="B110" s="732">
        <f t="shared" si="28"/>
        <v>0</v>
      </c>
      <c r="C110" s="732">
        <f t="shared" si="28"/>
        <v>0</v>
      </c>
      <c r="D110" s="732">
        <f t="shared" si="28"/>
        <v>0</v>
      </c>
      <c r="E110" s="732">
        <f t="shared" ref="E110:BN111" si="30">E86+E94+E102</f>
        <v>0</v>
      </c>
      <c r="F110" s="732">
        <f t="shared" si="30"/>
        <v>0</v>
      </c>
      <c r="G110" s="732">
        <f t="shared" si="30"/>
        <v>0</v>
      </c>
      <c r="H110" s="732">
        <f t="shared" si="30"/>
        <v>0</v>
      </c>
      <c r="I110" s="732">
        <f t="shared" si="30"/>
        <v>0</v>
      </c>
      <c r="J110" s="732">
        <f t="shared" si="30"/>
        <v>0</v>
      </c>
      <c r="K110" s="732">
        <f t="shared" si="30"/>
        <v>0</v>
      </c>
      <c r="L110" s="732">
        <f t="shared" si="30"/>
        <v>0</v>
      </c>
      <c r="M110" s="732">
        <f t="shared" si="30"/>
        <v>0</v>
      </c>
      <c r="N110" s="732">
        <f t="shared" si="30"/>
        <v>0</v>
      </c>
      <c r="O110" s="732">
        <f t="shared" si="30"/>
        <v>0</v>
      </c>
      <c r="P110" s="1817">
        <f t="shared" si="30"/>
        <v>0</v>
      </c>
      <c r="Q110" s="801">
        <f t="shared" si="30"/>
        <v>0</v>
      </c>
      <c r="R110" s="801">
        <f t="shared" si="30"/>
        <v>0</v>
      </c>
      <c r="S110" s="801">
        <f t="shared" si="30"/>
        <v>0</v>
      </c>
      <c r="T110" s="732">
        <f t="shared" si="30"/>
        <v>0</v>
      </c>
      <c r="U110" s="732">
        <f t="shared" si="30"/>
        <v>0</v>
      </c>
      <c r="V110" s="732">
        <f t="shared" si="30"/>
        <v>0</v>
      </c>
      <c r="W110" s="732">
        <f t="shared" si="30"/>
        <v>0</v>
      </c>
      <c r="X110" s="732"/>
      <c r="Y110" s="732">
        <f t="shared" si="30"/>
        <v>0</v>
      </c>
      <c r="Z110" s="732">
        <f t="shared" si="30"/>
        <v>0</v>
      </c>
      <c r="AA110" s="732">
        <f t="shared" si="30"/>
        <v>0</v>
      </c>
      <c r="AB110" s="732">
        <f t="shared" si="30"/>
        <v>0</v>
      </c>
      <c r="AC110" s="732">
        <f t="shared" si="30"/>
        <v>0</v>
      </c>
      <c r="AD110" s="732">
        <f t="shared" si="30"/>
        <v>0</v>
      </c>
      <c r="AE110" s="732">
        <f t="shared" si="30"/>
        <v>0</v>
      </c>
      <c r="AF110" s="732">
        <f t="shared" si="30"/>
        <v>0</v>
      </c>
      <c r="AG110" s="732">
        <f t="shared" si="30"/>
        <v>0</v>
      </c>
      <c r="AH110" s="732">
        <f t="shared" si="30"/>
        <v>0</v>
      </c>
      <c r="AI110" s="732">
        <f t="shared" si="30"/>
        <v>0</v>
      </c>
      <c r="AJ110" s="732">
        <f t="shared" si="30"/>
        <v>0</v>
      </c>
      <c r="AK110" s="732">
        <f t="shared" si="30"/>
        <v>0</v>
      </c>
      <c r="AL110" s="732">
        <f t="shared" si="30"/>
        <v>0</v>
      </c>
      <c r="AM110" s="1817">
        <f t="shared" si="30"/>
        <v>0</v>
      </c>
      <c r="AN110" s="1817">
        <f t="shared" si="30"/>
        <v>0</v>
      </c>
      <c r="AO110" s="1817">
        <f t="shared" si="30"/>
        <v>0</v>
      </c>
      <c r="AP110" s="1817">
        <f t="shared" si="30"/>
        <v>0</v>
      </c>
      <c r="AQ110" s="732">
        <f t="shared" si="30"/>
        <v>0</v>
      </c>
      <c r="AR110" s="732">
        <f t="shared" si="30"/>
        <v>0</v>
      </c>
      <c r="AS110" s="732">
        <f t="shared" si="30"/>
        <v>0</v>
      </c>
      <c r="AT110" s="732">
        <f t="shared" si="30"/>
        <v>0</v>
      </c>
      <c r="AU110" s="732">
        <f t="shared" si="30"/>
        <v>0</v>
      </c>
      <c r="AV110" s="732">
        <f t="shared" si="30"/>
        <v>0</v>
      </c>
      <c r="AW110" s="732">
        <f t="shared" si="30"/>
        <v>0</v>
      </c>
      <c r="AX110" s="732">
        <f t="shared" si="30"/>
        <v>0</v>
      </c>
      <c r="AY110" s="732">
        <f t="shared" si="30"/>
        <v>0</v>
      </c>
      <c r="AZ110" s="732">
        <f t="shared" si="30"/>
        <v>0</v>
      </c>
      <c r="BA110" s="732">
        <f t="shared" si="30"/>
        <v>0</v>
      </c>
      <c r="BB110" s="732">
        <f t="shared" si="30"/>
        <v>0</v>
      </c>
      <c r="BC110" s="732">
        <f t="shared" si="30"/>
        <v>0</v>
      </c>
      <c r="BD110" s="732">
        <f t="shared" si="30"/>
        <v>0</v>
      </c>
      <c r="BE110" s="732">
        <f t="shared" si="30"/>
        <v>0</v>
      </c>
      <c r="BF110" s="732">
        <f t="shared" si="30"/>
        <v>0</v>
      </c>
      <c r="BG110" s="732">
        <f t="shared" si="30"/>
        <v>0</v>
      </c>
      <c r="BH110" s="732">
        <f t="shared" si="30"/>
        <v>0</v>
      </c>
      <c r="BI110" s="732">
        <f t="shared" si="30"/>
        <v>0</v>
      </c>
      <c r="BJ110" s="732">
        <f t="shared" si="30"/>
        <v>0</v>
      </c>
      <c r="BK110" s="732">
        <f t="shared" si="30"/>
        <v>0</v>
      </c>
      <c r="BL110" s="732">
        <f t="shared" si="30"/>
        <v>0</v>
      </c>
      <c r="BM110" s="732">
        <f t="shared" si="30"/>
        <v>0</v>
      </c>
      <c r="BN110" s="732">
        <f t="shared" si="30"/>
        <v>0</v>
      </c>
      <c r="BO110" s="732">
        <f t="shared" si="29"/>
        <v>0</v>
      </c>
      <c r="BP110" s="732">
        <f t="shared" si="29"/>
        <v>0</v>
      </c>
      <c r="BQ110" s="732">
        <f t="shared" si="29"/>
        <v>0</v>
      </c>
      <c r="BR110" s="732">
        <f t="shared" si="29"/>
        <v>0</v>
      </c>
      <c r="BS110" s="732">
        <f t="shared" si="29"/>
        <v>0</v>
      </c>
      <c r="BT110" s="732">
        <f t="shared" si="29"/>
        <v>0</v>
      </c>
      <c r="BU110" s="732">
        <f t="shared" si="29"/>
        <v>0</v>
      </c>
      <c r="BV110" s="732">
        <f t="shared" si="29"/>
        <v>0</v>
      </c>
      <c r="BW110" s="732">
        <f t="shared" si="29"/>
        <v>0</v>
      </c>
      <c r="BX110" s="732">
        <f t="shared" si="29"/>
        <v>0</v>
      </c>
      <c r="BY110" s="732">
        <f t="shared" si="29"/>
        <v>0</v>
      </c>
      <c r="BZ110" s="732">
        <f t="shared" si="29"/>
        <v>0</v>
      </c>
      <c r="CA110" s="732">
        <f t="shared" si="29"/>
        <v>0</v>
      </c>
      <c r="CB110" s="732">
        <f t="shared" si="29"/>
        <v>0</v>
      </c>
      <c r="CC110" s="732">
        <f t="shared" si="29"/>
        <v>0</v>
      </c>
      <c r="CD110" s="1817">
        <f t="shared" si="29"/>
        <v>0</v>
      </c>
      <c r="CE110" s="1817">
        <f t="shared" si="29"/>
        <v>0</v>
      </c>
      <c r="CF110" s="1817">
        <f t="shared" si="29"/>
        <v>0</v>
      </c>
      <c r="CG110" s="1817">
        <f t="shared" si="29"/>
        <v>0</v>
      </c>
      <c r="CH110" s="1817">
        <f t="shared" si="29"/>
        <v>0</v>
      </c>
      <c r="CI110" s="1817">
        <f t="shared" si="29"/>
        <v>0</v>
      </c>
      <c r="CJ110" s="1817">
        <f t="shared" si="29"/>
        <v>0</v>
      </c>
      <c r="CK110" s="732">
        <f t="shared" si="29"/>
        <v>0</v>
      </c>
      <c r="CL110" s="732">
        <f t="shared" ref="CL110:DV111" si="31">CL86+CL94+CL102</f>
        <v>0</v>
      </c>
      <c r="CM110" s="732">
        <f t="shared" si="31"/>
        <v>0</v>
      </c>
      <c r="CN110" s="732">
        <f t="shared" si="31"/>
        <v>0</v>
      </c>
      <c r="CO110" s="732">
        <f t="shared" si="31"/>
        <v>0</v>
      </c>
      <c r="CP110" s="732">
        <f t="shared" si="31"/>
        <v>0</v>
      </c>
      <c r="CQ110" s="732">
        <f t="shared" si="31"/>
        <v>0</v>
      </c>
      <c r="CR110" s="732">
        <f t="shared" si="31"/>
        <v>0</v>
      </c>
      <c r="CS110" s="732">
        <f t="shared" si="31"/>
        <v>0</v>
      </c>
      <c r="CT110" s="732">
        <f t="shared" si="31"/>
        <v>0</v>
      </c>
      <c r="CU110" s="732">
        <f t="shared" si="31"/>
        <v>0</v>
      </c>
      <c r="CV110" s="732">
        <f t="shared" si="31"/>
        <v>0</v>
      </c>
      <c r="CW110" s="732">
        <f t="shared" si="31"/>
        <v>0</v>
      </c>
      <c r="CX110" s="732">
        <f t="shared" si="31"/>
        <v>0</v>
      </c>
      <c r="CY110" s="732">
        <f t="shared" si="31"/>
        <v>0</v>
      </c>
      <c r="CZ110" s="732">
        <f t="shared" si="31"/>
        <v>0</v>
      </c>
      <c r="DA110" s="732">
        <f t="shared" si="31"/>
        <v>0</v>
      </c>
      <c r="DB110" s="732">
        <f t="shared" si="31"/>
        <v>0</v>
      </c>
      <c r="DC110" s="732">
        <f t="shared" si="31"/>
        <v>0</v>
      </c>
      <c r="DD110" s="732">
        <f t="shared" si="31"/>
        <v>0</v>
      </c>
      <c r="DE110" s="732">
        <f t="shared" si="31"/>
        <v>0</v>
      </c>
      <c r="DF110" s="732">
        <f t="shared" si="31"/>
        <v>0</v>
      </c>
      <c r="DG110" s="732">
        <f t="shared" si="31"/>
        <v>0</v>
      </c>
      <c r="DH110" s="732">
        <f t="shared" si="31"/>
        <v>0</v>
      </c>
      <c r="DI110" s="732">
        <f t="shared" si="31"/>
        <v>0</v>
      </c>
      <c r="DJ110" s="732">
        <f t="shared" si="31"/>
        <v>0</v>
      </c>
      <c r="DK110" s="732">
        <f t="shared" si="31"/>
        <v>0</v>
      </c>
      <c r="DL110" s="732">
        <f t="shared" si="31"/>
        <v>0</v>
      </c>
      <c r="DM110" s="732">
        <f t="shared" si="31"/>
        <v>0</v>
      </c>
      <c r="DN110" s="732">
        <f t="shared" si="31"/>
        <v>0</v>
      </c>
      <c r="DO110" s="732">
        <f t="shared" si="31"/>
        <v>0</v>
      </c>
      <c r="DP110" s="732">
        <f t="shared" si="31"/>
        <v>0</v>
      </c>
      <c r="DQ110" s="730">
        <f t="shared" si="31"/>
        <v>0</v>
      </c>
      <c r="DR110" s="748">
        <f t="shared" si="31"/>
        <v>0</v>
      </c>
      <c r="DS110" s="730"/>
      <c r="DT110" s="730"/>
      <c r="DU110" s="730"/>
      <c r="DV110" s="741">
        <f t="shared" si="31"/>
        <v>0</v>
      </c>
      <c r="DW110" s="741">
        <f t="shared" si="27"/>
        <v>0</v>
      </c>
      <c r="DX110" s="749" t="s">
        <v>639</v>
      </c>
      <c r="DY110" s="659"/>
    </row>
    <row r="111" spans="1:129" ht="29.1" hidden="1" customHeight="1" outlineLevel="2">
      <c r="A111" s="706" t="str">
        <f>A103</f>
        <v>Камере созревания (производство) на 18-00</v>
      </c>
      <c r="B111" s="708">
        <f t="shared" ref="B111:AG111" si="32">B87+B95+B103</f>
        <v>0</v>
      </c>
      <c r="C111" s="708">
        <f t="shared" si="32"/>
        <v>0</v>
      </c>
      <c r="D111" s="708">
        <f t="shared" si="32"/>
        <v>0</v>
      </c>
      <c r="E111" s="708">
        <f t="shared" si="32"/>
        <v>0</v>
      </c>
      <c r="F111" s="708">
        <f t="shared" si="32"/>
        <v>0</v>
      </c>
      <c r="G111" s="708">
        <f t="shared" si="32"/>
        <v>0</v>
      </c>
      <c r="H111" s="708">
        <f t="shared" si="32"/>
        <v>0</v>
      </c>
      <c r="I111" s="708">
        <f t="shared" si="32"/>
        <v>0</v>
      </c>
      <c r="J111" s="708">
        <f t="shared" si="32"/>
        <v>0</v>
      </c>
      <c r="K111" s="708">
        <f t="shared" si="32"/>
        <v>0</v>
      </c>
      <c r="L111" s="708">
        <f t="shared" si="32"/>
        <v>0</v>
      </c>
      <c r="M111" s="708">
        <f t="shared" si="32"/>
        <v>0</v>
      </c>
      <c r="N111" s="708">
        <f t="shared" si="32"/>
        <v>0</v>
      </c>
      <c r="O111" s="708">
        <f t="shared" si="32"/>
        <v>0</v>
      </c>
      <c r="P111" s="1819">
        <f t="shared" si="32"/>
        <v>0</v>
      </c>
      <c r="Q111" s="708">
        <f t="shared" si="32"/>
        <v>0</v>
      </c>
      <c r="R111" s="708">
        <f t="shared" si="32"/>
        <v>0</v>
      </c>
      <c r="S111" s="708">
        <f t="shared" si="32"/>
        <v>0</v>
      </c>
      <c r="T111" s="708">
        <f t="shared" si="32"/>
        <v>0</v>
      </c>
      <c r="U111" s="708">
        <f t="shared" si="32"/>
        <v>0</v>
      </c>
      <c r="V111" s="708">
        <f t="shared" si="32"/>
        <v>0</v>
      </c>
      <c r="W111" s="708">
        <f t="shared" si="32"/>
        <v>0</v>
      </c>
      <c r="X111" s="708"/>
      <c r="Y111" s="708">
        <f t="shared" si="32"/>
        <v>0</v>
      </c>
      <c r="Z111" s="708">
        <f t="shared" si="32"/>
        <v>0</v>
      </c>
      <c r="AA111" s="708">
        <f t="shared" si="32"/>
        <v>0</v>
      </c>
      <c r="AB111" s="708">
        <f t="shared" si="32"/>
        <v>0</v>
      </c>
      <c r="AC111" s="708">
        <f t="shared" si="32"/>
        <v>0</v>
      </c>
      <c r="AD111" s="708">
        <f t="shared" si="32"/>
        <v>0</v>
      </c>
      <c r="AE111" s="708">
        <f t="shared" si="32"/>
        <v>0</v>
      </c>
      <c r="AF111" s="708">
        <f t="shared" si="32"/>
        <v>0</v>
      </c>
      <c r="AG111" s="708">
        <f t="shared" si="32"/>
        <v>0</v>
      </c>
      <c r="AH111" s="708">
        <f t="shared" si="30"/>
        <v>0</v>
      </c>
      <c r="AI111" s="708">
        <f t="shared" si="30"/>
        <v>0</v>
      </c>
      <c r="AJ111" s="708">
        <f t="shared" si="30"/>
        <v>0</v>
      </c>
      <c r="AK111" s="708">
        <f t="shared" si="30"/>
        <v>0</v>
      </c>
      <c r="AL111" s="708">
        <f t="shared" si="30"/>
        <v>0</v>
      </c>
      <c r="AM111" s="1819">
        <f t="shared" si="30"/>
        <v>0</v>
      </c>
      <c r="AN111" s="1819">
        <f t="shared" si="30"/>
        <v>0</v>
      </c>
      <c r="AO111" s="1819">
        <f t="shared" si="30"/>
        <v>0</v>
      </c>
      <c r="AP111" s="1819">
        <f t="shared" si="30"/>
        <v>0</v>
      </c>
      <c r="AQ111" s="708">
        <f t="shared" si="30"/>
        <v>0</v>
      </c>
      <c r="AR111" s="708">
        <f t="shared" si="30"/>
        <v>0</v>
      </c>
      <c r="AS111" s="708">
        <f t="shared" si="30"/>
        <v>0</v>
      </c>
      <c r="AT111" s="708">
        <f t="shared" si="30"/>
        <v>0</v>
      </c>
      <c r="AU111" s="708">
        <f t="shared" si="30"/>
        <v>0</v>
      </c>
      <c r="AV111" s="708">
        <f t="shared" si="30"/>
        <v>0</v>
      </c>
      <c r="AW111" s="708">
        <f t="shared" si="30"/>
        <v>0</v>
      </c>
      <c r="AX111" s="708">
        <f t="shared" si="30"/>
        <v>0</v>
      </c>
      <c r="AY111" s="708">
        <f t="shared" si="30"/>
        <v>0</v>
      </c>
      <c r="AZ111" s="708">
        <f t="shared" si="30"/>
        <v>0</v>
      </c>
      <c r="BA111" s="708">
        <f t="shared" si="30"/>
        <v>0</v>
      </c>
      <c r="BB111" s="708">
        <f t="shared" si="30"/>
        <v>0</v>
      </c>
      <c r="BC111" s="708">
        <f t="shared" si="30"/>
        <v>0</v>
      </c>
      <c r="BD111" s="708">
        <f t="shared" si="30"/>
        <v>0</v>
      </c>
      <c r="BE111" s="708">
        <f t="shared" si="30"/>
        <v>0</v>
      </c>
      <c r="BF111" s="708">
        <f t="shared" si="30"/>
        <v>0</v>
      </c>
      <c r="BG111" s="708">
        <f t="shared" si="30"/>
        <v>0</v>
      </c>
      <c r="BH111" s="708">
        <f t="shared" si="30"/>
        <v>0</v>
      </c>
      <c r="BI111" s="708">
        <f t="shared" si="30"/>
        <v>0</v>
      </c>
      <c r="BJ111" s="708">
        <f t="shared" si="30"/>
        <v>0</v>
      </c>
      <c r="BK111" s="708">
        <f t="shared" si="30"/>
        <v>0</v>
      </c>
      <c r="BL111" s="708">
        <f t="shared" si="30"/>
        <v>0</v>
      </c>
      <c r="BM111" s="708">
        <f t="shared" si="30"/>
        <v>0</v>
      </c>
      <c r="BN111" s="708">
        <f t="shared" si="30"/>
        <v>0</v>
      </c>
      <c r="BO111" s="708">
        <f t="shared" ref="BO111:CS111" si="33">BO87+BO95+BO103</f>
        <v>0</v>
      </c>
      <c r="BP111" s="708">
        <f t="shared" si="33"/>
        <v>0</v>
      </c>
      <c r="BQ111" s="708">
        <f t="shared" si="33"/>
        <v>0</v>
      </c>
      <c r="BR111" s="708">
        <f t="shared" si="33"/>
        <v>0</v>
      </c>
      <c r="BS111" s="708">
        <f t="shared" si="33"/>
        <v>0</v>
      </c>
      <c r="BT111" s="708">
        <f t="shared" si="33"/>
        <v>0</v>
      </c>
      <c r="BU111" s="708">
        <f t="shared" si="33"/>
        <v>0</v>
      </c>
      <c r="BV111" s="708">
        <f t="shared" si="33"/>
        <v>0</v>
      </c>
      <c r="BW111" s="708">
        <f t="shared" si="33"/>
        <v>0</v>
      </c>
      <c r="BX111" s="708">
        <f t="shared" si="33"/>
        <v>0</v>
      </c>
      <c r="BY111" s="708">
        <f t="shared" si="33"/>
        <v>0</v>
      </c>
      <c r="BZ111" s="708">
        <f t="shared" si="33"/>
        <v>0</v>
      </c>
      <c r="CA111" s="708">
        <f t="shared" si="33"/>
        <v>0</v>
      </c>
      <c r="CB111" s="708">
        <f t="shared" si="33"/>
        <v>0</v>
      </c>
      <c r="CC111" s="708">
        <f t="shared" si="33"/>
        <v>0</v>
      </c>
      <c r="CD111" s="1819">
        <f t="shared" si="33"/>
        <v>0</v>
      </c>
      <c r="CE111" s="1819">
        <f t="shared" si="33"/>
        <v>0</v>
      </c>
      <c r="CF111" s="1819">
        <f t="shared" si="33"/>
        <v>0</v>
      </c>
      <c r="CG111" s="1819">
        <f t="shared" si="33"/>
        <v>0</v>
      </c>
      <c r="CH111" s="1819">
        <f t="shared" si="33"/>
        <v>0</v>
      </c>
      <c r="CI111" s="1819">
        <f t="shared" si="33"/>
        <v>0</v>
      </c>
      <c r="CJ111" s="1819">
        <f t="shared" si="33"/>
        <v>0</v>
      </c>
      <c r="CK111" s="708">
        <f t="shared" si="33"/>
        <v>0</v>
      </c>
      <c r="CL111" s="708">
        <f t="shared" si="33"/>
        <v>0</v>
      </c>
      <c r="CM111" s="708">
        <f t="shared" si="33"/>
        <v>0</v>
      </c>
      <c r="CN111" s="708">
        <f t="shared" si="33"/>
        <v>0</v>
      </c>
      <c r="CO111" s="708">
        <f t="shared" si="33"/>
        <v>0</v>
      </c>
      <c r="CP111" s="708">
        <f t="shared" si="33"/>
        <v>0</v>
      </c>
      <c r="CQ111" s="708">
        <f t="shared" si="33"/>
        <v>0</v>
      </c>
      <c r="CR111" s="708">
        <f t="shared" si="33"/>
        <v>0</v>
      </c>
      <c r="CS111" s="708">
        <f t="shared" si="33"/>
        <v>0</v>
      </c>
      <c r="CT111" s="708">
        <f t="shared" si="31"/>
        <v>0</v>
      </c>
      <c r="CU111" s="708">
        <f t="shared" si="31"/>
        <v>0</v>
      </c>
      <c r="CV111" s="708">
        <f t="shared" si="31"/>
        <v>0</v>
      </c>
      <c r="CW111" s="708">
        <f t="shared" si="31"/>
        <v>0</v>
      </c>
      <c r="CX111" s="708">
        <f t="shared" si="31"/>
        <v>0</v>
      </c>
      <c r="CY111" s="708">
        <f t="shared" si="31"/>
        <v>0</v>
      </c>
      <c r="CZ111" s="708">
        <f t="shared" si="31"/>
        <v>0</v>
      </c>
      <c r="DA111" s="708">
        <f t="shared" si="31"/>
        <v>0</v>
      </c>
      <c r="DB111" s="708">
        <f t="shared" si="31"/>
        <v>0</v>
      </c>
      <c r="DC111" s="708">
        <f t="shared" si="31"/>
        <v>0</v>
      </c>
      <c r="DD111" s="708">
        <f t="shared" si="31"/>
        <v>0</v>
      </c>
      <c r="DE111" s="708">
        <f t="shared" si="31"/>
        <v>0</v>
      </c>
      <c r="DF111" s="708">
        <f t="shared" si="31"/>
        <v>0</v>
      </c>
      <c r="DG111" s="708">
        <f t="shared" si="31"/>
        <v>0</v>
      </c>
      <c r="DH111" s="708">
        <f t="shared" si="31"/>
        <v>0</v>
      </c>
      <c r="DI111" s="708">
        <f t="shared" si="31"/>
        <v>0</v>
      </c>
      <c r="DJ111" s="708">
        <f t="shared" si="31"/>
        <v>0</v>
      </c>
      <c r="DK111" s="708">
        <f t="shared" si="31"/>
        <v>0</v>
      </c>
      <c r="DL111" s="708">
        <f t="shared" si="31"/>
        <v>0</v>
      </c>
      <c r="DM111" s="708">
        <f t="shared" si="31"/>
        <v>0</v>
      </c>
      <c r="DN111" s="708">
        <f t="shared" si="31"/>
        <v>0</v>
      </c>
      <c r="DO111" s="708">
        <f t="shared" si="31"/>
        <v>0</v>
      </c>
      <c r="DP111" s="708">
        <f t="shared" si="31"/>
        <v>0</v>
      </c>
      <c r="DQ111" s="725">
        <f t="shared" si="31"/>
        <v>0</v>
      </c>
      <c r="DR111" s="726">
        <f t="shared" si="31"/>
        <v>0</v>
      </c>
      <c r="DS111" s="725"/>
      <c r="DT111" s="725"/>
      <c r="DU111" s="725"/>
      <c r="DV111" s="727">
        <f t="shared" si="31"/>
        <v>0</v>
      </c>
      <c r="DW111" s="727">
        <f t="shared" si="27"/>
        <v>0</v>
      </c>
      <c r="DX111" s="728" t="s">
        <v>640</v>
      </c>
      <c r="DY111" s="659"/>
    </row>
    <row r="112" spans="1:129" ht="9.75" hidden="1" customHeight="1" outlineLevel="2" thickTop="1" thickBot="1">
      <c r="A112" s="810"/>
      <c r="B112" s="811"/>
      <c r="C112" s="811"/>
      <c r="D112" s="811"/>
      <c r="E112" s="811"/>
      <c r="F112" s="811"/>
      <c r="G112" s="811"/>
      <c r="H112" s="811"/>
      <c r="I112" s="811"/>
      <c r="J112" s="811"/>
      <c r="K112" s="811"/>
      <c r="L112" s="811"/>
      <c r="M112" s="811"/>
      <c r="N112" s="811"/>
      <c r="O112" s="811"/>
      <c r="P112" s="812"/>
      <c r="Q112" s="813"/>
      <c r="R112" s="813"/>
      <c r="S112" s="813"/>
      <c r="T112" s="818"/>
      <c r="U112" s="811"/>
      <c r="V112" s="811"/>
      <c r="W112" s="811"/>
      <c r="X112" s="811"/>
      <c r="Y112" s="811"/>
      <c r="Z112" s="811"/>
      <c r="AA112" s="811"/>
      <c r="AB112" s="811"/>
      <c r="AC112" s="811"/>
      <c r="AD112" s="811"/>
      <c r="AE112" s="811"/>
      <c r="AF112" s="811"/>
      <c r="AG112" s="811"/>
      <c r="AH112" s="811"/>
      <c r="AI112" s="811"/>
      <c r="AJ112" s="811"/>
      <c r="AK112" s="811"/>
      <c r="AL112" s="811"/>
      <c r="AM112" s="812"/>
      <c r="AN112" s="812"/>
      <c r="AO112" s="812"/>
      <c r="AP112" s="812"/>
      <c r="AQ112" s="811"/>
      <c r="AR112" s="811"/>
      <c r="AS112" s="811"/>
      <c r="AT112" s="811"/>
      <c r="AU112" s="811"/>
      <c r="AV112" s="811"/>
      <c r="AW112" s="811"/>
      <c r="AX112" s="811"/>
      <c r="AY112" s="811"/>
      <c r="AZ112" s="811"/>
      <c r="BA112" s="811"/>
      <c r="BB112" s="811"/>
      <c r="BC112" s="811"/>
      <c r="BD112" s="811"/>
      <c r="BE112" s="811"/>
      <c r="BF112" s="811"/>
      <c r="BG112" s="811"/>
      <c r="BH112" s="811"/>
      <c r="BI112" s="811"/>
      <c r="BJ112" s="811"/>
      <c r="BK112" s="811"/>
      <c r="BL112" s="811"/>
      <c r="BM112" s="811"/>
      <c r="BN112" s="811"/>
      <c r="BO112" s="811"/>
      <c r="BP112" s="811"/>
      <c r="BQ112" s="811"/>
      <c r="BR112" s="811"/>
      <c r="BS112" s="811"/>
      <c r="BT112" s="811"/>
      <c r="BU112" s="811"/>
      <c r="BV112" s="811"/>
      <c r="BW112" s="811"/>
      <c r="BX112" s="811"/>
      <c r="BY112" s="811"/>
      <c r="BZ112" s="811"/>
      <c r="CA112" s="811"/>
      <c r="CB112" s="811"/>
      <c r="CC112" s="811"/>
      <c r="CD112" s="812"/>
      <c r="CE112" s="812"/>
      <c r="CF112" s="812"/>
      <c r="CG112" s="812"/>
      <c r="CH112" s="812"/>
      <c r="CI112" s="812"/>
      <c r="CJ112" s="812"/>
      <c r="CK112" s="811"/>
      <c r="CL112" s="811"/>
      <c r="CM112" s="811"/>
      <c r="CN112" s="811"/>
      <c r="CO112" s="811"/>
      <c r="CP112" s="811"/>
      <c r="CQ112" s="811"/>
      <c r="CR112" s="811"/>
      <c r="CS112" s="811"/>
      <c r="CT112" s="811"/>
      <c r="CU112" s="811"/>
      <c r="CV112" s="811"/>
      <c r="CW112" s="811"/>
      <c r="CX112" s="811"/>
      <c r="CY112" s="811"/>
      <c r="CZ112" s="811"/>
      <c r="DA112" s="811"/>
      <c r="DB112" s="811"/>
      <c r="DC112" s="811"/>
      <c r="DD112" s="811"/>
      <c r="DE112" s="811"/>
      <c r="DF112" s="811"/>
      <c r="DG112" s="811"/>
      <c r="DH112" s="811"/>
      <c r="DI112" s="811"/>
      <c r="DJ112" s="814"/>
      <c r="DK112" s="811"/>
      <c r="DL112" s="811"/>
      <c r="DM112" s="811"/>
      <c r="DN112" s="811"/>
      <c r="DO112" s="811"/>
      <c r="DP112" s="811"/>
      <c r="DQ112" s="811"/>
      <c r="DR112" s="815"/>
      <c r="DS112" s="811"/>
      <c r="DT112" s="811"/>
      <c r="DU112" s="811"/>
      <c r="DV112" s="816"/>
      <c r="DW112" s="811"/>
      <c r="DX112" s="817"/>
      <c r="DY112" s="659"/>
    </row>
    <row r="113" spans="1:129" ht="15.6" collapsed="1" thickTop="1" thickBot="1">
      <c r="A113" s="819" t="s">
        <v>643</v>
      </c>
      <c r="B113" s="820">
        <f t="shared" ref="B113:BM113" si="34">IF(B7=0,0,B105/B7)</f>
        <v>120.9375</v>
      </c>
      <c r="C113" s="820">
        <f t="shared" si="34"/>
        <v>5</v>
      </c>
      <c r="D113" s="820">
        <f t="shared" si="34"/>
        <v>16</v>
      </c>
      <c r="E113" s="820">
        <f t="shared" si="34"/>
        <v>0</v>
      </c>
      <c r="F113" s="820">
        <f t="shared" si="34"/>
        <v>73</v>
      </c>
      <c r="G113" s="820">
        <f t="shared" si="34"/>
        <v>0</v>
      </c>
      <c r="H113" s="820">
        <f t="shared" si="34"/>
        <v>0.95792880258899682</v>
      </c>
      <c r="I113" s="820">
        <f t="shared" si="34"/>
        <v>11</v>
      </c>
      <c r="J113" s="820">
        <f t="shared" si="34"/>
        <v>70.999999999999986</v>
      </c>
      <c r="K113" s="820">
        <f t="shared" si="34"/>
        <v>5.7931034482758621</v>
      </c>
      <c r="L113" s="820">
        <f t="shared" si="34"/>
        <v>0</v>
      </c>
      <c r="M113" s="820">
        <f t="shared" si="34"/>
        <v>0</v>
      </c>
      <c r="N113" s="820">
        <f t="shared" si="34"/>
        <v>39.466666666666669</v>
      </c>
      <c r="O113" s="820">
        <f t="shared" si="34"/>
        <v>1</v>
      </c>
      <c r="P113" s="1820">
        <f t="shared" si="34"/>
        <v>5.9200000000000008</v>
      </c>
      <c r="Q113" s="1599">
        <f t="shared" si="34"/>
        <v>67.999999999999986</v>
      </c>
      <c r="R113" s="1599">
        <f t="shared" si="34"/>
        <v>5.6234309623430958</v>
      </c>
      <c r="S113" s="1599">
        <f t="shared" si="34"/>
        <v>2320.9999999999995</v>
      </c>
      <c r="T113" s="1599">
        <f t="shared" si="34"/>
        <v>136</v>
      </c>
      <c r="U113" s="1599">
        <f t="shared" si="34"/>
        <v>141</v>
      </c>
      <c r="V113" s="820">
        <f t="shared" si="34"/>
        <v>5.333333333333333</v>
      </c>
      <c r="W113" s="820">
        <f t="shared" si="34"/>
        <v>3.5555555555555554</v>
      </c>
      <c r="X113" s="820">
        <f t="shared" si="34"/>
        <v>0</v>
      </c>
      <c r="Y113" s="820">
        <f t="shared" si="34"/>
        <v>463.00000000000011</v>
      </c>
      <c r="Z113" s="820">
        <f t="shared" si="34"/>
        <v>0</v>
      </c>
      <c r="AA113" s="820">
        <f t="shared" si="34"/>
        <v>54</v>
      </c>
      <c r="AB113" s="820">
        <f t="shared" si="34"/>
        <v>425</v>
      </c>
      <c r="AC113" s="820">
        <f t="shared" si="34"/>
        <v>11.555555555555555</v>
      </c>
      <c r="AD113" s="820">
        <f t="shared" si="34"/>
        <v>912.00000000000011</v>
      </c>
      <c r="AE113" s="820">
        <f t="shared" si="34"/>
        <v>28.444444444444443</v>
      </c>
      <c r="AF113" s="820">
        <f t="shared" si="34"/>
        <v>4.5714285714285712</v>
      </c>
      <c r="AG113" s="820">
        <f t="shared" si="34"/>
        <v>124.99999999999999</v>
      </c>
      <c r="AH113" s="820">
        <f t="shared" si="34"/>
        <v>117.99999999999999</v>
      </c>
      <c r="AI113" s="820">
        <f t="shared" si="34"/>
        <v>43</v>
      </c>
      <c r="AJ113" s="820">
        <f t="shared" si="34"/>
        <v>9.8019801980198018</v>
      </c>
      <c r="AK113" s="820">
        <f t="shared" si="34"/>
        <v>72.000000000000014</v>
      </c>
      <c r="AL113" s="820">
        <f t="shared" si="34"/>
        <v>0</v>
      </c>
      <c r="AM113" s="1820">
        <f t="shared" si="34"/>
        <v>0</v>
      </c>
      <c r="AN113" s="1820">
        <f t="shared" si="34"/>
        <v>8</v>
      </c>
      <c r="AO113" s="1820">
        <f t="shared" si="34"/>
        <v>0</v>
      </c>
      <c r="AP113" s="1820">
        <f t="shared" si="34"/>
        <v>6.2222222222222223</v>
      </c>
      <c r="AQ113" s="820">
        <f t="shared" si="34"/>
        <v>4</v>
      </c>
      <c r="AR113" s="820">
        <f t="shared" si="34"/>
        <v>443</v>
      </c>
      <c r="AS113" s="820">
        <f t="shared" si="34"/>
        <v>4.3814432989690726</v>
      </c>
      <c r="AT113" s="820">
        <f t="shared" si="34"/>
        <v>4.3814432989690726</v>
      </c>
      <c r="AU113" s="820">
        <f t="shared" si="34"/>
        <v>0.87628865979381443</v>
      </c>
      <c r="AV113" s="820">
        <f t="shared" si="34"/>
        <v>0</v>
      </c>
      <c r="AW113" s="820">
        <f t="shared" si="34"/>
        <v>0</v>
      </c>
      <c r="AX113" s="820">
        <f t="shared" si="34"/>
        <v>0</v>
      </c>
      <c r="AY113" s="820">
        <f t="shared" si="34"/>
        <v>1173</v>
      </c>
      <c r="AZ113" s="820">
        <f t="shared" si="34"/>
        <v>41</v>
      </c>
      <c r="BA113" s="820">
        <f t="shared" si="34"/>
        <v>143</v>
      </c>
      <c r="BB113" s="820">
        <f t="shared" si="34"/>
        <v>491.99999999999994</v>
      </c>
      <c r="BC113" s="820">
        <f t="shared" si="34"/>
        <v>0</v>
      </c>
      <c r="BD113" s="820">
        <f t="shared" si="34"/>
        <v>297</v>
      </c>
      <c r="BE113" s="820">
        <f t="shared" si="34"/>
        <v>22</v>
      </c>
      <c r="BF113" s="820">
        <f t="shared" si="34"/>
        <v>0.50955414012738853</v>
      </c>
      <c r="BG113" s="820">
        <f t="shared" si="34"/>
        <v>188.57142857142856</v>
      </c>
      <c r="BH113" s="820">
        <f t="shared" si="34"/>
        <v>108</v>
      </c>
      <c r="BI113" s="820">
        <f t="shared" si="34"/>
        <v>33.678756476683937</v>
      </c>
      <c r="BJ113" s="820">
        <f t="shared" si="34"/>
        <v>736</v>
      </c>
      <c r="BK113" s="820">
        <f t="shared" si="34"/>
        <v>23</v>
      </c>
      <c r="BL113" s="820">
        <f t="shared" si="34"/>
        <v>17</v>
      </c>
      <c r="BM113" s="820">
        <f t="shared" si="34"/>
        <v>984</v>
      </c>
      <c r="BN113" s="820">
        <f t="shared" ref="BN113:DR113" si="35">IF(BN7=0,0,BN105/BN7)</f>
        <v>17</v>
      </c>
      <c r="BO113" s="820">
        <f t="shared" si="35"/>
        <v>1155</v>
      </c>
      <c r="BP113" s="820">
        <f t="shared" si="35"/>
        <v>188.53503184713375</v>
      </c>
      <c r="BQ113" s="820">
        <f t="shared" si="35"/>
        <v>22</v>
      </c>
      <c r="BR113" s="820">
        <f t="shared" si="35"/>
        <v>0</v>
      </c>
      <c r="BS113" s="820">
        <f t="shared" si="35"/>
        <v>59.067357512953372</v>
      </c>
      <c r="BT113" s="820">
        <f t="shared" si="35"/>
        <v>234.28571428571428</v>
      </c>
      <c r="BU113" s="820">
        <f t="shared" si="35"/>
        <v>0</v>
      </c>
      <c r="BV113" s="820">
        <f t="shared" si="35"/>
        <v>204</v>
      </c>
      <c r="BW113" s="820">
        <f t="shared" si="35"/>
        <v>381</v>
      </c>
      <c r="BX113" s="820">
        <f t="shared" si="35"/>
        <v>179</v>
      </c>
      <c r="BY113" s="820">
        <f t="shared" si="35"/>
        <v>337.18309859154925</v>
      </c>
      <c r="BZ113" s="820">
        <f t="shared" si="35"/>
        <v>3</v>
      </c>
      <c r="CA113" s="820">
        <f t="shared" si="35"/>
        <v>11</v>
      </c>
      <c r="CB113" s="820">
        <f t="shared" si="35"/>
        <v>7</v>
      </c>
      <c r="CC113" s="820">
        <f t="shared" si="35"/>
        <v>0</v>
      </c>
      <c r="CD113" s="1820">
        <f t="shared" si="35"/>
        <v>2448</v>
      </c>
      <c r="CE113" s="1820">
        <f t="shared" si="35"/>
        <v>1818</v>
      </c>
      <c r="CF113" s="1820">
        <f t="shared" si="35"/>
        <v>354</v>
      </c>
      <c r="CG113" s="1820">
        <f t="shared" si="35"/>
        <v>1425</v>
      </c>
      <c r="CH113" s="1820">
        <f t="shared" si="35"/>
        <v>685</v>
      </c>
      <c r="CI113" s="1820">
        <f t="shared" si="35"/>
        <v>80.281690140845072</v>
      </c>
      <c r="CJ113" s="1820">
        <f t="shared" si="35"/>
        <v>14.366197183098592</v>
      </c>
      <c r="CK113" s="820">
        <f t="shared" si="35"/>
        <v>544</v>
      </c>
      <c r="CL113" s="820">
        <f t="shared" si="35"/>
        <v>0</v>
      </c>
      <c r="CM113" s="820">
        <f t="shared" si="35"/>
        <v>188.45070422535213</v>
      </c>
      <c r="CN113" s="820">
        <f t="shared" si="35"/>
        <v>0</v>
      </c>
      <c r="CO113" s="820">
        <f t="shared" si="35"/>
        <v>81</v>
      </c>
      <c r="CP113" s="820">
        <f t="shared" si="35"/>
        <v>57</v>
      </c>
      <c r="CQ113" s="820">
        <f t="shared" si="35"/>
        <v>1.7441860465116279</v>
      </c>
      <c r="CR113" s="820">
        <f t="shared" si="35"/>
        <v>0</v>
      </c>
      <c r="CS113" s="820">
        <f t="shared" si="35"/>
        <v>16.901408450704228</v>
      </c>
      <c r="CT113" s="820">
        <f t="shared" si="35"/>
        <v>0</v>
      </c>
      <c r="CU113" s="820">
        <f t="shared" si="35"/>
        <v>526.99999999999989</v>
      </c>
      <c r="CV113" s="820">
        <f t="shared" si="35"/>
        <v>0</v>
      </c>
      <c r="CW113" s="820">
        <f t="shared" si="35"/>
        <v>2</v>
      </c>
      <c r="CX113" s="820">
        <f t="shared" si="35"/>
        <v>18</v>
      </c>
      <c r="CY113" s="820">
        <f t="shared" si="35"/>
        <v>3</v>
      </c>
      <c r="CZ113" s="820">
        <f t="shared" si="35"/>
        <v>289</v>
      </c>
      <c r="DA113" s="820">
        <f t="shared" si="35"/>
        <v>209</v>
      </c>
      <c r="DB113" s="820">
        <f t="shared" si="35"/>
        <v>0</v>
      </c>
      <c r="DC113" s="820">
        <f t="shared" si="35"/>
        <v>524</v>
      </c>
      <c r="DD113" s="820">
        <f t="shared" si="35"/>
        <v>0</v>
      </c>
      <c r="DE113" s="820">
        <f t="shared" si="35"/>
        <v>125.91549295774649</v>
      </c>
      <c r="DF113" s="820">
        <f t="shared" si="35"/>
        <v>481</v>
      </c>
      <c r="DG113" s="820">
        <f t="shared" si="35"/>
        <v>35</v>
      </c>
      <c r="DH113" s="820">
        <f t="shared" si="35"/>
        <v>5</v>
      </c>
      <c r="DI113" s="820">
        <f t="shared" si="35"/>
        <v>121.69014084507043</v>
      </c>
      <c r="DJ113" s="820">
        <f t="shared" si="35"/>
        <v>1187</v>
      </c>
      <c r="DK113" s="820">
        <f t="shared" si="35"/>
        <v>445</v>
      </c>
      <c r="DL113" s="820">
        <f t="shared" si="35"/>
        <v>103</v>
      </c>
      <c r="DM113" s="820">
        <f t="shared" si="35"/>
        <v>159</v>
      </c>
      <c r="DN113" s="820">
        <f t="shared" si="35"/>
        <v>186</v>
      </c>
      <c r="DO113" s="820">
        <f t="shared" si="35"/>
        <v>152.16666666666666</v>
      </c>
      <c r="DP113" s="820">
        <f t="shared" si="35"/>
        <v>211</v>
      </c>
      <c r="DQ113" s="822">
        <f t="shared" si="35"/>
        <v>0</v>
      </c>
      <c r="DR113" s="825">
        <f t="shared" si="35"/>
        <v>0</v>
      </c>
      <c r="DS113" s="822"/>
      <c r="DT113" s="822"/>
      <c r="DU113" s="822"/>
      <c r="DV113" s="821">
        <f>IF(DV7=0,0,DV105/DV7)</f>
        <v>0</v>
      </c>
      <c r="DW113" s="821">
        <f>SUM(B113:DV113)</f>
        <v>25322.169752959751</v>
      </c>
      <c r="DX113" s="826" t="s">
        <v>643</v>
      </c>
      <c r="DY113" s="659"/>
    </row>
    <row r="114" spans="1:129" ht="5.25" customHeight="1" thickTop="1" thickBot="1">
      <c r="A114" s="827"/>
      <c r="B114" s="823"/>
      <c r="C114" s="823"/>
      <c r="D114" s="823"/>
      <c r="E114" s="823"/>
      <c r="F114" s="823"/>
      <c r="G114" s="823"/>
      <c r="H114" s="823"/>
      <c r="I114" s="823"/>
      <c r="J114" s="828"/>
      <c r="K114" s="828"/>
      <c r="L114" s="828"/>
      <c r="M114" s="828"/>
      <c r="N114" s="828"/>
      <c r="O114" s="828"/>
      <c r="P114" s="829"/>
      <c r="Q114" s="830"/>
      <c r="R114" s="831"/>
      <c r="S114" s="823"/>
      <c r="T114" s="832"/>
      <c r="U114" s="823"/>
      <c r="V114" s="823"/>
      <c r="W114" s="823"/>
      <c r="X114" s="823"/>
      <c r="Y114" s="823"/>
      <c r="Z114" s="823"/>
      <c r="AA114" s="823"/>
      <c r="AB114" s="823"/>
      <c r="AC114" s="823"/>
      <c r="AD114" s="823"/>
      <c r="AE114" s="823"/>
      <c r="AF114" s="823"/>
      <c r="AG114" s="823"/>
      <c r="AH114" s="823"/>
      <c r="AI114" s="823"/>
      <c r="AJ114" s="823"/>
      <c r="AK114" s="823"/>
      <c r="AL114" s="823"/>
      <c r="AM114" s="833"/>
      <c r="AN114" s="833"/>
      <c r="AO114" s="833"/>
      <c r="AP114" s="833"/>
      <c r="AQ114" s="823"/>
      <c r="AR114" s="823"/>
      <c r="AS114" s="823"/>
      <c r="AT114" s="823"/>
      <c r="AU114" s="823"/>
      <c r="AV114" s="823"/>
      <c r="AW114" s="824"/>
      <c r="AX114" s="824"/>
      <c r="AY114" s="823"/>
      <c r="AZ114" s="823"/>
      <c r="BA114" s="823"/>
      <c r="BB114" s="823"/>
      <c r="BC114" s="823"/>
      <c r="BD114" s="823"/>
      <c r="BE114" s="823"/>
      <c r="BF114" s="823"/>
      <c r="BG114" s="823"/>
      <c r="BH114" s="823"/>
      <c r="BI114" s="823"/>
      <c r="BJ114" s="823"/>
      <c r="BK114" s="823"/>
      <c r="BL114" s="823"/>
      <c r="BM114" s="823"/>
      <c r="BN114" s="823"/>
      <c r="BO114" s="823"/>
      <c r="BP114" s="823"/>
      <c r="BQ114" s="823"/>
      <c r="BR114" s="823"/>
      <c r="BS114" s="823"/>
      <c r="BT114" s="823"/>
      <c r="BU114" s="823"/>
      <c r="BV114" s="823"/>
      <c r="BW114" s="823"/>
      <c r="BX114" s="823"/>
      <c r="BY114" s="823"/>
      <c r="BZ114" s="823"/>
      <c r="CA114" s="823"/>
      <c r="CB114" s="823"/>
      <c r="CC114" s="823"/>
      <c r="CD114" s="833"/>
      <c r="CE114" s="833"/>
      <c r="CF114" s="833"/>
      <c r="CG114" s="833"/>
      <c r="CH114" s="833"/>
      <c r="CI114" s="833"/>
      <c r="CJ114" s="833"/>
      <c r="CK114" s="823"/>
      <c r="CL114" s="823"/>
      <c r="CM114" s="823"/>
      <c r="CN114" s="823"/>
      <c r="CO114" s="823"/>
      <c r="CP114" s="823"/>
      <c r="CQ114" s="823"/>
      <c r="CR114" s="823"/>
      <c r="CS114" s="823"/>
      <c r="CT114" s="823"/>
      <c r="CU114" s="823"/>
      <c r="CV114" s="823"/>
      <c r="CW114" s="823"/>
      <c r="CX114" s="823"/>
      <c r="CY114" s="823"/>
      <c r="CZ114" s="823"/>
      <c r="DA114" s="823"/>
      <c r="DB114" s="823"/>
      <c r="DC114" s="823"/>
      <c r="DD114" s="823"/>
      <c r="DE114" s="823"/>
      <c r="DF114" s="823"/>
      <c r="DG114" s="823"/>
      <c r="DH114" s="823"/>
      <c r="DI114" s="823"/>
      <c r="DJ114" s="825"/>
      <c r="DK114" s="823"/>
      <c r="DL114" s="823"/>
      <c r="DM114" s="823"/>
      <c r="DN114" s="823"/>
      <c r="DO114" s="823"/>
      <c r="DP114" s="823"/>
      <c r="DQ114" s="823"/>
      <c r="DR114" s="834"/>
      <c r="DS114" s="823"/>
      <c r="DT114" s="823"/>
      <c r="DU114" s="823"/>
      <c r="DV114" s="835"/>
      <c r="DW114" s="823"/>
      <c r="DX114" s="836"/>
      <c r="DY114" s="659"/>
    </row>
    <row r="115" spans="1:129" ht="15.6" thickTop="1" thickBot="1">
      <c r="A115" s="837" t="s">
        <v>77</v>
      </c>
      <c r="B115" s="838">
        <f t="shared" ref="B115:AE115" si="36">SUM(B232:B237)/42*B210</f>
        <v>777.31076190476199</v>
      </c>
      <c r="C115" s="838">
        <f t="shared" si="36"/>
        <v>55.08790476190476</v>
      </c>
      <c r="D115" s="838">
        <f t="shared" si="36"/>
        <v>592.55361904761901</v>
      </c>
      <c r="E115" s="838">
        <f t="shared" si="36"/>
        <v>92.359904761904758</v>
      </c>
      <c r="F115" s="838">
        <f t="shared" si="36"/>
        <v>614.37619047619057</v>
      </c>
      <c r="G115" s="838">
        <f t="shared" si="36"/>
        <v>35.428571428571431</v>
      </c>
      <c r="H115" s="838">
        <f t="shared" si="36"/>
        <v>0</v>
      </c>
      <c r="I115" s="838">
        <f t="shared" si="36"/>
        <v>231.44066666666671</v>
      </c>
      <c r="J115" s="838">
        <f t="shared" si="36"/>
        <v>461.70666666666665</v>
      </c>
      <c r="K115" s="838">
        <f t="shared" si="36"/>
        <v>97.155428571428573</v>
      </c>
      <c r="L115" s="838">
        <f t="shared" si="36"/>
        <v>84.782095238095238</v>
      </c>
      <c r="M115" s="838">
        <f t="shared" si="36"/>
        <v>0</v>
      </c>
      <c r="N115" s="838">
        <f t="shared" si="36"/>
        <v>235.10857142857142</v>
      </c>
      <c r="O115" s="838">
        <f t="shared" si="36"/>
        <v>165.79523809523809</v>
      </c>
      <c r="P115" s="838">
        <f t="shared" si="36"/>
        <v>174.92190476190476</v>
      </c>
      <c r="Q115" s="838">
        <f t="shared" si="36"/>
        <v>459.73333333333329</v>
      </c>
      <c r="R115" s="838">
        <f t="shared" si="36"/>
        <v>341.27939047619049</v>
      </c>
      <c r="S115" s="838">
        <f t="shared" si="36"/>
        <v>5941.3466666666673</v>
      </c>
      <c r="T115" s="838">
        <f t="shared" si="36"/>
        <v>141.59047619047618</v>
      </c>
      <c r="U115" s="838">
        <f t="shared" si="36"/>
        <v>530.37714285714276</v>
      </c>
      <c r="V115" s="838">
        <f t="shared" si="36"/>
        <v>313.86285714285714</v>
      </c>
      <c r="W115" s="838">
        <f t="shared" si="36"/>
        <v>5.7142857142857141E-2</v>
      </c>
      <c r="X115" s="838">
        <f t="shared" si="36"/>
        <v>0</v>
      </c>
      <c r="Y115" s="838">
        <f t="shared" si="36"/>
        <v>801.82523809523798</v>
      </c>
      <c r="Z115" s="838">
        <f t="shared" si="36"/>
        <v>111.21142857142857</v>
      </c>
      <c r="AA115" s="838">
        <f t="shared" si="36"/>
        <v>2387.4438095238097</v>
      </c>
      <c r="AB115" s="838">
        <f t="shared" si="36"/>
        <v>646.09142857142854</v>
      </c>
      <c r="AC115" s="838">
        <f t="shared" si="36"/>
        <v>99.315238095238087</v>
      </c>
      <c r="AD115" s="838">
        <f t="shared" si="36"/>
        <v>510.45714285714286</v>
      </c>
      <c r="AE115" s="838">
        <f t="shared" si="36"/>
        <v>0.11428571428571428</v>
      </c>
      <c r="AF115" s="838">
        <f t="shared" ref="AF115:BK115" si="37">SUM(AF232:AF237)/42*AF210</f>
        <v>0.21333333333333335</v>
      </c>
      <c r="AG115" s="838">
        <f t="shared" si="37"/>
        <v>1250.9066666666665</v>
      </c>
      <c r="AH115" s="838">
        <f t="shared" si="37"/>
        <v>110.45333333333333</v>
      </c>
      <c r="AI115" s="838">
        <f t="shared" si="37"/>
        <v>3060.4571428571426</v>
      </c>
      <c r="AJ115" s="838">
        <f t="shared" si="37"/>
        <v>0</v>
      </c>
      <c r="AK115" s="838">
        <f t="shared" si="37"/>
        <v>1424.5523809523809</v>
      </c>
      <c r="AL115" s="838">
        <f t="shared" si="37"/>
        <v>596.90476190476193</v>
      </c>
      <c r="AM115" s="838">
        <f t="shared" si="37"/>
        <v>4801.1428571428569</v>
      </c>
      <c r="AN115" s="838">
        <f t="shared" si="37"/>
        <v>86.399999999999977</v>
      </c>
      <c r="AO115" s="838">
        <f t="shared" si="37"/>
        <v>609.14285714285711</v>
      </c>
      <c r="AP115" s="838">
        <f t="shared" si="37"/>
        <v>14.457142857142859</v>
      </c>
      <c r="AQ115" s="838">
        <f t="shared" si="37"/>
        <v>679.07428571428557</v>
      </c>
      <c r="AR115" s="838">
        <f t="shared" si="37"/>
        <v>295.1742857142857</v>
      </c>
      <c r="AS115" s="838">
        <f t="shared" si="37"/>
        <v>125.35017857142857</v>
      </c>
      <c r="AT115" s="838">
        <f t="shared" si="37"/>
        <v>107.13642857142858</v>
      </c>
      <c r="AU115" s="838">
        <f t="shared" si="37"/>
        <v>27.945714285714288</v>
      </c>
      <c r="AV115" s="838">
        <f t="shared" si="37"/>
        <v>0</v>
      </c>
      <c r="AW115" s="838">
        <f t="shared" si="37"/>
        <v>0</v>
      </c>
      <c r="AX115" s="838">
        <f t="shared" si="37"/>
        <v>0</v>
      </c>
      <c r="AY115" s="838">
        <f t="shared" si="37"/>
        <v>0</v>
      </c>
      <c r="AZ115" s="838">
        <f t="shared" si="37"/>
        <v>0</v>
      </c>
      <c r="BA115" s="838">
        <f t="shared" si="37"/>
        <v>0</v>
      </c>
      <c r="BB115" s="838">
        <f t="shared" si="37"/>
        <v>0</v>
      </c>
      <c r="BC115" s="838">
        <f t="shared" si="37"/>
        <v>0</v>
      </c>
      <c r="BD115" s="838">
        <f t="shared" si="37"/>
        <v>0</v>
      </c>
      <c r="BE115" s="838">
        <f t="shared" si="37"/>
        <v>0</v>
      </c>
      <c r="BF115" s="838">
        <f t="shared" si="37"/>
        <v>0</v>
      </c>
      <c r="BG115" s="838">
        <f t="shared" si="37"/>
        <v>0</v>
      </c>
      <c r="BH115" s="838">
        <f t="shared" si="37"/>
        <v>0</v>
      </c>
      <c r="BI115" s="838">
        <f t="shared" si="37"/>
        <v>0</v>
      </c>
      <c r="BJ115" s="838">
        <f t="shared" si="37"/>
        <v>0</v>
      </c>
      <c r="BK115" s="838">
        <f t="shared" si="37"/>
        <v>0</v>
      </c>
      <c r="BL115" s="838">
        <f t="shared" ref="BL115:DO115" si="38">SUM(BL232:BL237)/42*BL210</f>
        <v>0</v>
      </c>
      <c r="BM115" s="838">
        <f t="shared" si="38"/>
        <v>0</v>
      </c>
      <c r="BN115" s="838">
        <f t="shared" si="38"/>
        <v>0</v>
      </c>
      <c r="BO115" s="838">
        <f t="shared" si="38"/>
        <v>0</v>
      </c>
      <c r="BP115" s="838">
        <f t="shared" si="38"/>
        <v>0</v>
      </c>
      <c r="BQ115" s="838">
        <f t="shared" si="38"/>
        <v>0</v>
      </c>
      <c r="BR115" s="838">
        <f t="shared" si="38"/>
        <v>0</v>
      </c>
      <c r="BS115" s="838">
        <f t="shared" si="38"/>
        <v>0</v>
      </c>
      <c r="BT115" s="838">
        <f t="shared" si="38"/>
        <v>0</v>
      </c>
      <c r="BU115" s="838">
        <f t="shared" si="38"/>
        <v>0</v>
      </c>
      <c r="BV115" s="838">
        <f t="shared" si="38"/>
        <v>0</v>
      </c>
      <c r="BW115" s="838">
        <f t="shared" si="38"/>
        <v>2237.8214285714284</v>
      </c>
      <c r="BX115" s="838">
        <f t="shared" si="38"/>
        <v>388.85714285714289</v>
      </c>
      <c r="BY115" s="838">
        <f t="shared" si="38"/>
        <v>82.800000000000011</v>
      </c>
      <c r="BZ115" s="838">
        <f t="shared" si="38"/>
        <v>435.43285714285719</v>
      </c>
      <c r="CA115" s="838">
        <f t="shared" si="38"/>
        <v>5869.6200000000008</v>
      </c>
      <c r="CB115" s="838">
        <f t="shared" si="38"/>
        <v>0</v>
      </c>
      <c r="CC115" s="838">
        <f t="shared" si="38"/>
        <v>0</v>
      </c>
      <c r="CD115" s="838">
        <f t="shared" si="38"/>
        <v>27928.71428571429</v>
      </c>
      <c r="CE115" s="838">
        <f t="shared" si="38"/>
        <v>13233.942857142858</v>
      </c>
      <c r="CF115" s="838">
        <f t="shared" si="38"/>
        <v>212.57142857142858</v>
      </c>
      <c r="CG115" s="838">
        <f t="shared" si="38"/>
        <v>2083.4742857142855</v>
      </c>
      <c r="CH115" s="838">
        <f t="shared" si="38"/>
        <v>787.28571428571433</v>
      </c>
      <c r="CI115" s="838">
        <f t="shared" si="38"/>
        <v>0.17142857142857143</v>
      </c>
      <c r="CJ115" s="838">
        <f t="shared" si="38"/>
        <v>0.17142857142857143</v>
      </c>
      <c r="CK115" s="838">
        <f t="shared" si="38"/>
        <v>188.57142857142856</v>
      </c>
      <c r="CL115" s="838">
        <f t="shared" si="38"/>
        <v>448.94285714285706</v>
      </c>
      <c r="CM115" s="838">
        <f t="shared" si="38"/>
        <v>563.25714285714298</v>
      </c>
      <c r="CN115" s="838">
        <f t="shared" si="38"/>
        <v>601.74285714285713</v>
      </c>
      <c r="CO115" s="838">
        <f t="shared" si="38"/>
        <v>62.571428571428569</v>
      </c>
      <c r="CP115" s="838">
        <f t="shared" si="38"/>
        <v>132.4047619047619</v>
      </c>
      <c r="CQ115" s="838">
        <f t="shared" si="38"/>
        <v>7.1428571428571425E-2</v>
      </c>
      <c r="CR115" s="838">
        <f t="shared" si="38"/>
        <v>507.5</v>
      </c>
      <c r="CS115" s="838">
        <f t="shared" si="38"/>
        <v>0.17142857142857143</v>
      </c>
      <c r="CT115" s="838">
        <f t="shared" si="38"/>
        <v>421.77142857142854</v>
      </c>
      <c r="CU115" s="838">
        <f t="shared" si="38"/>
        <v>1113.8400000000001</v>
      </c>
      <c r="CV115" s="838">
        <f t="shared" si="38"/>
        <v>75.428571428571431</v>
      </c>
      <c r="CW115" s="838">
        <f t="shared" si="38"/>
        <v>1456.6628571428571</v>
      </c>
      <c r="CX115" s="838">
        <f t="shared" si="38"/>
        <v>77.142857142857139</v>
      </c>
      <c r="CY115" s="838">
        <f t="shared" si="38"/>
        <v>599.65714285714284</v>
      </c>
      <c r="CZ115" s="838">
        <f t="shared" si="38"/>
        <v>355.3971428571428</v>
      </c>
      <c r="DA115" s="838">
        <f t="shared" si="38"/>
        <v>10542.928571428572</v>
      </c>
      <c r="DB115" s="838">
        <f t="shared" si="38"/>
        <v>4422.4642857142862</v>
      </c>
      <c r="DC115" s="838">
        <f t="shared" si="38"/>
        <v>4579.8571428571431</v>
      </c>
      <c r="DD115" s="838">
        <f t="shared" si="38"/>
        <v>983.57142857142844</v>
      </c>
      <c r="DE115" s="838">
        <f t="shared" si="38"/>
        <v>0.17142857142857143</v>
      </c>
      <c r="DF115" s="838">
        <f t="shared" si="38"/>
        <v>1132.9285714285716</v>
      </c>
      <c r="DG115" s="838">
        <f t="shared" si="38"/>
        <v>42.214285714285715</v>
      </c>
      <c r="DH115" s="838">
        <f t="shared" si="38"/>
        <v>700.28571428571422</v>
      </c>
      <c r="DI115" s="838">
        <f t="shared" si="38"/>
        <v>549.02857142857147</v>
      </c>
      <c r="DJ115" s="838">
        <f t="shared" si="38"/>
        <v>638.90476190476193</v>
      </c>
      <c r="DK115" s="838">
        <f t="shared" si="38"/>
        <v>820</v>
      </c>
      <c r="DL115" s="838">
        <f t="shared" si="38"/>
        <v>107.0952380952381</v>
      </c>
      <c r="DM115" s="838">
        <f t="shared" si="38"/>
        <v>87.19047619047619</v>
      </c>
      <c r="DN115" s="838">
        <f t="shared" si="38"/>
        <v>20.285714285714285</v>
      </c>
      <c r="DO115" s="838">
        <f t="shared" si="38"/>
        <v>220.38095238095238</v>
      </c>
      <c r="DP115" s="838">
        <f>SUM(DP232:DP237)/42*DP210</f>
        <v>689.71428571428567</v>
      </c>
      <c r="DQ115" s="838">
        <f t="shared" ref="DQ115:DV115" si="39">SUM(DQ232:DQ232)/42*DQ210</f>
        <v>0</v>
      </c>
      <c r="DR115" s="838">
        <f t="shared" si="39"/>
        <v>0</v>
      </c>
      <c r="DS115" s="838">
        <f t="shared" si="39"/>
        <v>0</v>
      </c>
      <c r="DT115" s="838">
        <f t="shared" si="39"/>
        <v>0</v>
      </c>
      <c r="DU115" s="838">
        <f t="shared" si="39"/>
        <v>0</v>
      </c>
      <c r="DV115" s="838">
        <f t="shared" si="39"/>
        <v>0</v>
      </c>
      <c r="DW115" s="839">
        <f>SUM(B115:DV115)</f>
        <v>114495.06209285714</v>
      </c>
      <c r="DX115" s="840" t="s">
        <v>77</v>
      </c>
      <c r="DY115" s="659"/>
    </row>
    <row r="116" spans="1:129" ht="4.5" customHeight="1" thickTop="1" thickBot="1">
      <c r="A116" s="841"/>
      <c r="B116" s="665"/>
      <c r="C116" s="665"/>
      <c r="D116" s="665"/>
      <c r="E116" s="665"/>
      <c r="F116" s="665"/>
      <c r="G116" s="665"/>
      <c r="H116" s="665"/>
      <c r="I116" s="665"/>
      <c r="J116" s="665"/>
      <c r="K116" s="665"/>
      <c r="L116" s="665"/>
      <c r="M116" s="665"/>
      <c r="N116" s="665"/>
      <c r="O116" s="665"/>
      <c r="P116" s="670"/>
      <c r="Q116" s="668"/>
      <c r="R116" s="665"/>
      <c r="S116" s="665"/>
      <c r="T116" s="842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665"/>
      <c r="AE116" s="665"/>
      <c r="AF116" s="665"/>
      <c r="AG116" s="665"/>
      <c r="AH116" s="665"/>
      <c r="AI116" s="665"/>
      <c r="AJ116" s="665"/>
      <c r="AK116" s="665"/>
      <c r="AL116" s="665"/>
      <c r="AM116" s="666"/>
      <c r="AN116" s="666"/>
      <c r="AO116" s="666"/>
      <c r="AP116" s="666"/>
      <c r="AQ116" s="665"/>
      <c r="AR116" s="665"/>
      <c r="AS116" s="665"/>
      <c r="AT116" s="665"/>
      <c r="AU116" s="665"/>
      <c r="AV116" s="665"/>
      <c r="AW116" s="843"/>
      <c r="AX116" s="843"/>
      <c r="AY116" s="665"/>
      <c r="AZ116" s="665"/>
      <c r="BA116" s="665"/>
      <c r="BB116" s="665"/>
      <c r="BC116" s="66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665"/>
      <c r="BO116" s="665"/>
      <c r="BP116" s="665"/>
      <c r="BQ116" s="665"/>
      <c r="BR116" s="665"/>
      <c r="BS116" s="665"/>
      <c r="BT116" s="665"/>
      <c r="BU116" s="665"/>
      <c r="BV116" s="665"/>
      <c r="BW116" s="665"/>
      <c r="BX116" s="665"/>
      <c r="BY116" s="665"/>
      <c r="BZ116" s="665"/>
      <c r="CA116" s="665"/>
      <c r="CB116" s="665"/>
      <c r="CC116" s="665"/>
      <c r="CD116" s="666"/>
      <c r="CE116" s="666"/>
      <c r="CF116" s="666"/>
      <c r="CG116" s="666"/>
      <c r="CH116" s="666"/>
      <c r="CI116" s="666"/>
      <c r="CJ116" s="666"/>
      <c r="CK116" s="665"/>
      <c r="CL116" s="665"/>
      <c r="CM116" s="665"/>
      <c r="CN116" s="665"/>
      <c r="CO116" s="665"/>
      <c r="CP116" s="665"/>
      <c r="CQ116" s="665"/>
      <c r="CR116" s="665"/>
      <c r="CS116" s="665"/>
      <c r="CT116" s="665"/>
      <c r="CU116" s="665"/>
      <c r="CV116" s="665"/>
      <c r="CW116" s="665"/>
      <c r="CX116" s="665"/>
      <c r="CY116" s="665"/>
      <c r="CZ116" s="665"/>
      <c r="DA116" s="665"/>
      <c r="DB116" s="665"/>
      <c r="DC116" s="665"/>
      <c r="DD116" s="665"/>
      <c r="DE116" s="665"/>
      <c r="DF116" s="665"/>
      <c r="DG116" s="665"/>
      <c r="DH116" s="665"/>
      <c r="DI116" s="665"/>
      <c r="DJ116" s="668"/>
      <c r="DK116" s="665"/>
      <c r="DL116" s="665"/>
      <c r="DM116" s="665"/>
      <c r="DN116" s="665"/>
      <c r="DO116" s="665"/>
      <c r="DP116" s="665"/>
      <c r="DQ116" s="665"/>
      <c r="DR116" s="669"/>
      <c r="DS116" s="665"/>
      <c r="DT116" s="665"/>
      <c r="DU116" s="665"/>
      <c r="DV116" s="670"/>
      <c r="DW116" s="665"/>
      <c r="DX116" s="844"/>
      <c r="DY116" s="659"/>
    </row>
    <row r="117" spans="1:129" ht="15.75" customHeight="1" thickTop="1">
      <c r="A117" s="845" t="s">
        <v>644</v>
      </c>
      <c r="B117" s="846"/>
      <c r="C117" s="846"/>
      <c r="D117" s="846"/>
      <c r="E117" s="846"/>
      <c r="F117" s="846"/>
      <c r="G117" s="846"/>
      <c r="H117" s="846"/>
      <c r="I117" s="846"/>
      <c r="J117" s="846"/>
      <c r="K117" s="846"/>
      <c r="L117" s="846"/>
      <c r="M117" s="846"/>
      <c r="N117" s="847"/>
      <c r="O117" s="847"/>
      <c r="P117" s="848"/>
      <c r="Q117" s="849"/>
      <c r="R117" s="850"/>
      <c r="S117" s="850"/>
      <c r="T117" s="847" t="s">
        <v>40</v>
      </c>
      <c r="U117" s="850"/>
      <c r="V117" s="850"/>
      <c r="W117" s="850"/>
      <c r="X117" s="850"/>
      <c r="Y117" s="846"/>
      <c r="Z117" s="846"/>
      <c r="AA117" s="851"/>
      <c r="AB117" s="851"/>
      <c r="AC117" s="851"/>
      <c r="AD117" s="851"/>
      <c r="AE117" s="851"/>
      <c r="AF117" s="851"/>
      <c r="AG117" s="851"/>
      <c r="AH117" s="851"/>
      <c r="AI117" s="851"/>
      <c r="AJ117" s="851"/>
      <c r="AK117" s="851"/>
      <c r="AL117" s="852"/>
      <c r="AM117" s="853"/>
      <c r="AN117" s="853"/>
      <c r="AO117" s="854"/>
      <c r="AP117" s="854"/>
      <c r="AQ117" s="846"/>
      <c r="AR117" s="849"/>
      <c r="AS117" s="849"/>
      <c r="AT117" s="849"/>
      <c r="AU117" s="849"/>
      <c r="AV117" s="849"/>
      <c r="AW117" s="855"/>
      <c r="AX117" s="856"/>
      <c r="AY117" s="851"/>
      <c r="AZ117" s="851"/>
      <c r="BA117" s="852"/>
      <c r="BB117" s="852"/>
      <c r="BC117" s="852"/>
      <c r="BD117" s="852"/>
      <c r="BE117" s="852"/>
      <c r="BF117" s="852"/>
      <c r="BG117" s="852"/>
      <c r="BH117" s="852"/>
      <c r="BI117" s="852"/>
      <c r="BJ117" s="852"/>
      <c r="BK117" s="852"/>
      <c r="BL117" s="851"/>
      <c r="BM117" s="851"/>
      <c r="BN117" s="851"/>
      <c r="BO117" s="852"/>
      <c r="BP117" s="852"/>
      <c r="BQ117" s="852"/>
      <c r="BR117" s="852"/>
      <c r="BS117" s="852"/>
      <c r="BT117" s="852"/>
      <c r="BU117" s="852"/>
      <c r="BV117" s="857"/>
      <c r="BW117" s="851"/>
      <c r="BX117" s="851"/>
      <c r="BY117" s="851"/>
      <c r="BZ117" s="852"/>
      <c r="CA117" s="852"/>
      <c r="CB117" s="852"/>
      <c r="CC117" s="852"/>
      <c r="CD117" s="854"/>
      <c r="CE117" s="854"/>
      <c r="CF117" s="854"/>
      <c r="CG117" s="854"/>
      <c r="CH117" s="854"/>
      <c r="CI117" s="854"/>
      <c r="CJ117" s="854"/>
      <c r="CK117" s="852"/>
      <c r="CL117" s="852"/>
      <c r="CM117" s="852"/>
      <c r="CN117" s="852"/>
      <c r="CO117" s="852"/>
      <c r="CP117" s="858"/>
      <c r="CQ117" s="849"/>
      <c r="CR117" s="859"/>
      <c r="CS117" s="850"/>
      <c r="CT117" s="860"/>
      <c r="CU117" s="850"/>
      <c r="CV117" s="861"/>
      <c r="CW117" s="862"/>
      <c r="CX117" s="856"/>
      <c r="CY117" s="858"/>
      <c r="CZ117" s="846"/>
      <c r="DA117" s="863"/>
      <c r="DB117" s="851"/>
      <c r="DC117" s="851"/>
      <c r="DD117" s="851"/>
      <c r="DE117" s="851"/>
      <c r="DF117" s="852"/>
      <c r="DG117" s="852"/>
      <c r="DH117" s="846"/>
      <c r="DI117" s="850"/>
      <c r="DJ117" s="863"/>
      <c r="DK117" s="852"/>
      <c r="DL117" s="852"/>
      <c r="DM117" s="852"/>
      <c r="DN117" s="852"/>
      <c r="DO117" s="852"/>
      <c r="DP117" s="852"/>
      <c r="DQ117" s="864"/>
      <c r="DR117" s="865"/>
      <c r="DS117" s="864"/>
      <c r="DT117" s="864"/>
      <c r="DU117" s="864"/>
      <c r="DV117" s="866"/>
      <c r="DW117" s="866"/>
      <c r="DX117" s="867" t="s">
        <v>644</v>
      </c>
      <c r="DY117" s="659"/>
    </row>
    <row r="118" spans="1:129" ht="21" customHeight="1">
      <c r="A118" s="868" t="s">
        <v>958</v>
      </c>
      <c r="B118" s="869">
        <v>491.7</v>
      </c>
      <c r="C118" s="869">
        <v>6</v>
      </c>
      <c r="D118" s="869">
        <v>63</v>
      </c>
      <c r="E118" s="869">
        <v>27</v>
      </c>
      <c r="F118" s="869">
        <v>417.36</v>
      </c>
      <c r="G118" s="869">
        <v>0</v>
      </c>
      <c r="H118" s="869">
        <v>130.24</v>
      </c>
      <c r="I118" s="869">
        <v>80</v>
      </c>
      <c r="J118" s="869">
        <v>250.32</v>
      </c>
      <c r="K118" s="869">
        <v>0</v>
      </c>
      <c r="L118" s="869">
        <v>2016</v>
      </c>
      <c r="M118" s="869">
        <v>0</v>
      </c>
      <c r="N118" s="870">
        <v>609.76</v>
      </c>
      <c r="O118" s="870">
        <v>50.32</v>
      </c>
      <c r="P118" s="871">
        <v>91.76</v>
      </c>
      <c r="Q118" s="872">
        <v>2036.16</v>
      </c>
      <c r="R118" s="873">
        <v>204</v>
      </c>
      <c r="S118" s="873">
        <v>5222</v>
      </c>
      <c r="T118" s="870">
        <v>181.8</v>
      </c>
      <c r="U118" s="873">
        <v>142.80000000000001</v>
      </c>
      <c r="V118" s="873">
        <v>19.2</v>
      </c>
      <c r="W118" s="873">
        <v>27.6</v>
      </c>
      <c r="X118" s="873">
        <v>540</v>
      </c>
      <c r="Y118" s="869">
        <v>1018.98</v>
      </c>
      <c r="Z118" s="869">
        <v>0</v>
      </c>
      <c r="AA118" s="874">
        <v>338.56</v>
      </c>
      <c r="AB118" s="874">
        <v>510.36</v>
      </c>
      <c r="AC118" s="874">
        <v>12.24</v>
      </c>
      <c r="AD118" s="874">
        <v>1099.2</v>
      </c>
      <c r="AE118" s="874">
        <v>42</v>
      </c>
      <c r="AF118" s="874">
        <v>123.2</v>
      </c>
      <c r="AG118" s="874">
        <v>707</v>
      </c>
      <c r="AH118" s="874">
        <v>25.76</v>
      </c>
      <c r="AI118" s="874">
        <v>912</v>
      </c>
      <c r="AJ118" s="874">
        <v>693</v>
      </c>
      <c r="AK118" s="874">
        <v>288</v>
      </c>
      <c r="AL118" s="875">
        <v>132.47999999999999</v>
      </c>
      <c r="AM118" s="876">
        <v>1071.4000000000001</v>
      </c>
      <c r="AN118" s="876">
        <v>216</v>
      </c>
      <c r="AO118" s="877">
        <v>1404</v>
      </c>
      <c r="AP118" s="877">
        <v>2.4</v>
      </c>
      <c r="AQ118" s="869">
        <v>184</v>
      </c>
      <c r="AR118" s="872">
        <v>14.56</v>
      </c>
      <c r="AS118" s="872">
        <v>6.8</v>
      </c>
      <c r="AT118" s="872">
        <v>68</v>
      </c>
      <c r="AU118" s="872">
        <v>1.9</v>
      </c>
      <c r="AV118" s="872">
        <v>0</v>
      </c>
      <c r="AW118" s="878">
        <v>0</v>
      </c>
      <c r="AX118" s="879">
        <v>0</v>
      </c>
      <c r="AY118" s="874">
        <v>1221</v>
      </c>
      <c r="AZ118" s="874">
        <v>26.5</v>
      </c>
      <c r="BA118" s="875">
        <v>137</v>
      </c>
      <c r="BB118" s="875">
        <v>123.2</v>
      </c>
      <c r="BC118" s="875">
        <v>0</v>
      </c>
      <c r="BD118" s="875">
        <v>360</v>
      </c>
      <c r="BE118" s="875">
        <v>33</v>
      </c>
      <c r="BF118" s="875">
        <v>0</v>
      </c>
      <c r="BG118" s="875">
        <v>288</v>
      </c>
      <c r="BH118" s="875">
        <v>129.6</v>
      </c>
      <c r="BI118" s="875">
        <v>62</v>
      </c>
      <c r="BJ118" s="875">
        <v>735</v>
      </c>
      <c r="BK118" s="875">
        <v>12</v>
      </c>
      <c r="BL118" s="874">
        <v>21.2</v>
      </c>
      <c r="BM118" s="874">
        <v>459</v>
      </c>
      <c r="BN118" s="874">
        <v>20.5</v>
      </c>
      <c r="BO118" s="875">
        <v>1521.6</v>
      </c>
      <c r="BP118" s="875">
        <v>296</v>
      </c>
      <c r="BQ118" s="875">
        <v>33</v>
      </c>
      <c r="BR118" s="875">
        <v>222</v>
      </c>
      <c r="BS118" s="875">
        <v>60</v>
      </c>
      <c r="BT118" s="875">
        <v>359.2</v>
      </c>
      <c r="BU118" s="875">
        <v>0</v>
      </c>
      <c r="BV118" s="880">
        <v>261</v>
      </c>
      <c r="BW118" s="874">
        <v>416.25</v>
      </c>
      <c r="BX118" s="874">
        <v>12</v>
      </c>
      <c r="BY118" s="874">
        <v>60</v>
      </c>
      <c r="BZ118" s="875">
        <v>32.4</v>
      </c>
      <c r="CA118" s="875">
        <v>0.84</v>
      </c>
      <c r="CB118" s="875">
        <v>16.2</v>
      </c>
      <c r="CC118" s="875">
        <v>0</v>
      </c>
      <c r="CD118" s="877">
        <v>267</v>
      </c>
      <c r="CE118" s="877">
        <v>1856.4</v>
      </c>
      <c r="CF118" s="877">
        <v>288</v>
      </c>
      <c r="CG118" s="877">
        <v>1576.8</v>
      </c>
      <c r="CH118" s="877">
        <v>324</v>
      </c>
      <c r="CI118" s="877">
        <v>22.8</v>
      </c>
      <c r="CJ118" s="877">
        <v>39.6</v>
      </c>
      <c r="CK118" s="875">
        <v>0</v>
      </c>
      <c r="CL118" s="875">
        <v>664.8</v>
      </c>
      <c r="CM118" s="875">
        <v>85</v>
      </c>
      <c r="CN118" s="875">
        <v>88.8</v>
      </c>
      <c r="CO118" s="875">
        <v>0</v>
      </c>
      <c r="CP118" s="881">
        <v>85</v>
      </c>
      <c r="CQ118" s="872">
        <v>19.5</v>
      </c>
      <c r="CR118" s="882">
        <v>444</v>
      </c>
      <c r="CS118" s="873">
        <v>30</v>
      </c>
      <c r="CT118" s="883">
        <v>139.6</v>
      </c>
      <c r="CU118" s="873">
        <v>1188</v>
      </c>
      <c r="CV118" s="884">
        <v>0</v>
      </c>
      <c r="CW118" s="885">
        <v>306.72000000000003</v>
      </c>
      <c r="CX118" s="879">
        <v>86.4</v>
      </c>
      <c r="CY118" s="881">
        <v>213.84</v>
      </c>
      <c r="CZ118" s="869">
        <v>94.14</v>
      </c>
      <c r="DA118" s="886">
        <v>260.25</v>
      </c>
      <c r="DB118" s="874">
        <v>841.5</v>
      </c>
      <c r="DC118" s="874">
        <v>474</v>
      </c>
      <c r="DD118" s="874">
        <v>444</v>
      </c>
      <c r="DE118" s="874">
        <v>43.2</v>
      </c>
      <c r="DF118" s="875">
        <v>697.5</v>
      </c>
      <c r="DG118" s="875">
        <v>0</v>
      </c>
      <c r="DH118" s="869">
        <v>348</v>
      </c>
      <c r="DI118" s="873">
        <v>74.400000000000006</v>
      </c>
      <c r="DJ118" s="886">
        <v>75</v>
      </c>
      <c r="DK118" s="875">
        <v>68</v>
      </c>
      <c r="DL118" s="875">
        <v>9</v>
      </c>
      <c r="DM118" s="875">
        <v>3.5</v>
      </c>
      <c r="DN118" s="875">
        <v>11</v>
      </c>
      <c r="DO118" s="875">
        <v>244</v>
      </c>
      <c r="DP118" s="875">
        <v>126</v>
      </c>
      <c r="DQ118" s="887"/>
      <c r="DR118" s="888"/>
      <c r="DS118" s="887"/>
      <c r="DT118" s="887"/>
      <c r="DU118" s="887"/>
      <c r="DV118" s="889" t="s">
        <v>40</v>
      </c>
      <c r="DW118" s="890">
        <f t="shared" ref="DW118:DW128" si="40">SUM(B118:DV118)</f>
        <v>39937.100000000006</v>
      </c>
      <c r="DX118" s="868"/>
      <c r="DY118" s="659"/>
    </row>
    <row r="119" spans="1:129" ht="19.5" customHeight="1">
      <c r="A119" s="868" t="s">
        <v>975</v>
      </c>
      <c r="B119" s="869">
        <v>115.5</v>
      </c>
      <c r="C119" s="869">
        <v>99</v>
      </c>
      <c r="D119" s="869">
        <v>837</v>
      </c>
      <c r="E119" s="869">
        <v>162</v>
      </c>
      <c r="F119" s="869">
        <v>639.36</v>
      </c>
      <c r="G119" s="869">
        <v>36</v>
      </c>
      <c r="H119" s="869">
        <v>23.68</v>
      </c>
      <c r="I119" s="869">
        <v>6</v>
      </c>
      <c r="J119" s="869">
        <v>530.88</v>
      </c>
      <c r="K119" s="869">
        <v>55.32</v>
      </c>
      <c r="L119" s="869">
        <v>0</v>
      </c>
      <c r="M119" s="869">
        <v>0</v>
      </c>
      <c r="N119" s="870">
        <v>426.24</v>
      </c>
      <c r="O119" s="870">
        <v>109.52</v>
      </c>
      <c r="P119" s="871">
        <v>139.12</v>
      </c>
      <c r="Q119" s="872">
        <v>291.2</v>
      </c>
      <c r="R119" s="873">
        <v>0</v>
      </c>
      <c r="S119" s="873">
        <v>4674.88</v>
      </c>
      <c r="T119" s="870">
        <v>214.2</v>
      </c>
      <c r="U119" s="873">
        <v>662.4</v>
      </c>
      <c r="V119" s="873">
        <v>85.2</v>
      </c>
      <c r="W119" s="873">
        <v>9.6</v>
      </c>
      <c r="X119" s="873">
        <v>0</v>
      </c>
      <c r="Y119" s="869">
        <v>730.38</v>
      </c>
      <c r="Z119" s="869">
        <v>0</v>
      </c>
      <c r="AA119" s="874">
        <v>894.24</v>
      </c>
      <c r="AB119" s="874">
        <v>154.80000000000001</v>
      </c>
      <c r="AC119" s="874">
        <v>74.400000000000006</v>
      </c>
      <c r="AD119" s="874">
        <v>0</v>
      </c>
      <c r="AE119" s="874">
        <v>6</v>
      </c>
      <c r="AF119" s="874">
        <v>35.840000000000003</v>
      </c>
      <c r="AG119" s="874">
        <v>338.24</v>
      </c>
      <c r="AH119" s="874">
        <v>64.959999999999994</v>
      </c>
      <c r="AI119" s="874">
        <v>825.6</v>
      </c>
      <c r="AJ119" s="874">
        <v>268.2</v>
      </c>
      <c r="AK119" s="874">
        <v>499.2</v>
      </c>
      <c r="AL119" s="875">
        <v>106.72</v>
      </c>
      <c r="AM119" s="876">
        <v>3565.8</v>
      </c>
      <c r="AN119" s="876">
        <v>0</v>
      </c>
      <c r="AO119" s="877">
        <v>486</v>
      </c>
      <c r="AP119" s="877">
        <v>9.6</v>
      </c>
      <c r="AQ119" s="869">
        <v>487.6</v>
      </c>
      <c r="AR119" s="872">
        <v>110.24</v>
      </c>
      <c r="AS119" s="872">
        <v>48.4</v>
      </c>
      <c r="AT119" s="872">
        <v>0</v>
      </c>
      <c r="AU119" s="872">
        <v>7.6</v>
      </c>
      <c r="AV119" s="872">
        <v>0</v>
      </c>
      <c r="AW119" s="891">
        <v>0</v>
      </c>
      <c r="AX119" s="879">
        <v>0</v>
      </c>
      <c r="AY119" s="874">
        <v>600</v>
      </c>
      <c r="AZ119" s="874">
        <v>134</v>
      </c>
      <c r="BA119" s="875">
        <v>23</v>
      </c>
      <c r="BB119" s="875">
        <v>597.6</v>
      </c>
      <c r="BC119" s="875">
        <v>132</v>
      </c>
      <c r="BD119" s="875">
        <v>114</v>
      </c>
      <c r="BE119" s="875">
        <v>49.5</v>
      </c>
      <c r="BF119" s="875">
        <v>37.6</v>
      </c>
      <c r="BG119" s="875">
        <v>0</v>
      </c>
      <c r="BH119" s="875">
        <v>42</v>
      </c>
      <c r="BI119" s="875">
        <v>27</v>
      </c>
      <c r="BJ119" s="875">
        <v>0</v>
      </c>
      <c r="BK119" s="875">
        <v>21</v>
      </c>
      <c r="BL119" s="874">
        <v>33.6</v>
      </c>
      <c r="BM119" s="874">
        <v>470</v>
      </c>
      <c r="BN119" s="874">
        <v>64</v>
      </c>
      <c r="BO119" s="875">
        <v>1247.2</v>
      </c>
      <c r="BP119" s="875">
        <v>74.400000000000006</v>
      </c>
      <c r="BQ119" s="875">
        <v>43.5</v>
      </c>
      <c r="BR119" s="875">
        <v>56.4</v>
      </c>
      <c r="BS119" s="875">
        <v>30</v>
      </c>
      <c r="BT119" s="875">
        <v>0</v>
      </c>
      <c r="BU119" s="875">
        <v>282</v>
      </c>
      <c r="BV119" s="880">
        <v>82.5</v>
      </c>
      <c r="BW119" s="874">
        <v>831</v>
      </c>
      <c r="BX119" s="874">
        <v>36</v>
      </c>
      <c r="BY119" s="874">
        <v>301.2</v>
      </c>
      <c r="BZ119" s="875">
        <v>43.2</v>
      </c>
      <c r="CA119" s="875">
        <v>81.48</v>
      </c>
      <c r="CB119" s="875">
        <v>68.400000000000006</v>
      </c>
      <c r="CC119" s="875">
        <v>0</v>
      </c>
      <c r="CD119" s="877">
        <v>2049</v>
      </c>
      <c r="CE119" s="877">
        <v>10830</v>
      </c>
      <c r="CF119" s="877">
        <v>0</v>
      </c>
      <c r="CG119" s="877">
        <v>0</v>
      </c>
      <c r="CH119" s="877">
        <v>133.5</v>
      </c>
      <c r="CI119" s="877">
        <v>4.8</v>
      </c>
      <c r="CJ119" s="877">
        <v>4.8</v>
      </c>
      <c r="CK119" s="875">
        <v>0</v>
      </c>
      <c r="CL119" s="875">
        <v>92.4</v>
      </c>
      <c r="CM119" s="875">
        <v>146.4</v>
      </c>
      <c r="CN119" s="875">
        <v>109.2</v>
      </c>
      <c r="CO119" s="875">
        <v>9</v>
      </c>
      <c r="CP119" s="881">
        <v>27</v>
      </c>
      <c r="CQ119" s="872">
        <v>48</v>
      </c>
      <c r="CR119" s="882">
        <v>1230</v>
      </c>
      <c r="CS119" s="873">
        <v>14.4</v>
      </c>
      <c r="CT119" s="883">
        <v>822</v>
      </c>
      <c r="CU119" s="873">
        <v>0</v>
      </c>
      <c r="CV119" s="884">
        <v>0</v>
      </c>
      <c r="CW119" s="885">
        <v>704.16</v>
      </c>
      <c r="CX119" s="879">
        <v>0</v>
      </c>
      <c r="CY119" s="881">
        <v>378</v>
      </c>
      <c r="CZ119" s="869">
        <v>124.2</v>
      </c>
      <c r="DA119" s="886">
        <v>756</v>
      </c>
      <c r="DB119" s="874">
        <v>1782</v>
      </c>
      <c r="DC119" s="874">
        <v>1425</v>
      </c>
      <c r="DD119" s="874">
        <v>243</v>
      </c>
      <c r="DE119" s="874">
        <v>18</v>
      </c>
      <c r="DF119" s="875">
        <v>0</v>
      </c>
      <c r="DG119" s="875">
        <v>10.5</v>
      </c>
      <c r="DH119" s="869">
        <v>2172</v>
      </c>
      <c r="DI119" s="873">
        <v>202.8</v>
      </c>
      <c r="DJ119" s="886">
        <v>597</v>
      </c>
      <c r="DK119" s="875">
        <v>108</v>
      </c>
      <c r="DL119" s="875">
        <v>66</v>
      </c>
      <c r="DM119" s="875">
        <v>129</v>
      </c>
      <c r="DN119" s="875">
        <v>24</v>
      </c>
      <c r="DO119" s="875">
        <v>6</v>
      </c>
      <c r="DP119" s="875">
        <v>252</v>
      </c>
      <c r="DQ119" s="887"/>
      <c r="DR119" s="888"/>
      <c r="DS119" s="887"/>
      <c r="DT119" s="887"/>
      <c r="DU119" s="887"/>
      <c r="DV119" s="889" t="s">
        <v>40</v>
      </c>
      <c r="DW119" s="890">
        <f t="shared" si="40"/>
        <v>47871.660000000011</v>
      </c>
      <c r="DX119" s="868"/>
      <c r="DY119" s="659"/>
    </row>
    <row r="120" spans="1:129" ht="21" customHeight="1">
      <c r="A120" s="868"/>
      <c r="B120" s="869"/>
      <c r="C120" s="869"/>
      <c r="D120" s="869"/>
      <c r="E120" s="869"/>
      <c r="F120" s="869"/>
      <c r="G120" s="869"/>
      <c r="H120" s="869"/>
      <c r="I120" s="869"/>
      <c r="J120" s="869"/>
      <c r="K120" s="869"/>
      <c r="L120" s="869"/>
      <c r="M120" s="869"/>
      <c r="N120" s="870"/>
      <c r="O120" s="870"/>
      <c r="P120" s="871"/>
      <c r="Q120" s="872"/>
      <c r="R120" s="873"/>
      <c r="S120" s="873"/>
      <c r="T120" s="870"/>
      <c r="U120" s="873"/>
      <c r="V120" s="873"/>
      <c r="W120" s="873"/>
      <c r="X120" s="873"/>
      <c r="Y120" s="869"/>
      <c r="Z120" s="869"/>
      <c r="AA120" s="874"/>
      <c r="AB120" s="874"/>
      <c r="AC120" s="874"/>
      <c r="AD120" s="874"/>
      <c r="AE120" s="874"/>
      <c r="AF120" s="874"/>
      <c r="AG120" s="874"/>
      <c r="AH120" s="874"/>
      <c r="AI120" s="874"/>
      <c r="AJ120" s="874"/>
      <c r="AK120" s="874"/>
      <c r="AL120" s="875"/>
      <c r="AM120" s="876"/>
      <c r="AN120" s="876"/>
      <c r="AO120" s="877"/>
      <c r="AP120" s="877"/>
      <c r="AQ120" s="869"/>
      <c r="AR120" s="872"/>
      <c r="AS120" s="872"/>
      <c r="AT120" s="872"/>
      <c r="AU120" s="872"/>
      <c r="AV120" s="872"/>
      <c r="AW120" s="878"/>
      <c r="AX120" s="879"/>
      <c r="AY120" s="874"/>
      <c r="AZ120" s="874"/>
      <c r="BA120" s="875"/>
      <c r="BB120" s="875"/>
      <c r="BC120" s="875"/>
      <c r="BD120" s="875"/>
      <c r="BE120" s="875"/>
      <c r="BF120" s="875"/>
      <c r="BG120" s="875"/>
      <c r="BH120" s="875"/>
      <c r="BI120" s="875"/>
      <c r="BJ120" s="875"/>
      <c r="BK120" s="875"/>
      <c r="BL120" s="874"/>
      <c r="BM120" s="874"/>
      <c r="BN120" s="874"/>
      <c r="BO120" s="875"/>
      <c r="BP120" s="875"/>
      <c r="BQ120" s="875"/>
      <c r="BR120" s="875"/>
      <c r="BS120" s="875"/>
      <c r="BT120" s="875"/>
      <c r="BU120" s="875"/>
      <c r="BV120" s="880"/>
      <c r="BW120" s="874"/>
      <c r="BX120" s="874"/>
      <c r="BY120" s="874"/>
      <c r="BZ120" s="875"/>
      <c r="CA120" s="875"/>
      <c r="CB120" s="875"/>
      <c r="CC120" s="875"/>
      <c r="CD120" s="877"/>
      <c r="CE120" s="877"/>
      <c r="CF120" s="877"/>
      <c r="CG120" s="877"/>
      <c r="CH120" s="877"/>
      <c r="CI120" s="877"/>
      <c r="CJ120" s="877"/>
      <c r="CK120" s="875"/>
      <c r="CL120" s="875"/>
      <c r="CM120" s="875"/>
      <c r="CN120" s="875"/>
      <c r="CO120" s="875"/>
      <c r="CP120" s="881"/>
      <c r="CQ120" s="872"/>
      <c r="CR120" s="882"/>
      <c r="CS120" s="873"/>
      <c r="CT120" s="883"/>
      <c r="CU120" s="873"/>
      <c r="CV120" s="884"/>
      <c r="CW120" s="885"/>
      <c r="CX120" s="879"/>
      <c r="CY120" s="881"/>
      <c r="CZ120" s="869"/>
      <c r="DA120" s="886"/>
      <c r="DB120" s="874"/>
      <c r="DC120" s="874"/>
      <c r="DD120" s="874"/>
      <c r="DE120" s="874"/>
      <c r="DF120" s="875"/>
      <c r="DG120" s="875"/>
      <c r="DH120" s="869"/>
      <c r="DI120" s="873"/>
      <c r="DJ120" s="886"/>
      <c r="DK120" s="875"/>
      <c r="DL120" s="875"/>
      <c r="DM120" s="875"/>
      <c r="DN120" s="875"/>
      <c r="DO120" s="875"/>
      <c r="DP120" s="875"/>
      <c r="DQ120" s="887"/>
      <c r="DR120" s="888" t="s">
        <v>40</v>
      </c>
      <c r="DS120" s="887"/>
      <c r="DT120" s="887"/>
      <c r="DU120" s="887"/>
      <c r="DV120" s="889"/>
      <c r="DW120" s="890">
        <f t="shared" si="40"/>
        <v>0</v>
      </c>
      <c r="DX120" s="868"/>
      <c r="DY120" s="659"/>
    </row>
    <row r="121" spans="1:129" ht="21" customHeight="1">
      <c r="A121" s="868" t="s">
        <v>40</v>
      </c>
      <c r="B121" s="869" t="s">
        <v>40</v>
      </c>
      <c r="C121" s="869" t="s">
        <v>40</v>
      </c>
      <c r="D121" s="869" t="s">
        <v>40</v>
      </c>
      <c r="E121" s="869" t="s">
        <v>40</v>
      </c>
      <c r="F121" s="869" t="s">
        <v>40</v>
      </c>
      <c r="G121" s="869" t="s">
        <v>40</v>
      </c>
      <c r="H121" s="869" t="s">
        <v>40</v>
      </c>
      <c r="I121" s="869" t="s">
        <v>40</v>
      </c>
      <c r="J121" s="869" t="s">
        <v>40</v>
      </c>
      <c r="K121" s="869" t="s">
        <v>40</v>
      </c>
      <c r="L121" s="869" t="s">
        <v>40</v>
      </c>
      <c r="M121" s="869" t="s">
        <v>40</v>
      </c>
      <c r="N121" s="870" t="s">
        <v>40</v>
      </c>
      <c r="O121" s="870" t="s">
        <v>40</v>
      </c>
      <c r="P121" s="871" t="s">
        <v>40</v>
      </c>
      <c r="Q121" s="872" t="s">
        <v>40</v>
      </c>
      <c r="R121" s="873" t="s">
        <v>40</v>
      </c>
      <c r="S121" s="873" t="s">
        <v>40</v>
      </c>
      <c r="T121" s="870" t="s">
        <v>40</v>
      </c>
      <c r="U121" s="873" t="s">
        <v>40</v>
      </c>
      <c r="V121" s="873" t="s">
        <v>40</v>
      </c>
      <c r="W121" s="873" t="s">
        <v>40</v>
      </c>
      <c r="X121" s="873" t="s">
        <v>40</v>
      </c>
      <c r="Y121" s="869" t="s">
        <v>40</v>
      </c>
      <c r="Z121" s="869" t="s">
        <v>40</v>
      </c>
      <c r="AA121" s="874" t="s">
        <v>40</v>
      </c>
      <c r="AB121" s="874" t="s">
        <v>40</v>
      </c>
      <c r="AC121" s="874" t="s">
        <v>40</v>
      </c>
      <c r="AD121" s="874" t="s">
        <v>40</v>
      </c>
      <c r="AE121" s="874" t="s">
        <v>40</v>
      </c>
      <c r="AF121" s="874" t="s">
        <v>40</v>
      </c>
      <c r="AG121" s="874" t="s">
        <v>40</v>
      </c>
      <c r="AH121" s="874" t="s">
        <v>40</v>
      </c>
      <c r="AI121" s="874" t="s">
        <v>40</v>
      </c>
      <c r="AJ121" s="874" t="s">
        <v>40</v>
      </c>
      <c r="AK121" s="874" t="s">
        <v>40</v>
      </c>
      <c r="AL121" s="875" t="s">
        <v>40</v>
      </c>
      <c r="AM121" s="876" t="s">
        <v>40</v>
      </c>
      <c r="AN121" s="876" t="s">
        <v>40</v>
      </c>
      <c r="AO121" s="877" t="s">
        <v>40</v>
      </c>
      <c r="AP121" s="877" t="s">
        <v>40</v>
      </c>
      <c r="AQ121" s="869" t="s">
        <v>40</v>
      </c>
      <c r="AR121" s="872" t="s">
        <v>40</v>
      </c>
      <c r="AS121" s="872" t="s">
        <v>40</v>
      </c>
      <c r="AT121" s="872" t="s">
        <v>40</v>
      </c>
      <c r="AU121" s="872" t="s">
        <v>40</v>
      </c>
      <c r="AV121" s="872" t="s">
        <v>40</v>
      </c>
      <c r="AW121" s="878" t="s">
        <v>40</v>
      </c>
      <c r="AX121" s="879" t="s">
        <v>40</v>
      </c>
      <c r="AY121" s="874" t="s">
        <v>40</v>
      </c>
      <c r="AZ121" s="874" t="s">
        <v>40</v>
      </c>
      <c r="BA121" s="875" t="s">
        <v>40</v>
      </c>
      <c r="BB121" s="875" t="s">
        <v>40</v>
      </c>
      <c r="BC121" s="875" t="s">
        <v>40</v>
      </c>
      <c r="BD121" s="875" t="s">
        <v>40</v>
      </c>
      <c r="BE121" s="875" t="s">
        <v>40</v>
      </c>
      <c r="BF121" s="875" t="s">
        <v>40</v>
      </c>
      <c r="BG121" s="875" t="s">
        <v>40</v>
      </c>
      <c r="BH121" s="875" t="s">
        <v>40</v>
      </c>
      <c r="BI121" s="875" t="s">
        <v>40</v>
      </c>
      <c r="BJ121" s="875" t="s">
        <v>40</v>
      </c>
      <c r="BK121" s="875" t="s">
        <v>40</v>
      </c>
      <c r="BL121" s="874" t="s">
        <v>40</v>
      </c>
      <c r="BM121" s="874" t="s">
        <v>40</v>
      </c>
      <c r="BN121" s="874" t="s">
        <v>40</v>
      </c>
      <c r="BO121" s="875" t="s">
        <v>40</v>
      </c>
      <c r="BP121" s="875" t="s">
        <v>40</v>
      </c>
      <c r="BQ121" s="875" t="s">
        <v>40</v>
      </c>
      <c r="BR121" s="875" t="s">
        <v>40</v>
      </c>
      <c r="BS121" s="875" t="s">
        <v>40</v>
      </c>
      <c r="BT121" s="875" t="s">
        <v>40</v>
      </c>
      <c r="BU121" s="875" t="s">
        <v>40</v>
      </c>
      <c r="BV121" s="880" t="s">
        <v>40</v>
      </c>
      <c r="BW121" s="874" t="s">
        <v>40</v>
      </c>
      <c r="BX121" s="874" t="s">
        <v>40</v>
      </c>
      <c r="BY121" s="874" t="s">
        <v>40</v>
      </c>
      <c r="BZ121" s="875" t="s">
        <v>40</v>
      </c>
      <c r="CA121" s="875" t="s">
        <v>40</v>
      </c>
      <c r="CB121" s="875" t="s">
        <v>40</v>
      </c>
      <c r="CC121" s="875" t="s">
        <v>40</v>
      </c>
      <c r="CD121" s="877" t="s">
        <v>40</v>
      </c>
      <c r="CE121" s="877" t="s">
        <v>40</v>
      </c>
      <c r="CF121" s="877" t="s">
        <v>40</v>
      </c>
      <c r="CG121" s="877" t="s">
        <v>40</v>
      </c>
      <c r="CH121" s="877" t="s">
        <v>40</v>
      </c>
      <c r="CI121" s="877" t="s">
        <v>40</v>
      </c>
      <c r="CJ121" s="877" t="s">
        <v>40</v>
      </c>
      <c r="CK121" s="875" t="s">
        <v>40</v>
      </c>
      <c r="CL121" s="875" t="s">
        <v>40</v>
      </c>
      <c r="CM121" s="875" t="s">
        <v>40</v>
      </c>
      <c r="CN121" s="875" t="s">
        <v>40</v>
      </c>
      <c r="CO121" s="875" t="s">
        <v>40</v>
      </c>
      <c r="CP121" s="881" t="s">
        <v>40</v>
      </c>
      <c r="CQ121" s="872" t="s">
        <v>40</v>
      </c>
      <c r="CR121" s="882" t="s">
        <v>40</v>
      </c>
      <c r="CS121" s="873" t="s">
        <v>40</v>
      </c>
      <c r="CT121" s="883" t="s">
        <v>40</v>
      </c>
      <c r="CU121" s="873" t="s">
        <v>40</v>
      </c>
      <c r="CV121" s="884" t="s">
        <v>40</v>
      </c>
      <c r="CW121" s="885" t="s">
        <v>40</v>
      </c>
      <c r="CX121" s="879" t="s">
        <v>40</v>
      </c>
      <c r="CY121" s="881" t="s">
        <v>40</v>
      </c>
      <c r="CZ121" s="869" t="s">
        <v>40</v>
      </c>
      <c r="DA121" s="886" t="s">
        <v>40</v>
      </c>
      <c r="DB121" s="874" t="s">
        <v>40</v>
      </c>
      <c r="DC121" s="874" t="s">
        <v>40</v>
      </c>
      <c r="DD121" s="874" t="s">
        <v>40</v>
      </c>
      <c r="DE121" s="874" t="s">
        <v>40</v>
      </c>
      <c r="DF121" s="875" t="s">
        <v>40</v>
      </c>
      <c r="DG121" s="875" t="s">
        <v>40</v>
      </c>
      <c r="DH121" s="869" t="s">
        <v>40</v>
      </c>
      <c r="DI121" s="873" t="s">
        <v>287</v>
      </c>
      <c r="DJ121" s="886" t="s">
        <v>40</v>
      </c>
      <c r="DK121" s="875" t="s">
        <v>40</v>
      </c>
      <c r="DL121" s="875" t="s">
        <v>40</v>
      </c>
      <c r="DM121" s="875" t="s">
        <v>40</v>
      </c>
      <c r="DN121" s="875" t="s">
        <v>40</v>
      </c>
      <c r="DO121" s="875" t="s">
        <v>40</v>
      </c>
      <c r="DP121" s="875" t="s">
        <v>40</v>
      </c>
      <c r="DQ121" s="887" t="s">
        <v>40</v>
      </c>
      <c r="DR121" s="888"/>
      <c r="DS121" s="887"/>
      <c r="DT121" s="887"/>
      <c r="DU121" s="887"/>
      <c r="DV121" s="889"/>
      <c r="DW121" s="890">
        <f t="shared" si="40"/>
        <v>0</v>
      </c>
      <c r="DX121" s="892" t="s">
        <v>40</v>
      </c>
      <c r="DY121" s="659"/>
    </row>
    <row r="122" spans="1:129" ht="21" customHeight="1">
      <c r="A122" s="868" t="s">
        <v>40</v>
      </c>
      <c r="B122" s="869" t="s">
        <v>40</v>
      </c>
      <c r="C122" s="869" t="s">
        <v>40</v>
      </c>
      <c r="D122" s="869" t="s">
        <v>40</v>
      </c>
      <c r="E122" s="869" t="s">
        <v>40</v>
      </c>
      <c r="F122" s="869" t="s">
        <v>40</v>
      </c>
      <c r="G122" s="869" t="s">
        <v>40</v>
      </c>
      <c r="H122" s="869" t="s">
        <v>40</v>
      </c>
      <c r="I122" s="869" t="s">
        <v>40</v>
      </c>
      <c r="J122" s="869" t="s">
        <v>40</v>
      </c>
      <c r="K122" s="869" t="s">
        <v>40</v>
      </c>
      <c r="L122" s="869" t="s">
        <v>40</v>
      </c>
      <c r="M122" s="869" t="s">
        <v>40</v>
      </c>
      <c r="N122" s="870" t="s">
        <v>40</v>
      </c>
      <c r="O122" s="870" t="s">
        <v>40</v>
      </c>
      <c r="P122" s="871" t="s">
        <v>40</v>
      </c>
      <c r="Q122" s="872" t="s">
        <v>40</v>
      </c>
      <c r="R122" s="873" t="s">
        <v>40</v>
      </c>
      <c r="S122" s="873" t="s">
        <v>40</v>
      </c>
      <c r="T122" s="870" t="s">
        <v>40</v>
      </c>
      <c r="U122" s="873" t="s">
        <v>40</v>
      </c>
      <c r="V122" s="873" t="s">
        <v>40</v>
      </c>
      <c r="W122" s="873" t="s">
        <v>40</v>
      </c>
      <c r="X122" s="873" t="s">
        <v>40</v>
      </c>
      <c r="Y122" s="869" t="s">
        <v>40</v>
      </c>
      <c r="Z122" s="869" t="s">
        <v>40</v>
      </c>
      <c r="AA122" s="874" t="s">
        <v>40</v>
      </c>
      <c r="AB122" s="874" t="s">
        <v>40</v>
      </c>
      <c r="AC122" s="874" t="s">
        <v>40</v>
      </c>
      <c r="AD122" s="874" t="s">
        <v>40</v>
      </c>
      <c r="AE122" s="874" t="s">
        <v>40</v>
      </c>
      <c r="AF122" s="874" t="s">
        <v>40</v>
      </c>
      <c r="AG122" s="874" t="s">
        <v>40</v>
      </c>
      <c r="AH122" s="874" t="s">
        <v>40</v>
      </c>
      <c r="AI122" s="874" t="s">
        <v>40</v>
      </c>
      <c r="AJ122" s="874" t="s">
        <v>40</v>
      </c>
      <c r="AK122" s="874" t="s">
        <v>40</v>
      </c>
      <c r="AL122" s="875" t="s">
        <v>40</v>
      </c>
      <c r="AM122" s="876" t="s">
        <v>40</v>
      </c>
      <c r="AN122" s="876" t="s">
        <v>40</v>
      </c>
      <c r="AO122" s="877" t="s">
        <v>40</v>
      </c>
      <c r="AP122" s="877" t="s">
        <v>40</v>
      </c>
      <c r="AQ122" s="869" t="s">
        <v>40</v>
      </c>
      <c r="AR122" s="872" t="s">
        <v>40</v>
      </c>
      <c r="AS122" s="872" t="s">
        <v>40</v>
      </c>
      <c r="AT122" s="872" t="s">
        <v>40</v>
      </c>
      <c r="AU122" s="872" t="s">
        <v>40</v>
      </c>
      <c r="AV122" s="872" t="s">
        <v>40</v>
      </c>
      <c r="AW122" s="878" t="s">
        <v>40</v>
      </c>
      <c r="AX122" s="879" t="s">
        <v>40</v>
      </c>
      <c r="AY122" s="874" t="s">
        <v>40</v>
      </c>
      <c r="AZ122" s="874" t="s">
        <v>40</v>
      </c>
      <c r="BA122" s="875" t="s">
        <v>40</v>
      </c>
      <c r="BB122" s="875" t="s">
        <v>40</v>
      </c>
      <c r="BC122" s="875" t="s">
        <v>40</v>
      </c>
      <c r="BD122" s="875" t="s">
        <v>40</v>
      </c>
      <c r="BE122" s="875" t="s">
        <v>40</v>
      </c>
      <c r="BF122" s="875" t="s">
        <v>40</v>
      </c>
      <c r="BG122" s="875" t="s">
        <v>40</v>
      </c>
      <c r="BH122" s="875" t="s">
        <v>40</v>
      </c>
      <c r="BI122" s="875" t="s">
        <v>40</v>
      </c>
      <c r="BJ122" s="875" t="s">
        <v>40</v>
      </c>
      <c r="BK122" s="875" t="s">
        <v>40</v>
      </c>
      <c r="BL122" s="874" t="s">
        <v>40</v>
      </c>
      <c r="BM122" s="874" t="s">
        <v>40</v>
      </c>
      <c r="BN122" s="874" t="s">
        <v>40</v>
      </c>
      <c r="BO122" s="875" t="s">
        <v>40</v>
      </c>
      <c r="BP122" s="875" t="s">
        <v>40</v>
      </c>
      <c r="BQ122" s="875" t="s">
        <v>40</v>
      </c>
      <c r="BR122" s="875" t="s">
        <v>40</v>
      </c>
      <c r="BS122" s="875" t="s">
        <v>40</v>
      </c>
      <c r="BT122" s="875" t="s">
        <v>40</v>
      </c>
      <c r="BU122" s="875" t="s">
        <v>40</v>
      </c>
      <c r="BV122" s="880" t="s">
        <v>40</v>
      </c>
      <c r="BW122" s="874" t="s">
        <v>40</v>
      </c>
      <c r="BX122" s="874" t="s">
        <v>40</v>
      </c>
      <c r="BY122" s="874" t="s">
        <v>40</v>
      </c>
      <c r="BZ122" s="875" t="s">
        <v>40</v>
      </c>
      <c r="CA122" s="875" t="s">
        <v>40</v>
      </c>
      <c r="CB122" s="875" t="s">
        <v>40</v>
      </c>
      <c r="CC122" s="875" t="s">
        <v>40</v>
      </c>
      <c r="CD122" s="877" t="s">
        <v>40</v>
      </c>
      <c r="CE122" s="877" t="s">
        <v>40</v>
      </c>
      <c r="CF122" s="877" t="s">
        <v>40</v>
      </c>
      <c r="CG122" s="877" t="s">
        <v>40</v>
      </c>
      <c r="CH122" s="877" t="s">
        <v>40</v>
      </c>
      <c r="CI122" s="877" t="s">
        <v>40</v>
      </c>
      <c r="CJ122" s="877" t="s">
        <v>40</v>
      </c>
      <c r="CK122" s="875" t="s">
        <v>40</v>
      </c>
      <c r="CL122" s="875" t="s">
        <v>40</v>
      </c>
      <c r="CM122" s="875" t="s">
        <v>40</v>
      </c>
      <c r="CN122" s="875" t="s">
        <v>40</v>
      </c>
      <c r="CO122" s="875" t="s">
        <v>40</v>
      </c>
      <c r="CP122" s="881" t="s">
        <v>40</v>
      </c>
      <c r="CQ122" s="872" t="s">
        <v>40</v>
      </c>
      <c r="CR122" s="882" t="s">
        <v>40</v>
      </c>
      <c r="CS122" s="873" t="s">
        <v>40</v>
      </c>
      <c r="CT122" s="883" t="s">
        <v>40</v>
      </c>
      <c r="CU122" s="873" t="s">
        <v>40</v>
      </c>
      <c r="CV122" s="884" t="s">
        <v>40</v>
      </c>
      <c r="CW122" s="885" t="s">
        <v>40</v>
      </c>
      <c r="CX122" s="879" t="s">
        <v>40</v>
      </c>
      <c r="CY122" s="881" t="s">
        <v>40</v>
      </c>
      <c r="CZ122" s="869" t="s">
        <v>40</v>
      </c>
      <c r="DA122" s="886" t="s">
        <v>40</v>
      </c>
      <c r="DB122" s="874" t="s">
        <v>40</v>
      </c>
      <c r="DC122" s="874" t="s">
        <v>40</v>
      </c>
      <c r="DD122" s="874" t="s">
        <v>40</v>
      </c>
      <c r="DE122" s="874" t="s">
        <v>40</v>
      </c>
      <c r="DF122" s="875" t="s">
        <v>40</v>
      </c>
      <c r="DG122" s="875" t="s">
        <v>40</v>
      </c>
      <c r="DH122" s="869" t="s">
        <v>40</v>
      </c>
      <c r="DI122" s="873" t="s">
        <v>40</v>
      </c>
      <c r="DJ122" s="886" t="s">
        <v>40</v>
      </c>
      <c r="DK122" s="875" t="s">
        <v>40</v>
      </c>
      <c r="DL122" s="875" t="s">
        <v>40</v>
      </c>
      <c r="DM122" s="875" t="s">
        <v>40</v>
      </c>
      <c r="DN122" s="875" t="s">
        <v>40</v>
      </c>
      <c r="DO122" s="875" t="s">
        <v>40</v>
      </c>
      <c r="DP122" s="875" t="s">
        <v>40</v>
      </c>
      <c r="DQ122" s="887"/>
      <c r="DR122" s="888"/>
      <c r="DS122" s="887"/>
      <c r="DT122" s="887"/>
      <c r="DU122" s="887"/>
      <c r="DV122" s="889"/>
      <c r="DW122" s="890">
        <f t="shared" si="40"/>
        <v>0</v>
      </c>
      <c r="DX122" s="892" t="s">
        <v>40</v>
      </c>
      <c r="DY122" s="659"/>
    </row>
    <row r="123" spans="1:129" ht="21" customHeight="1">
      <c r="A123" s="868" t="s">
        <v>40</v>
      </c>
      <c r="B123" s="869" t="s">
        <v>40</v>
      </c>
      <c r="C123" s="869" t="s">
        <v>40</v>
      </c>
      <c r="D123" s="869" t="s">
        <v>40</v>
      </c>
      <c r="E123" s="869" t="s">
        <v>40</v>
      </c>
      <c r="F123" s="869" t="s">
        <v>40</v>
      </c>
      <c r="G123" s="869" t="s">
        <v>40</v>
      </c>
      <c r="H123" s="869" t="s">
        <v>40</v>
      </c>
      <c r="I123" s="869" t="s">
        <v>40</v>
      </c>
      <c r="J123" s="869" t="s">
        <v>40</v>
      </c>
      <c r="K123" s="869" t="s">
        <v>40</v>
      </c>
      <c r="L123" s="869" t="s">
        <v>40</v>
      </c>
      <c r="M123" s="869" t="s">
        <v>40</v>
      </c>
      <c r="N123" s="870" t="s">
        <v>40</v>
      </c>
      <c r="O123" s="870" t="s">
        <v>40</v>
      </c>
      <c r="P123" s="871" t="s">
        <v>40</v>
      </c>
      <c r="Q123" s="872" t="s">
        <v>40</v>
      </c>
      <c r="R123" s="873" t="s">
        <v>40</v>
      </c>
      <c r="S123" s="873" t="s">
        <v>40</v>
      </c>
      <c r="T123" s="870" t="s">
        <v>40</v>
      </c>
      <c r="U123" s="873" t="s">
        <v>40</v>
      </c>
      <c r="V123" s="873" t="s">
        <v>40</v>
      </c>
      <c r="W123" s="873" t="s">
        <v>40</v>
      </c>
      <c r="X123" s="873" t="s">
        <v>40</v>
      </c>
      <c r="Y123" s="869" t="s">
        <v>40</v>
      </c>
      <c r="Z123" s="869" t="s">
        <v>40</v>
      </c>
      <c r="AA123" s="874" t="s">
        <v>40</v>
      </c>
      <c r="AB123" s="874" t="s">
        <v>40</v>
      </c>
      <c r="AC123" s="874" t="s">
        <v>40</v>
      </c>
      <c r="AD123" s="874" t="s">
        <v>40</v>
      </c>
      <c r="AE123" s="874" t="s">
        <v>40</v>
      </c>
      <c r="AF123" s="874" t="s">
        <v>40</v>
      </c>
      <c r="AG123" s="874" t="s">
        <v>40</v>
      </c>
      <c r="AH123" s="874" t="s">
        <v>40</v>
      </c>
      <c r="AI123" s="874" t="s">
        <v>40</v>
      </c>
      <c r="AJ123" s="874" t="s">
        <v>40</v>
      </c>
      <c r="AK123" s="874" t="s">
        <v>40</v>
      </c>
      <c r="AL123" s="875" t="s">
        <v>40</v>
      </c>
      <c r="AM123" s="876" t="s">
        <v>40</v>
      </c>
      <c r="AN123" s="876" t="s">
        <v>40</v>
      </c>
      <c r="AO123" s="877" t="s">
        <v>40</v>
      </c>
      <c r="AP123" s="877" t="s">
        <v>40</v>
      </c>
      <c r="AQ123" s="869" t="s">
        <v>40</v>
      </c>
      <c r="AR123" s="872" t="s">
        <v>40</v>
      </c>
      <c r="AS123" s="872" t="s">
        <v>40</v>
      </c>
      <c r="AT123" s="872" t="s">
        <v>40</v>
      </c>
      <c r="AU123" s="872" t="s">
        <v>40</v>
      </c>
      <c r="AV123" s="872" t="s">
        <v>40</v>
      </c>
      <c r="AW123" s="878" t="s">
        <v>40</v>
      </c>
      <c r="AX123" s="879" t="s">
        <v>40</v>
      </c>
      <c r="AY123" s="874" t="s">
        <v>40</v>
      </c>
      <c r="AZ123" s="874" t="s">
        <v>40</v>
      </c>
      <c r="BA123" s="875" t="s">
        <v>40</v>
      </c>
      <c r="BB123" s="875" t="s">
        <v>40</v>
      </c>
      <c r="BC123" s="875" t="s">
        <v>40</v>
      </c>
      <c r="BD123" s="875" t="s">
        <v>40</v>
      </c>
      <c r="BE123" s="875" t="s">
        <v>40</v>
      </c>
      <c r="BF123" s="875" t="s">
        <v>40</v>
      </c>
      <c r="BG123" s="875" t="s">
        <v>40</v>
      </c>
      <c r="BH123" s="875" t="s">
        <v>40</v>
      </c>
      <c r="BI123" s="875" t="s">
        <v>40</v>
      </c>
      <c r="BJ123" s="875" t="s">
        <v>40</v>
      </c>
      <c r="BK123" s="875" t="s">
        <v>40</v>
      </c>
      <c r="BL123" s="874" t="s">
        <v>40</v>
      </c>
      <c r="BM123" s="874" t="s">
        <v>40</v>
      </c>
      <c r="BN123" s="874" t="s">
        <v>40</v>
      </c>
      <c r="BO123" s="875" t="s">
        <v>40</v>
      </c>
      <c r="BP123" s="875" t="s">
        <v>40</v>
      </c>
      <c r="BQ123" s="875" t="s">
        <v>40</v>
      </c>
      <c r="BR123" s="875" t="s">
        <v>40</v>
      </c>
      <c r="BS123" s="875" t="s">
        <v>40</v>
      </c>
      <c r="BT123" s="875" t="s">
        <v>40</v>
      </c>
      <c r="BU123" s="875" t="s">
        <v>40</v>
      </c>
      <c r="BV123" s="880" t="s">
        <v>40</v>
      </c>
      <c r="BW123" s="874" t="s">
        <v>40</v>
      </c>
      <c r="BX123" s="874" t="s">
        <v>40</v>
      </c>
      <c r="BY123" s="874" t="s">
        <v>40</v>
      </c>
      <c r="BZ123" s="875" t="s">
        <v>40</v>
      </c>
      <c r="CA123" s="875" t="s">
        <v>40</v>
      </c>
      <c r="CB123" s="875" t="s">
        <v>40</v>
      </c>
      <c r="CC123" s="875" t="s">
        <v>40</v>
      </c>
      <c r="CD123" s="877" t="s">
        <v>40</v>
      </c>
      <c r="CE123" s="877" t="s">
        <v>40</v>
      </c>
      <c r="CF123" s="877" t="s">
        <v>40</v>
      </c>
      <c r="CG123" s="877" t="s">
        <v>40</v>
      </c>
      <c r="CH123" s="877" t="s">
        <v>40</v>
      </c>
      <c r="CI123" s="877" t="s">
        <v>40</v>
      </c>
      <c r="CJ123" s="877" t="s">
        <v>40</v>
      </c>
      <c r="CK123" s="875" t="s">
        <v>40</v>
      </c>
      <c r="CL123" s="875" t="s">
        <v>40</v>
      </c>
      <c r="CM123" s="875" t="s">
        <v>40</v>
      </c>
      <c r="CN123" s="875" t="s">
        <v>40</v>
      </c>
      <c r="CO123" s="875" t="s">
        <v>40</v>
      </c>
      <c r="CP123" s="881" t="s">
        <v>40</v>
      </c>
      <c r="CQ123" s="872" t="s">
        <v>40</v>
      </c>
      <c r="CR123" s="882" t="s">
        <v>40</v>
      </c>
      <c r="CS123" s="873" t="s">
        <v>40</v>
      </c>
      <c r="CT123" s="883" t="s">
        <v>40</v>
      </c>
      <c r="CU123" s="873" t="s">
        <v>40</v>
      </c>
      <c r="CV123" s="884" t="s">
        <v>40</v>
      </c>
      <c r="CW123" s="885" t="s">
        <v>40</v>
      </c>
      <c r="CX123" s="879" t="s">
        <v>40</v>
      </c>
      <c r="CY123" s="881" t="s">
        <v>40</v>
      </c>
      <c r="CZ123" s="869" t="s">
        <v>40</v>
      </c>
      <c r="DA123" s="886" t="s">
        <v>40</v>
      </c>
      <c r="DB123" s="874" t="s">
        <v>40</v>
      </c>
      <c r="DC123" s="874" t="s">
        <v>40</v>
      </c>
      <c r="DD123" s="874" t="s">
        <v>40</v>
      </c>
      <c r="DE123" s="874" t="s">
        <v>40</v>
      </c>
      <c r="DF123" s="875" t="s">
        <v>40</v>
      </c>
      <c r="DG123" s="875" t="s">
        <v>40</v>
      </c>
      <c r="DH123" s="869" t="s">
        <v>40</v>
      </c>
      <c r="DI123" s="873" t="s">
        <v>40</v>
      </c>
      <c r="DJ123" s="886" t="s">
        <v>40</v>
      </c>
      <c r="DK123" s="875" t="s">
        <v>40</v>
      </c>
      <c r="DL123" s="875" t="s">
        <v>40</v>
      </c>
      <c r="DM123" s="875" t="s">
        <v>40</v>
      </c>
      <c r="DN123" s="875" t="s">
        <v>40</v>
      </c>
      <c r="DO123" s="875" t="s">
        <v>40</v>
      </c>
      <c r="DP123" s="875" t="s">
        <v>40</v>
      </c>
      <c r="DQ123" s="887" t="s">
        <v>287</v>
      </c>
      <c r="DR123" s="888" t="s">
        <v>40</v>
      </c>
      <c r="DS123" s="887"/>
      <c r="DT123" s="887"/>
      <c r="DU123" s="887"/>
      <c r="DV123" s="889"/>
      <c r="DW123" s="890">
        <f t="shared" si="40"/>
        <v>0</v>
      </c>
      <c r="DX123" s="892" t="s">
        <v>40</v>
      </c>
      <c r="DY123" s="659"/>
    </row>
    <row r="124" spans="1:129" ht="21" customHeight="1">
      <c r="A124" s="868"/>
      <c r="B124" s="869"/>
      <c r="C124" s="869"/>
      <c r="D124" s="869"/>
      <c r="E124" s="869"/>
      <c r="F124" s="869"/>
      <c r="G124" s="869"/>
      <c r="H124" s="869"/>
      <c r="I124" s="869"/>
      <c r="J124" s="869"/>
      <c r="K124" s="869"/>
      <c r="L124" s="869"/>
      <c r="M124" s="869"/>
      <c r="N124" s="870"/>
      <c r="O124" s="870"/>
      <c r="P124" s="871"/>
      <c r="Q124" s="872"/>
      <c r="R124" s="873"/>
      <c r="S124" s="873"/>
      <c r="T124" s="870"/>
      <c r="U124" s="873"/>
      <c r="V124" s="873"/>
      <c r="W124" s="873"/>
      <c r="X124" s="873"/>
      <c r="Y124" s="869"/>
      <c r="Z124" s="869"/>
      <c r="AA124" s="874"/>
      <c r="AB124" s="874"/>
      <c r="AC124" s="874"/>
      <c r="AD124" s="874"/>
      <c r="AE124" s="874"/>
      <c r="AF124" s="874"/>
      <c r="AG124" s="874"/>
      <c r="AH124" s="874"/>
      <c r="AI124" s="874"/>
      <c r="AJ124" s="874"/>
      <c r="AK124" s="874"/>
      <c r="AL124" s="875"/>
      <c r="AM124" s="876"/>
      <c r="AN124" s="876"/>
      <c r="AO124" s="877"/>
      <c r="AP124" s="877"/>
      <c r="AQ124" s="869"/>
      <c r="AR124" s="872"/>
      <c r="AS124" s="872"/>
      <c r="AT124" s="872"/>
      <c r="AU124" s="872"/>
      <c r="AV124" s="872"/>
      <c r="AW124" s="878"/>
      <c r="AX124" s="879"/>
      <c r="AY124" s="874"/>
      <c r="AZ124" s="874"/>
      <c r="BA124" s="875"/>
      <c r="BB124" s="875"/>
      <c r="BC124" s="875"/>
      <c r="BD124" s="875"/>
      <c r="BE124" s="875"/>
      <c r="BF124" s="875"/>
      <c r="BG124" s="875"/>
      <c r="BH124" s="875"/>
      <c r="BI124" s="875"/>
      <c r="BJ124" s="875"/>
      <c r="BK124" s="875"/>
      <c r="BL124" s="874"/>
      <c r="BM124" s="874"/>
      <c r="BN124" s="874"/>
      <c r="BO124" s="875"/>
      <c r="BP124" s="875"/>
      <c r="BQ124" s="875"/>
      <c r="BR124" s="875"/>
      <c r="BS124" s="875"/>
      <c r="BT124" s="875"/>
      <c r="BU124" s="875"/>
      <c r="BV124" s="880"/>
      <c r="BW124" s="874"/>
      <c r="BX124" s="874"/>
      <c r="BY124" s="874"/>
      <c r="BZ124" s="875"/>
      <c r="CA124" s="875"/>
      <c r="CB124" s="875"/>
      <c r="CC124" s="875"/>
      <c r="CD124" s="877"/>
      <c r="CE124" s="877"/>
      <c r="CF124" s="877"/>
      <c r="CG124" s="877"/>
      <c r="CH124" s="877"/>
      <c r="CI124" s="877"/>
      <c r="CJ124" s="877"/>
      <c r="CK124" s="875"/>
      <c r="CL124" s="875"/>
      <c r="CM124" s="875"/>
      <c r="CN124" s="875"/>
      <c r="CO124" s="875"/>
      <c r="CP124" s="881"/>
      <c r="CQ124" s="872"/>
      <c r="CR124" s="882"/>
      <c r="CS124" s="873"/>
      <c r="CT124" s="883"/>
      <c r="CU124" s="873"/>
      <c r="CV124" s="884"/>
      <c r="CW124" s="885"/>
      <c r="CX124" s="879"/>
      <c r="CY124" s="881"/>
      <c r="CZ124" s="869"/>
      <c r="DA124" s="886"/>
      <c r="DB124" s="874"/>
      <c r="DC124" s="874"/>
      <c r="DD124" s="874"/>
      <c r="DE124" s="874"/>
      <c r="DF124" s="875"/>
      <c r="DG124" s="875"/>
      <c r="DH124" s="869"/>
      <c r="DI124" s="873"/>
      <c r="DJ124" s="886"/>
      <c r="DK124" s="875"/>
      <c r="DL124" s="875"/>
      <c r="DM124" s="875"/>
      <c r="DN124" s="875"/>
      <c r="DO124" s="893"/>
      <c r="DP124" s="893"/>
      <c r="DQ124" s="894"/>
      <c r="DR124" s="895"/>
      <c r="DS124" s="894"/>
      <c r="DT124" s="894"/>
      <c r="DU124" s="894"/>
      <c r="DV124" s="890"/>
      <c r="DW124" s="890">
        <f t="shared" si="40"/>
        <v>0</v>
      </c>
      <c r="DX124" s="892">
        <f>A124</f>
        <v>0</v>
      </c>
      <c r="DY124" s="659"/>
    </row>
    <row r="125" spans="1:129" ht="21" customHeight="1">
      <c r="A125" s="896" t="s">
        <v>645</v>
      </c>
      <c r="B125" s="897">
        <f t="shared" ref="B125:BM125" si="41">SUM(B117:B124)</f>
        <v>607.20000000000005</v>
      </c>
      <c r="C125" s="897">
        <f t="shared" si="41"/>
        <v>105</v>
      </c>
      <c r="D125" s="897">
        <f t="shared" si="41"/>
        <v>900</v>
      </c>
      <c r="E125" s="897">
        <f t="shared" si="41"/>
        <v>189</v>
      </c>
      <c r="F125" s="897">
        <f t="shared" si="41"/>
        <v>1056.72</v>
      </c>
      <c r="G125" s="898">
        <f t="shared" si="41"/>
        <v>36</v>
      </c>
      <c r="H125" s="898">
        <f>SUM(H117:H124)</f>
        <v>153.92000000000002</v>
      </c>
      <c r="I125" s="898">
        <f t="shared" si="41"/>
        <v>86</v>
      </c>
      <c r="J125" s="898">
        <f t="shared" si="41"/>
        <v>781.2</v>
      </c>
      <c r="K125" s="898">
        <f t="shared" si="41"/>
        <v>55.32</v>
      </c>
      <c r="L125" s="898">
        <f t="shared" si="41"/>
        <v>2016</v>
      </c>
      <c r="M125" s="898">
        <f t="shared" si="41"/>
        <v>0</v>
      </c>
      <c r="N125" s="899">
        <f t="shared" si="41"/>
        <v>1036</v>
      </c>
      <c r="O125" s="899">
        <f t="shared" si="41"/>
        <v>159.84</v>
      </c>
      <c r="P125" s="900">
        <f t="shared" si="41"/>
        <v>230.88</v>
      </c>
      <c r="Q125" s="901">
        <f t="shared" si="41"/>
        <v>2327.36</v>
      </c>
      <c r="R125" s="901">
        <f t="shared" si="41"/>
        <v>204</v>
      </c>
      <c r="S125" s="902">
        <f t="shared" si="41"/>
        <v>9896.880000000001</v>
      </c>
      <c r="T125" s="899">
        <f t="shared" si="41"/>
        <v>396</v>
      </c>
      <c r="U125" s="902">
        <f t="shared" si="41"/>
        <v>805.2</v>
      </c>
      <c r="V125" s="902">
        <f t="shared" si="41"/>
        <v>104.4</v>
      </c>
      <c r="W125" s="902">
        <f>SUM(W117:W124)</f>
        <v>37.200000000000003</v>
      </c>
      <c r="X125" s="902">
        <f>SUM(X117:X124)</f>
        <v>540</v>
      </c>
      <c r="Y125" s="898">
        <f t="shared" ref="Y125:AD125" si="42">SUM(Y117:Y124)</f>
        <v>1749.3600000000001</v>
      </c>
      <c r="Z125" s="898">
        <f t="shared" si="42"/>
        <v>0</v>
      </c>
      <c r="AA125" s="903">
        <f t="shared" si="42"/>
        <v>1232.8</v>
      </c>
      <c r="AB125" s="903">
        <f t="shared" si="42"/>
        <v>665.16000000000008</v>
      </c>
      <c r="AC125" s="903">
        <f t="shared" si="42"/>
        <v>86.64</v>
      </c>
      <c r="AD125" s="903">
        <f t="shared" si="42"/>
        <v>1099.2</v>
      </c>
      <c r="AE125" s="903">
        <f>SUM(AE117:AE124)</f>
        <v>48</v>
      </c>
      <c r="AF125" s="903">
        <f>SUM(AF117:AF124)</f>
        <v>159.04000000000002</v>
      </c>
      <c r="AG125" s="897">
        <f t="shared" ref="AG125:AI125" si="43">SUM(AG117:AG124)</f>
        <v>1045.24</v>
      </c>
      <c r="AH125" s="897">
        <f t="shared" si="43"/>
        <v>90.72</v>
      </c>
      <c r="AI125" s="897">
        <f t="shared" si="43"/>
        <v>1737.6</v>
      </c>
      <c r="AJ125" s="897">
        <f>SUM(AJ117:AJ124)</f>
        <v>961.2</v>
      </c>
      <c r="AK125" s="897">
        <f>SUM(AK117:AK124)</f>
        <v>787.2</v>
      </c>
      <c r="AL125" s="897">
        <f t="shared" ref="AL125:AO125" si="44">SUM(AL117:AL124)</f>
        <v>239.2</v>
      </c>
      <c r="AM125" s="904">
        <f t="shared" si="44"/>
        <v>4637.2000000000007</v>
      </c>
      <c r="AN125" s="904">
        <f t="shared" si="44"/>
        <v>216</v>
      </c>
      <c r="AO125" s="904">
        <f t="shared" si="44"/>
        <v>1890</v>
      </c>
      <c r="AP125" s="904">
        <f t="shared" si="41"/>
        <v>12</v>
      </c>
      <c r="AQ125" s="898">
        <f t="shared" si="41"/>
        <v>671.6</v>
      </c>
      <c r="AR125" s="905">
        <f t="shared" si="41"/>
        <v>124.8</v>
      </c>
      <c r="AS125" s="905">
        <f t="shared" si="41"/>
        <v>55.199999999999996</v>
      </c>
      <c r="AT125" s="905">
        <f t="shared" si="41"/>
        <v>68</v>
      </c>
      <c r="AU125" s="905">
        <f t="shared" si="41"/>
        <v>9.5</v>
      </c>
      <c r="AV125" s="905">
        <f t="shared" si="41"/>
        <v>0</v>
      </c>
      <c r="AW125" s="906">
        <f t="shared" si="41"/>
        <v>0</v>
      </c>
      <c r="AX125" s="907">
        <f t="shared" si="41"/>
        <v>0</v>
      </c>
      <c r="AY125" s="903">
        <f t="shared" si="41"/>
        <v>1821</v>
      </c>
      <c r="AZ125" s="897">
        <f t="shared" si="41"/>
        <v>160.5</v>
      </c>
      <c r="BA125" s="897">
        <f t="shared" si="41"/>
        <v>160</v>
      </c>
      <c r="BB125" s="897">
        <f t="shared" si="41"/>
        <v>720.80000000000007</v>
      </c>
      <c r="BC125" s="897">
        <f t="shared" si="41"/>
        <v>132</v>
      </c>
      <c r="BD125" s="897">
        <f t="shared" si="41"/>
        <v>474</v>
      </c>
      <c r="BE125" s="897">
        <f t="shared" si="41"/>
        <v>82.5</v>
      </c>
      <c r="BF125" s="897">
        <f t="shared" si="41"/>
        <v>37.6</v>
      </c>
      <c r="BG125" s="897">
        <f t="shared" si="41"/>
        <v>288</v>
      </c>
      <c r="BH125" s="897">
        <f>SUM(BH117:BH124)</f>
        <v>171.6</v>
      </c>
      <c r="BI125" s="897">
        <f>SUM(BI117:BI124)</f>
        <v>89</v>
      </c>
      <c r="BJ125" s="897">
        <f t="shared" si="41"/>
        <v>735</v>
      </c>
      <c r="BK125" s="897">
        <f t="shared" si="41"/>
        <v>33</v>
      </c>
      <c r="BL125" s="897">
        <f t="shared" si="41"/>
        <v>54.8</v>
      </c>
      <c r="BM125" s="897">
        <f t="shared" si="41"/>
        <v>929</v>
      </c>
      <c r="BN125" s="897">
        <f t="shared" ref="BN125:DV125" si="45">SUM(BN117:BN124)</f>
        <v>84.5</v>
      </c>
      <c r="BO125" s="897">
        <f t="shared" si="45"/>
        <v>2768.8</v>
      </c>
      <c r="BP125" s="897">
        <f t="shared" si="45"/>
        <v>370.4</v>
      </c>
      <c r="BQ125" s="897">
        <f t="shared" si="45"/>
        <v>76.5</v>
      </c>
      <c r="BR125" s="897">
        <f>SUM(BR117:BR124)</f>
        <v>278.39999999999998</v>
      </c>
      <c r="BS125" s="897">
        <f>SUM(BS117:BS124)</f>
        <v>90</v>
      </c>
      <c r="BT125" s="897">
        <f t="shared" si="45"/>
        <v>359.2</v>
      </c>
      <c r="BU125" s="897">
        <f t="shared" si="45"/>
        <v>282</v>
      </c>
      <c r="BV125" s="897">
        <f t="shared" si="45"/>
        <v>343.5</v>
      </c>
      <c r="BW125" s="897">
        <f t="shared" si="45"/>
        <v>1247.25</v>
      </c>
      <c r="BX125" s="897">
        <f t="shared" si="45"/>
        <v>48</v>
      </c>
      <c r="BY125" s="897">
        <f t="shared" si="45"/>
        <v>361.2</v>
      </c>
      <c r="BZ125" s="897">
        <f t="shared" si="45"/>
        <v>75.599999999999994</v>
      </c>
      <c r="CA125" s="897">
        <f t="shared" si="45"/>
        <v>82.320000000000007</v>
      </c>
      <c r="CB125" s="897">
        <f t="shared" si="45"/>
        <v>84.600000000000009</v>
      </c>
      <c r="CC125" s="897">
        <f t="shared" si="45"/>
        <v>0</v>
      </c>
      <c r="CD125" s="904">
        <f t="shared" si="45"/>
        <v>2316</v>
      </c>
      <c r="CE125" s="904">
        <f t="shared" si="45"/>
        <v>12686.4</v>
      </c>
      <c r="CF125" s="904">
        <f t="shared" si="45"/>
        <v>288</v>
      </c>
      <c r="CG125" s="904">
        <f t="shared" si="45"/>
        <v>1576.8</v>
      </c>
      <c r="CH125" s="904">
        <f t="shared" si="45"/>
        <v>457.5</v>
      </c>
      <c r="CI125" s="904">
        <f>SUM(CI117:CI124)</f>
        <v>27.6</v>
      </c>
      <c r="CJ125" s="904">
        <f>SUM(CJ117:CJ124)</f>
        <v>44.4</v>
      </c>
      <c r="CK125" s="897">
        <f t="shared" ref="CK125:CN125" si="46">SUM(CK117:CK124)</f>
        <v>0</v>
      </c>
      <c r="CL125" s="897">
        <f t="shared" si="46"/>
        <v>757.19999999999993</v>
      </c>
      <c r="CM125" s="897">
        <f t="shared" si="46"/>
        <v>231.4</v>
      </c>
      <c r="CN125" s="897">
        <f t="shared" si="46"/>
        <v>198</v>
      </c>
      <c r="CO125" s="897">
        <f t="shared" si="45"/>
        <v>9</v>
      </c>
      <c r="CP125" s="908">
        <f t="shared" si="45"/>
        <v>112</v>
      </c>
      <c r="CQ125" s="908">
        <f>SUM(CQ117:CQ124)</f>
        <v>67.5</v>
      </c>
      <c r="CR125" s="909">
        <f t="shared" si="45"/>
        <v>1674</v>
      </c>
      <c r="CS125" s="909">
        <f>SUM(CS117:CS124)</f>
        <v>44.4</v>
      </c>
      <c r="CT125" s="910">
        <f t="shared" si="45"/>
        <v>961.6</v>
      </c>
      <c r="CU125" s="911">
        <f t="shared" si="45"/>
        <v>1188</v>
      </c>
      <c r="CV125" s="912">
        <f t="shared" si="45"/>
        <v>0</v>
      </c>
      <c r="CW125" s="913">
        <f t="shared" si="45"/>
        <v>1010.88</v>
      </c>
      <c r="CX125" s="908">
        <f t="shared" si="45"/>
        <v>86.4</v>
      </c>
      <c r="CY125" s="908">
        <f t="shared" si="45"/>
        <v>591.84</v>
      </c>
      <c r="CZ125" s="898">
        <f t="shared" si="45"/>
        <v>218.34</v>
      </c>
      <c r="DA125" s="914">
        <f t="shared" si="45"/>
        <v>1016.25</v>
      </c>
      <c r="DB125" s="897">
        <f t="shared" si="45"/>
        <v>2623.5</v>
      </c>
      <c r="DC125" s="897">
        <f t="shared" si="45"/>
        <v>1899</v>
      </c>
      <c r="DD125" s="897">
        <f t="shared" si="45"/>
        <v>687</v>
      </c>
      <c r="DE125" s="897">
        <f>SUM(DE117:DE124)</f>
        <v>61.2</v>
      </c>
      <c r="DF125" s="897">
        <f t="shared" ref="DF125" si="47">SUM(DF117:DF124)</f>
        <v>697.5</v>
      </c>
      <c r="DG125" s="897">
        <f t="shared" si="45"/>
        <v>10.5</v>
      </c>
      <c r="DH125" s="897">
        <f t="shared" si="45"/>
        <v>2520</v>
      </c>
      <c r="DI125" s="897">
        <f t="shared" si="45"/>
        <v>277.20000000000005</v>
      </c>
      <c r="DJ125" s="914">
        <f t="shared" si="45"/>
        <v>672</v>
      </c>
      <c r="DK125" s="897">
        <f t="shared" si="45"/>
        <v>176</v>
      </c>
      <c r="DL125" s="897">
        <f t="shared" si="45"/>
        <v>75</v>
      </c>
      <c r="DM125" s="897">
        <f t="shared" si="45"/>
        <v>132.5</v>
      </c>
      <c r="DN125" s="897">
        <f t="shared" si="45"/>
        <v>35</v>
      </c>
      <c r="DO125" s="897">
        <f t="shared" si="45"/>
        <v>250</v>
      </c>
      <c r="DP125" s="897">
        <f t="shared" si="45"/>
        <v>378</v>
      </c>
      <c r="DQ125" s="915">
        <f t="shared" si="45"/>
        <v>0</v>
      </c>
      <c r="DR125" s="916">
        <f t="shared" si="45"/>
        <v>0</v>
      </c>
      <c r="DS125" s="915"/>
      <c r="DT125" s="915"/>
      <c r="DU125" s="915"/>
      <c r="DV125" s="917">
        <f t="shared" si="45"/>
        <v>0</v>
      </c>
      <c r="DW125" s="917">
        <f t="shared" si="40"/>
        <v>87808.75999999998</v>
      </c>
      <c r="DX125" s="918" t="s">
        <v>645</v>
      </c>
      <c r="DY125" s="659"/>
    </row>
    <row r="126" spans="1:129" ht="19.5" customHeight="1" thickBot="1">
      <c r="A126" s="919" t="s">
        <v>646</v>
      </c>
      <c r="B126" s="920">
        <f t="shared" ref="B126:BM126" si="48">IF(B7=0,0,B125/B7)</f>
        <v>189.75</v>
      </c>
      <c r="C126" s="920">
        <f t="shared" si="48"/>
        <v>35</v>
      </c>
      <c r="D126" s="920">
        <f t="shared" si="48"/>
        <v>300</v>
      </c>
      <c r="E126" s="920">
        <f t="shared" si="48"/>
        <v>63</v>
      </c>
      <c r="F126" s="920">
        <f t="shared" si="48"/>
        <v>357</v>
      </c>
      <c r="G126" s="921">
        <f t="shared" si="48"/>
        <v>6</v>
      </c>
      <c r="H126" s="921">
        <f t="shared" si="48"/>
        <v>49.81229773462784</v>
      </c>
      <c r="I126" s="921">
        <f t="shared" si="48"/>
        <v>28.666666666666668</v>
      </c>
      <c r="J126" s="921">
        <f t="shared" si="48"/>
        <v>348.75</v>
      </c>
      <c r="K126" s="921">
        <f t="shared" si="48"/>
        <v>23.844827586206897</v>
      </c>
      <c r="L126" s="921">
        <f t="shared" si="48"/>
        <v>868.96551724137942</v>
      </c>
      <c r="M126" s="921">
        <f t="shared" si="48"/>
        <v>0</v>
      </c>
      <c r="N126" s="922">
        <f t="shared" si="48"/>
        <v>345.33333333333331</v>
      </c>
      <c r="O126" s="922">
        <f t="shared" si="48"/>
        <v>54</v>
      </c>
      <c r="P126" s="923">
        <f t="shared" si="48"/>
        <v>76.959999999999994</v>
      </c>
      <c r="Q126" s="924">
        <f t="shared" si="48"/>
        <v>1039</v>
      </c>
      <c r="R126" s="924">
        <f t="shared" si="48"/>
        <v>85.355648535564853</v>
      </c>
      <c r="S126" s="925">
        <f t="shared" si="48"/>
        <v>4418.25</v>
      </c>
      <c r="T126" s="926">
        <f t="shared" si="48"/>
        <v>220</v>
      </c>
      <c r="U126" s="925">
        <f t="shared" si="48"/>
        <v>671.00000000000011</v>
      </c>
      <c r="V126" s="925">
        <f t="shared" si="48"/>
        <v>77.333333333333329</v>
      </c>
      <c r="W126" s="925">
        <f t="shared" si="48"/>
        <v>27.555555555555557</v>
      </c>
      <c r="X126" s="925">
        <f t="shared" si="48"/>
        <v>391.304347826087</v>
      </c>
      <c r="Y126" s="921">
        <f t="shared" si="48"/>
        <v>788.00000000000011</v>
      </c>
      <c r="Z126" s="921">
        <f t="shared" si="48"/>
        <v>0</v>
      </c>
      <c r="AA126" s="927">
        <f t="shared" si="48"/>
        <v>335</v>
      </c>
      <c r="AB126" s="927">
        <f t="shared" si="48"/>
        <v>554.30000000000007</v>
      </c>
      <c r="AC126" s="927">
        <f t="shared" si="48"/>
        <v>64.177777777777777</v>
      </c>
      <c r="AD126" s="927">
        <f t="shared" si="48"/>
        <v>916.00000000000011</v>
      </c>
      <c r="AE126" s="927">
        <f t="shared" si="48"/>
        <v>35.55555555555555</v>
      </c>
      <c r="AF126" s="927">
        <f t="shared" si="48"/>
        <v>64.914285714285711</v>
      </c>
      <c r="AG126" s="920">
        <f t="shared" si="48"/>
        <v>466.62499999999994</v>
      </c>
      <c r="AH126" s="920">
        <f t="shared" si="48"/>
        <v>40.499999999999993</v>
      </c>
      <c r="AI126" s="920">
        <f t="shared" si="48"/>
        <v>181</v>
      </c>
      <c r="AJ126" s="920">
        <f t="shared" si="48"/>
        <v>475.84158415841586</v>
      </c>
      <c r="AK126" s="920">
        <f t="shared" si="48"/>
        <v>82.000000000000014</v>
      </c>
      <c r="AL126" s="920">
        <f t="shared" si="48"/>
        <v>65</v>
      </c>
      <c r="AM126" s="928">
        <f t="shared" si="48"/>
        <v>2576.2222222222226</v>
      </c>
      <c r="AN126" s="928">
        <f t="shared" si="48"/>
        <v>120</v>
      </c>
      <c r="AO126" s="928">
        <f t="shared" si="48"/>
        <v>315</v>
      </c>
      <c r="AP126" s="928">
        <f t="shared" si="48"/>
        <v>8.8888888888888875</v>
      </c>
      <c r="AQ126" s="921">
        <f t="shared" si="48"/>
        <v>73.000000000000014</v>
      </c>
      <c r="AR126" s="929">
        <f t="shared" si="48"/>
        <v>60</v>
      </c>
      <c r="AS126" s="929">
        <f t="shared" si="48"/>
        <v>28.453608247422679</v>
      </c>
      <c r="AT126" s="929">
        <f t="shared" si="48"/>
        <v>35.051546391752581</v>
      </c>
      <c r="AU126" s="929">
        <f t="shared" si="48"/>
        <v>4.8969072164948457</v>
      </c>
      <c r="AV126" s="929">
        <f t="shared" si="48"/>
        <v>0</v>
      </c>
      <c r="AW126" s="930">
        <f t="shared" si="48"/>
        <v>0</v>
      </c>
      <c r="AX126" s="931">
        <f t="shared" si="48"/>
        <v>0</v>
      </c>
      <c r="AY126" s="927">
        <f t="shared" si="48"/>
        <v>1821</v>
      </c>
      <c r="AZ126" s="920">
        <f t="shared" si="48"/>
        <v>160.5</v>
      </c>
      <c r="BA126" s="920">
        <f t="shared" si="48"/>
        <v>160</v>
      </c>
      <c r="BB126" s="920">
        <f t="shared" si="48"/>
        <v>901</v>
      </c>
      <c r="BC126" s="920">
        <f t="shared" si="48"/>
        <v>110</v>
      </c>
      <c r="BD126" s="920">
        <f t="shared" si="48"/>
        <v>316</v>
      </c>
      <c r="BE126" s="920">
        <f t="shared" si="48"/>
        <v>55</v>
      </c>
      <c r="BF126" s="920">
        <f t="shared" si="48"/>
        <v>23.949044585987259</v>
      </c>
      <c r="BG126" s="920">
        <f t="shared" si="48"/>
        <v>187.012987012987</v>
      </c>
      <c r="BH126" s="920">
        <f t="shared" si="48"/>
        <v>143</v>
      </c>
      <c r="BI126" s="920">
        <f t="shared" si="48"/>
        <v>46.1139896373057</v>
      </c>
      <c r="BJ126" s="920">
        <f t="shared" si="48"/>
        <v>735</v>
      </c>
      <c r="BK126" s="920">
        <f t="shared" si="48"/>
        <v>33</v>
      </c>
      <c r="BL126" s="920">
        <f t="shared" si="48"/>
        <v>34.249999999999993</v>
      </c>
      <c r="BM126" s="920">
        <f t="shared" si="48"/>
        <v>929</v>
      </c>
      <c r="BN126" s="920">
        <f t="shared" ref="BN126:DR126" si="49">IF(BN7=0,0,BN125/BN7)</f>
        <v>84.5</v>
      </c>
      <c r="BO126" s="920">
        <f t="shared" si="49"/>
        <v>3461</v>
      </c>
      <c r="BP126" s="920">
        <f t="shared" si="49"/>
        <v>235.92356687898086</v>
      </c>
      <c r="BQ126" s="920">
        <f t="shared" si="49"/>
        <v>51</v>
      </c>
      <c r="BR126" s="920">
        <f t="shared" si="49"/>
        <v>232</v>
      </c>
      <c r="BS126" s="920">
        <f t="shared" si="49"/>
        <v>46.632124352331608</v>
      </c>
      <c r="BT126" s="920">
        <f t="shared" si="49"/>
        <v>233.24675324675323</v>
      </c>
      <c r="BU126" s="920">
        <f t="shared" si="49"/>
        <v>235</v>
      </c>
      <c r="BV126" s="920">
        <f t="shared" si="49"/>
        <v>229</v>
      </c>
      <c r="BW126" s="920">
        <f t="shared" si="49"/>
        <v>831.5</v>
      </c>
      <c r="BX126" s="920">
        <f t="shared" si="49"/>
        <v>16</v>
      </c>
      <c r="BY126" s="920">
        <f t="shared" si="49"/>
        <v>254.36619718309859</v>
      </c>
      <c r="BZ126" s="920">
        <f t="shared" si="49"/>
        <v>69.999999999999986</v>
      </c>
      <c r="CA126" s="920">
        <f t="shared" si="49"/>
        <v>98</v>
      </c>
      <c r="CB126" s="920">
        <f t="shared" si="49"/>
        <v>47.000000000000007</v>
      </c>
      <c r="CC126" s="920">
        <f t="shared" si="49"/>
        <v>0</v>
      </c>
      <c r="CD126" s="928">
        <f t="shared" si="49"/>
        <v>772</v>
      </c>
      <c r="CE126" s="928">
        <f t="shared" si="49"/>
        <v>10572</v>
      </c>
      <c r="CF126" s="928">
        <f t="shared" si="49"/>
        <v>240</v>
      </c>
      <c r="CG126" s="928">
        <f t="shared" si="49"/>
        <v>1459.9999999999998</v>
      </c>
      <c r="CH126" s="928">
        <f t="shared" si="49"/>
        <v>305</v>
      </c>
      <c r="CI126" s="928">
        <f t="shared" si="49"/>
        <v>19.43661971830986</v>
      </c>
      <c r="CJ126" s="928">
        <f t="shared" si="49"/>
        <v>31.267605633802816</v>
      </c>
      <c r="CK126" s="920">
        <f t="shared" si="49"/>
        <v>0</v>
      </c>
      <c r="CL126" s="920">
        <f t="shared" si="49"/>
        <v>533.23943661971828</v>
      </c>
      <c r="CM126" s="920">
        <f t="shared" si="49"/>
        <v>162.95774647887325</v>
      </c>
      <c r="CN126" s="920">
        <f t="shared" si="49"/>
        <v>139.43661971830986</v>
      </c>
      <c r="CO126" s="920">
        <f t="shared" si="49"/>
        <v>6</v>
      </c>
      <c r="CP126" s="932">
        <f t="shared" si="49"/>
        <v>37.333333333333336</v>
      </c>
      <c r="CQ126" s="932">
        <f t="shared" si="49"/>
        <v>39.244186046511629</v>
      </c>
      <c r="CR126" s="933">
        <f t="shared" si="49"/>
        <v>558</v>
      </c>
      <c r="CS126" s="933">
        <f t="shared" si="49"/>
        <v>31.267605633802816</v>
      </c>
      <c r="CT126" s="934">
        <f t="shared" si="49"/>
        <v>801.33333333333337</v>
      </c>
      <c r="CU126" s="935">
        <f t="shared" si="49"/>
        <v>1100</v>
      </c>
      <c r="CV126" s="936">
        <f t="shared" si="49"/>
        <v>0</v>
      </c>
      <c r="CW126" s="937">
        <f t="shared" si="49"/>
        <v>935.99999999999989</v>
      </c>
      <c r="CX126" s="932">
        <f t="shared" si="49"/>
        <v>80</v>
      </c>
      <c r="CY126" s="932">
        <f t="shared" si="49"/>
        <v>548</v>
      </c>
      <c r="CZ126" s="921">
        <f t="shared" si="49"/>
        <v>202.16666666666666</v>
      </c>
      <c r="DA126" s="938">
        <f t="shared" si="49"/>
        <v>677.5</v>
      </c>
      <c r="DB126" s="920">
        <f t="shared" si="49"/>
        <v>1749</v>
      </c>
      <c r="DC126" s="920">
        <f t="shared" si="49"/>
        <v>633</v>
      </c>
      <c r="DD126" s="920">
        <f t="shared" si="49"/>
        <v>458</v>
      </c>
      <c r="DE126" s="920">
        <f t="shared" si="49"/>
        <v>43.098591549295776</v>
      </c>
      <c r="DF126" s="920">
        <f t="shared" si="49"/>
        <v>465</v>
      </c>
      <c r="DG126" s="920">
        <f t="shared" si="49"/>
        <v>7</v>
      </c>
      <c r="DH126" s="920">
        <f t="shared" si="49"/>
        <v>840</v>
      </c>
      <c r="DI126" s="920">
        <f t="shared" si="49"/>
        <v>195.21126760563385</v>
      </c>
      <c r="DJ126" s="938">
        <f t="shared" si="49"/>
        <v>224</v>
      </c>
      <c r="DK126" s="920">
        <f t="shared" si="49"/>
        <v>29.333333333333332</v>
      </c>
      <c r="DL126" s="920">
        <f t="shared" si="49"/>
        <v>25</v>
      </c>
      <c r="DM126" s="920">
        <f t="shared" si="49"/>
        <v>44.166666666666664</v>
      </c>
      <c r="DN126" s="920">
        <f t="shared" si="49"/>
        <v>11.666666666666666</v>
      </c>
      <c r="DO126" s="920">
        <f t="shared" si="49"/>
        <v>41.666666666666664</v>
      </c>
      <c r="DP126" s="920">
        <f t="shared" si="49"/>
        <v>63</v>
      </c>
      <c r="DQ126" s="925">
        <f t="shared" si="49"/>
        <v>0</v>
      </c>
      <c r="DR126" s="938">
        <f t="shared" si="49"/>
        <v>0</v>
      </c>
      <c r="DS126" s="925"/>
      <c r="DT126" s="925"/>
      <c r="DU126" s="925"/>
      <c r="DV126" s="931">
        <f>IF(DV7=0,0,DV125/DV7)</f>
        <v>0</v>
      </c>
      <c r="DW126" s="931">
        <f t="shared" si="40"/>
        <v>52828.629912553937</v>
      </c>
      <c r="DX126" s="939" t="s">
        <v>646</v>
      </c>
      <c r="DY126" s="659"/>
    </row>
    <row r="127" spans="1:129" ht="7.5" customHeight="1" thickTop="1" thickBot="1">
      <c r="A127" s="940"/>
      <c r="B127" s="941"/>
      <c r="C127" s="941"/>
      <c r="D127" s="941"/>
      <c r="E127" s="941"/>
      <c r="F127" s="941"/>
      <c r="G127" s="941"/>
      <c r="H127" s="941"/>
      <c r="I127" s="941"/>
      <c r="J127" s="941"/>
      <c r="K127" s="941"/>
      <c r="L127" s="941"/>
      <c r="M127" s="941"/>
      <c r="N127" s="941"/>
      <c r="O127" s="941"/>
      <c r="P127" s="942"/>
      <c r="Q127" s="941"/>
      <c r="R127" s="941"/>
      <c r="S127" s="941"/>
      <c r="T127" s="942"/>
      <c r="U127" s="941"/>
      <c r="V127" s="941"/>
      <c r="W127" s="941"/>
      <c r="X127" s="941"/>
      <c r="Y127" s="941"/>
      <c r="Z127" s="941"/>
      <c r="AA127" s="941"/>
      <c r="AB127" s="941"/>
      <c r="AC127" s="941"/>
      <c r="AD127" s="941"/>
      <c r="AE127" s="941"/>
      <c r="AF127" s="941"/>
      <c r="AG127" s="941"/>
      <c r="AH127" s="941"/>
      <c r="AI127" s="941"/>
      <c r="AJ127" s="941"/>
      <c r="AK127" s="941"/>
      <c r="AL127" s="941"/>
      <c r="AM127" s="943"/>
      <c r="AN127" s="943"/>
      <c r="AO127" s="943"/>
      <c r="AP127" s="943"/>
      <c r="AQ127" s="941"/>
      <c r="AR127" s="941"/>
      <c r="AS127" s="941"/>
      <c r="AT127" s="941"/>
      <c r="AU127" s="941"/>
      <c r="AV127" s="941"/>
      <c r="AW127" s="941"/>
      <c r="AX127" s="941"/>
      <c r="AY127" s="941"/>
      <c r="AZ127" s="941"/>
      <c r="BA127" s="941"/>
      <c r="BB127" s="941"/>
      <c r="BC127" s="941"/>
      <c r="BD127" s="941"/>
      <c r="BE127" s="941"/>
      <c r="BF127" s="941"/>
      <c r="BG127" s="941"/>
      <c r="BH127" s="941"/>
      <c r="BI127" s="941"/>
      <c r="BJ127" s="941"/>
      <c r="BK127" s="941"/>
      <c r="BL127" s="941"/>
      <c r="BM127" s="941"/>
      <c r="BN127" s="941"/>
      <c r="BO127" s="941"/>
      <c r="BP127" s="941"/>
      <c r="BQ127" s="941"/>
      <c r="BR127" s="941"/>
      <c r="BS127" s="941"/>
      <c r="BT127" s="941"/>
      <c r="BU127" s="941"/>
      <c r="BV127" s="941"/>
      <c r="BW127" s="941"/>
      <c r="BX127" s="941"/>
      <c r="BY127" s="941"/>
      <c r="BZ127" s="941"/>
      <c r="CA127" s="941"/>
      <c r="CB127" s="941"/>
      <c r="CC127" s="941"/>
      <c r="CD127" s="943"/>
      <c r="CE127" s="943"/>
      <c r="CF127" s="943"/>
      <c r="CG127" s="943"/>
      <c r="CH127" s="943"/>
      <c r="CI127" s="943"/>
      <c r="CJ127" s="943"/>
      <c r="CK127" s="941"/>
      <c r="CL127" s="941"/>
      <c r="CM127" s="941"/>
      <c r="CN127" s="941"/>
      <c r="CO127" s="941"/>
      <c r="CP127" s="941"/>
      <c r="CQ127" s="941"/>
      <c r="CR127" s="941"/>
      <c r="CS127" s="941"/>
      <c r="CT127" s="941"/>
      <c r="CU127" s="941"/>
      <c r="CV127" s="941"/>
      <c r="CW127" s="941"/>
      <c r="CX127" s="941"/>
      <c r="CY127" s="941"/>
      <c r="CZ127" s="941"/>
      <c r="DA127" s="941"/>
      <c r="DB127" s="941"/>
      <c r="DC127" s="941"/>
      <c r="DD127" s="941"/>
      <c r="DE127" s="941"/>
      <c r="DF127" s="941"/>
      <c r="DG127" s="941"/>
      <c r="DH127" s="941"/>
      <c r="DI127" s="941"/>
      <c r="DJ127" s="944"/>
      <c r="DK127" s="941"/>
      <c r="DL127" s="941"/>
      <c r="DM127" s="941"/>
      <c r="DN127" s="941"/>
      <c r="DO127" s="941"/>
      <c r="DP127" s="941"/>
      <c r="DQ127" s="945"/>
      <c r="DR127" s="946"/>
      <c r="DS127" s="945"/>
      <c r="DT127" s="945"/>
      <c r="DU127" s="945"/>
      <c r="DV127" s="947"/>
      <c r="DW127" s="948">
        <f t="shared" si="40"/>
        <v>0</v>
      </c>
      <c r="DX127" s="949"/>
      <c r="DY127" s="659"/>
    </row>
    <row r="128" spans="1:129" ht="15.6" thickTop="1" thickBot="1">
      <c r="A128" s="950" t="s">
        <v>125</v>
      </c>
      <c r="B128" s="951">
        <f t="shared" ref="B128:BM128" si="50">B81-B125</f>
        <v>-220.20000000000005</v>
      </c>
      <c r="C128" s="951">
        <f t="shared" si="50"/>
        <v>-90</v>
      </c>
      <c r="D128" s="951">
        <f t="shared" si="50"/>
        <v>-852</v>
      </c>
      <c r="E128" s="951">
        <f t="shared" si="50"/>
        <v>-189</v>
      </c>
      <c r="F128" s="951">
        <f t="shared" si="50"/>
        <v>-840.6400000000001</v>
      </c>
      <c r="G128" s="951">
        <f t="shared" si="50"/>
        <v>-36</v>
      </c>
      <c r="H128" s="951">
        <f>H81-H125</f>
        <v>-150.96</v>
      </c>
      <c r="I128" s="951">
        <f t="shared" si="50"/>
        <v>-53</v>
      </c>
      <c r="J128" s="951">
        <f t="shared" si="50"/>
        <v>-622.16000000000008</v>
      </c>
      <c r="K128" s="951">
        <f t="shared" si="50"/>
        <v>-41.88</v>
      </c>
      <c r="L128" s="951">
        <f t="shared" si="50"/>
        <v>-2016</v>
      </c>
      <c r="M128" s="951">
        <f t="shared" si="50"/>
        <v>0</v>
      </c>
      <c r="N128" s="951">
        <f t="shared" si="50"/>
        <v>-917.6</v>
      </c>
      <c r="O128" s="951">
        <f t="shared" si="50"/>
        <v>-156.88</v>
      </c>
      <c r="P128" s="951">
        <f t="shared" si="50"/>
        <v>-213.12</v>
      </c>
      <c r="Q128" s="951">
        <f t="shared" si="50"/>
        <v>-2175.04</v>
      </c>
      <c r="R128" s="951">
        <f t="shared" si="50"/>
        <v>-190.56</v>
      </c>
      <c r="S128" s="951">
        <f t="shared" si="50"/>
        <v>-4697.8400000000011</v>
      </c>
      <c r="T128" s="951">
        <f t="shared" si="50"/>
        <v>-151.19999999999999</v>
      </c>
      <c r="U128" s="951">
        <f t="shared" si="50"/>
        <v>-636</v>
      </c>
      <c r="V128" s="951">
        <f t="shared" si="50"/>
        <v>-97.2</v>
      </c>
      <c r="W128" s="951">
        <f t="shared" si="50"/>
        <v>-32.400000000000006</v>
      </c>
      <c r="X128" s="951">
        <f t="shared" si="50"/>
        <v>-514.79999999999995</v>
      </c>
      <c r="Y128" s="951">
        <f t="shared" si="50"/>
        <v>-721.5</v>
      </c>
      <c r="Z128" s="951">
        <f t="shared" si="50"/>
        <v>0</v>
      </c>
      <c r="AA128" s="951">
        <f t="shared" si="50"/>
        <v>-1034.08</v>
      </c>
      <c r="AB128" s="951">
        <f t="shared" si="50"/>
        <v>-155.16000000000008</v>
      </c>
      <c r="AC128" s="951">
        <f t="shared" si="50"/>
        <v>-71.040000000000006</v>
      </c>
      <c r="AD128" s="951">
        <f t="shared" si="50"/>
        <v>-4.7999999999999545</v>
      </c>
      <c r="AE128" s="951">
        <f t="shared" si="50"/>
        <v>-9.6000000000000014</v>
      </c>
      <c r="AF128" s="951">
        <f t="shared" si="50"/>
        <v>-147.84000000000003</v>
      </c>
      <c r="AG128" s="951">
        <f t="shared" si="50"/>
        <v>-765.24</v>
      </c>
      <c r="AH128" s="951">
        <f t="shared" si="50"/>
        <v>173.6</v>
      </c>
      <c r="AI128" s="951">
        <f t="shared" si="50"/>
        <v>-1324.8</v>
      </c>
      <c r="AJ128" s="951">
        <f t="shared" si="50"/>
        <v>-941.40000000000009</v>
      </c>
      <c r="AK128" s="951">
        <f t="shared" si="50"/>
        <v>-96</v>
      </c>
      <c r="AL128" s="951">
        <f t="shared" si="50"/>
        <v>-239.2</v>
      </c>
      <c r="AM128" s="951">
        <f t="shared" si="50"/>
        <v>-4637.2000000000007</v>
      </c>
      <c r="AN128" s="951">
        <f t="shared" si="50"/>
        <v>-201.6</v>
      </c>
      <c r="AO128" s="951">
        <f t="shared" si="50"/>
        <v>-1890</v>
      </c>
      <c r="AP128" s="951">
        <f t="shared" si="50"/>
        <v>-3.5999999999999996</v>
      </c>
      <c r="AQ128" s="951">
        <f t="shared" si="50"/>
        <v>-634.80000000000007</v>
      </c>
      <c r="AR128" s="951">
        <f t="shared" si="50"/>
        <v>796.6400000000001</v>
      </c>
      <c r="AS128" s="951">
        <f t="shared" si="50"/>
        <v>-46.699999999999996</v>
      </c>
      <c r="AT128" s="951">
        <f t="shared" si="50"/>
        <v>-59.5</v>
      </c>
      <c r="AU128" s="951">
        <f t="shared" si="50"/>
        <v>-7.8</v>
      </c>
      <c r="AV128" s="951">
        <f t="shared" si="50"/>
        <v>0</v>
      </c>
      <c r="AW128" s="951">
        <f t="shared" si="50"/>
        <v>0</v>
      </c>
      <c r="AX128" s="951">
        <f t="shared" si="50"/>
        <v>0</v>
      </c>
      <c r="AY128" s="951">
        <f t="shared" si="50"/>
        <v>-648</v>
      </c>
      <c r="AZ128" s="951">
        <f t="shared" si="50"/>
        <v>-119.5</v>
      </c>
      <c r="BA128" s="951">
        <f t="shared" si="50"/>
        <v>-17</v>
      </c>
      <c r="BB128" s="951">
        <f t="shared" si="50"/>
        <v>-327.2000000000001</v>
      </c>
      <c r="BC128" s="951">
        <f t="shared" si="50"/>
        <v>-132</v>
      </c>
      <c r="BD128" s="951">
        <f t="shared" si="50"/>
        <v>-28.5</v>
      </c>
      <c r="BE128" s="951">
        <f t="shared" si="50"/>
        <v>-49.5</v>
      </c>
      <c r="BF128" s="951">
        <f t="shared" si="50"/>
        <v>-36.800000000000004</v>
      </c>
      <c r="BG128" s="951">
        <f t="shared" si="50"/>
        <v>2.3999999999999773</v>
      </c>
      <c r="BH128" s="951">
        <f t="shared" si="50"/>
        <v>-42</v>
      </c>
      <c r="BI128" s="951">
        <f t="shared" si="50"/>
        <v>-24</v>
      </c>
      <c r="BJ128" s="951">
        <f t="shared" si="50"/>
        <v>1</v>
      </c>
      <c r="BK128" s="951">
        <f t="shared" si="50"/>
        <v>-10</v>
      </c>
      <c r="BL128" s="951">
        <f t="shared" si="50"/>
        <v>-27.599999999999998</v>
      </c>
      <c r="BM128" s="951">
        <f t="shared" si="50"/>
        <v>55</v>
      </c>
      <c r="BN128" s="951">
        <f t="shared" ref="BN128:DO128" si="51">BN81-BN125</f>
        <v>-67.5</v>
      </c>
      <c r="BO128" s="951">
        <f t="shared" si="51"/>
        <v>-1844.8000000000002</v>
      </c>
      <c r="BP128" s="951">
        <f t="shared" si="51"/>
        <v>-74.399999999999977</v>
      </c>
      <c r="BQ128" s="951">
        <f t="shared" si="51"/>
        <v>-43.5</v>
      </c>
      <c r="BR128" s="951">
        <f t="shared" si="51"/>
        <v>-278.39999999999998</v>
      </c>
      <c r="BS128" s="951">
        <f t="shared" si="51"/>
        <v>24</v>
      </c>
      <c r="BT128" s="951">
        <f t="shared" si="51"/>
        <v>1.6000000000000227</v>
      </c>
      <c r="BU128" s="951">
        <f t="shared" si="51"/>
        <v>-282</v>
      </c>
      <c r="BV128" s="951">
        <f t="shared" si="51"/>
        <v>-37.5</v>
      </c>
      <c r="BW128" s="951">
        <f t="shared" si="51"/>
        <v>-675.75</v>
      </c>
      <c r="BX128" s="951">
        <f t="shared" si="51"/>
        <v>489</v>
      </c>
      <c r="BY128" s="951">
        <f t="shared" si="51"/>
        <v>117.59999999999997</v>
      </c>
      <c r="BZ128" s="951">
        <f t="shared" si="51"/>
        <v>-72.36</v>
      </c>
      <c r="CA128" s="951">
        <f t="shared" si="51"/>
        <v>-73.080000000000013</v>
      </c>
      <c r="CB128" s="951">
        <f t="shared" si="51"/>
        <v>-72.000000000000014</v>
      </c>
      <c r="CC128" s="951">
        <f t="shared" si="51"/>
        <v>0</v>
      </c>
      <c r="CD128" s="951">
        <f t="shared" si="51"/>
        <v>5028</v>
      </c>
      <c r="CE128" s="951">
        <f t="shared" si="51"/>
        <v>-10504.8</v>
      </c>
      <c r="CF128" s="951">
        <f t="shared" si="51"/>
        <v>136.80000000000001</v>
      </c>
      <c r="CG128" s="951">
        <f t="shared" si="51"/>
        <v>-37.799999999999955</v>
      </c>
      <c r="CH128" s="951">
        <f t="shared" si="51"/>
        <v>570</v>
      </c>
      <c r="CI128" s="951">
        <f t="shared" si="51"/>
        <v>86.4</v>
      </c>
      <c r="CJ128" s="951">
        <f t="shared" si="51"/>
        <v>-24</v>
      </c>
      <c r="CK128" s="951">
        <f t="shared" si="51"/>
        <v>652.79999999999995</v>
      </c>
      <c r="CL128" s="951">
        <f t="shared" si="51"/>
        <v>-757.19999999999993</v>
      </c>
      <c r="CM128" s="951">
        <f t="shared" si="51"/>
        <v>36.200000000000017</v>
      </c>
      <c r="CN128" s="951">
        <f t="shared" si="51"/>
        <v>-198</v>
      </c>
      <c r="CO128" s="951">
        <f t="shared" si="51"/>
        <v>112.5</v>
      </c>
      <c r="CP128" s="951">
        <f t="shared" si="51"/>
        <v>59</v>
      </c>
      <c r="CQ128" s="951">
        <f t="shared" si="51"/>
        <v>-64.5</v>
      </c>
      <c r="CR128" s="951">
        <f t="shared" si="51"/>
        <v>-1674</v>
      </c>
      <c r="CS128" s="951">
        <f t="shared" si="51"/>
        <v>-20.399999999999999</v>
      </c>
      <c r="CT128" s="951">
        <f t="shared" si="51"/>
        <v>-961.6</v>
      </c>
      <c r="CU128" s="951">
        <f t="shared" si="51"/>
        <v>-618.84</v>
      </c>
      <c r="CV128" s="951">
        <f t="shared" si="51"/>
        <v>0</v>
      </c>
      <c r="CW128" s="951">
        <f t="shared" si="51"/>
        <v>-1008.72</v>
      </c>
      <c r="CX128" s="951">
        <f t="shared" si="51"/>
        <v>-66.960000000000008</v>
      </c>
      <c r="CY128" s="951">
        <f t="shared" si="51"/>
        <v>-588.6</v>
      </c>
      <c r="CZ128" s="951">
        <f t="shared" si="51"/>
        <v>93.78</v>
      </c>
      <c r="DA128" s="951">
        <f t="shared" si="51"/>
        <v>-702.75</v>
      </c>
      <c r="DB128" s="951">
        <f t="shared" si="51"/>
        <v>-2623.5</v>
      </c>
      <c r="DC128" s="951">
        <f t="shared" si="51"/>
        <v>-327</v>
      </c>
      <c r="DD128" s="951">
        <f t="shared" si="51"/>
        <v>-687</v>
      </c>
      <c r="DE128" s="951">
        <f t="shared" si="51"/>
        <v>117.60000000000001</v>
      </c>
      <c r="DF128" s="951">
        <f t="shared" si="51"/>
        <v>24</v>
      </c>
      <c r="DG128" s="951">
        <f t="shared" si="51"/>
        <v>42</v>
      </c>
      <c r="DH128" s="951">
        <f t="shared" si="51"/>
        <v>-2505</v>
      </c>
      <c r="DI128" s="951">
        <f t="shared" si="51"/>
        <v>-104.40000000000003</v>
      </c>
      <c r="DJ128" s="951">
        <f t="shared" si="51"/>
        <v>2889</v>
      </c>
      <c r="DK128" s="951">
        <f t="shared" si="51"/>
        <v>2494</v>
      </c>
      <c r="DL128" s="951">
        <f t="shared" si="51"/>
        <v>234</v>
      </c>
      <c r="DM128" s="951">
        <f t="shared" si="51"/>
        <v>344.5</v>
      </c>
      <c r="DN128" s="951">
        <f t="shared" si="51"/>
        <v>523</v>
      </c>
      <c r="DO128" s="951">
        <f t="shared" si="51"/>
        <v>663</v>
      </c>
      <c r="DP128" s="951">
        <f>DP81-DP125</f>
        <v>888</v>
      </c>
      <c r="DQ128" s="952">
        <f t="shared" ref="DQ128:DV128" si="52">DQ81-DQ125</f>
        <v>0</v>
      </c>
      <c r="DR128" s="954">
        <f t="shared" si="52"/>
        <v>0</v>
      </c>
      <c r="DS128" s="954">
        <f t="shared" si="52"/>
        <v>0</v>
      </c>
      <c r="DT128" s="952"/>
      <c r="DU128" s="954">
        <f t="shared" si="52"/>
        <v>0</v>
      </c>
      <c r="DV128" s="953">
        <f t="shared" si="52"/>
        <v>0</v>
      </c>
      <c r="DW128" s="953">
        <f t="shared" si="40"/>
        <v>-39689.379999999997</v>
      </c>
      <c r="DX128" s="955" t="s">
        <v>125</v>
      </c>
      <c r="DY128" s="659"/>
    </row>
    <row r="129" spans="1:129" ht="16.5" customHeight="1" thickTop="1" thickBot="1">
      <c r="A129" s="841"/>
      <c r="B129" s="665"/>
      <c r="C129" s="665"/>
      <c r="D129" s="665"/>
      <c r="E129" s="665"/>
      <c r="F129" s="665"/>
      <c r="G129" s="665"/>
      <c r="H129" s="665"/>
      <c r="I129" s="665"/>
      <c r="J129" s="956"/>
      <c r="K129" s="956"/>
      <c r="L129" s="956"/>
      <c r="M129" s="956"/>
      <c r="N129" s="957"/>
      <c r="O129" s="956"/>
      <c r="P129" s="666"/>
      <c r="Q129" s="665"/>
      <c r="R129" s="665"/>
      <c r="S129" s="66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665"/>
      <c r="AL129" s="665"/>
      <c r="AM129" s="665"/>
      <c r="AN129" s="665"/>
      <c r="AO129" s="666"/>
      <c r="AP129" s="666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66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665"/>
      <c r="BV129" s="958"/>
      <c r="BW129" s="665"/>
      <c r="BX129" s="665"/>
      <c r="BY129" s="665"/>
      <c r="BZ129" s="665"/>
      <c r="CA129" s="665"/>
      <c r="CB129" s="665"/>
      <c r="CC129" s="665"/>
      <c r="CD129" s="666"/>
      <c r="CE129" s="666"/>
      <c r="CF129" s="666"/>
      <c r="CG129" s="666"/>
      <c r="CH129" s="666"/>
      <c r="CI129" s="666"/>
      <c r="CJ129" s="666"/>
      <c r="CK129" s="665"/>
      <c r="CL129" s="665"/>
      <c r="CM129" s="665"/>
      <c r="CN129" s="665"/>
      <c r="CO129" s="665"/>
      <c r="CP129" s="665"/>
      <c r="CQ129" s="665"/>
      <c r="CR129" s="665"/>
      <c r="CS129" s="665"/>
      <c r="CT129" s="665"/>
      <c r="CU129" s="665"/>
      <c r="CV129" s="665"/>
      <c r="CW129" s="665"/>
      <c r="CX129" s="665"/>
      <c r="CY129" s="665"/>
      <c r="CZ129" s="665"/>
      <c r="DA129" s="665"/>
      <c r="DB129" s="665"/>
      <c r="DC129" s="665"/>
      <c r="DD129" s="665"/>
      <c r="DE129" s="665"/>
      <c r="DF129" s="665"/>
      <c r="DG129" s="665"/>
      <c r="DH129" s="665"/>
      <c r="DI129" s="665"/>
      <c r="DJ129" s="665"/>
      <c r="DK129" s="665"/>
      <c r="DL129" s="665"/>
      <c r="DM129" s="665"/>
      <c r="DN129" s="665"/>
      <c r="DO129" s="665"/>
      <c r="DP129" s="665"/>
      <c r="DQ129" s="665"/>
      <c r="DR129" s="669"/>
      <c r="DS129" s="665"/>
      <c r="DT129" s="665"/>
      <c r="DU129" s="665"/>
      <c r="DV129" s="670"/>
      <c r="DW129" s="665"/>
      <c r="DX129" s="844"/>
      <c r="DY129" s="659"/>
    </row>
    <row r="130" spans="1:129" ht="26.25" customHeight="1" thickTop="1" thickBot="1">
      <c r="A130" s="959" t="s">
        <v>647</v>
      </c>
      <c r="B130" s="1881" t="s">
        <v>648</v>
      </c>
      <c r="C130" s="1882"/>
      <c r="D130" s="1882"/>
      <c r="E130" s="1882"/>
      <c r="F130" s="1882"/>
      <c r="G130" s="1882"/>
      <c r="H130" s="1882"/>
      <c r="I130" s="1882"/>
      <c r="J130" s="1882"/>
      <c r="K130" s="1882"/>
      <c r="L130" s="1882"/>
      <c r="M130" s="1883"/>
      <c r="N130" s="1882"/>
      <c r="O130" s="1882"/>
      <c r="P130" s="1883"/>
      <c r="Q130" s="1893" t="s">
        <v>649</v>
      </c>
      <c r="R130" s="1893"/>
      <c r="S130" s="1893"/>
      <c r="T130" s="1893"/>
      <c r="U130" s="1893"/>
      <c r="V130" s="1893"/>
      <c r="W130" s="1893"/>
      <c r="X130" s="1893"/>
      <c r="Y130" s="1893"/>
      <c r="Z130" s="1893"/>
      <c r="AA130" s="1893"/>
      <c r="AB130" s="1893"/>
      <c r="AC130" s="1893"/>
      <c r="AD130" s="1893"/>
      <c r="AE130" s="1893"/>
      <c r="AF130" s="1893"/>
      <c r="AG130" s="1893"/>
      <c r="AH130" s="1893"/>
      <c r="AI130" s="1893"/>
      <c r="AJ130" s="1893"/>
      <c r="AK130" s="1893"/>
      <c r="AL130" s="1893"/>
      <c r="AM130" s="1893"/>
      <c r="AN130" s="1893"/>
      <c r="AO130" s="1893"/>
      <c r="AP130" s="1893"/>
      <c r="AQ130" s="1893"/>
      <c r="AR130" s="1893"/>
      <c r="AS130" s="1893"/>
      <c r="AT130" s="1893"/>
      <c r="AU130" s="1893"/>
      <c r="AV130" s="1893"/>
      <c r="AW130" s="1893"/>
      <c r="AX130" s="1894"/>
      <c r="AY130" s="1882" t="s">
        <v>650</v>
      </c>
      <c r="AZ130" s="1882"/>
      <c r="BA130" s="1895"/>
      <c r="BB130" s="1895"/>
      <c r="BC130" s="1895"/>
      <c r="BD130" s="1895"/>
      <c r="BE130" s="1895"/>
      <c r="BF130" s="1895"/>
      <c r="BG130" s="1895"/>
      <c r="BH130" s="1895"/>
      <c r="BI130" s="1895"/>
      <c r="BJ130" s="1895"/>
      <c r="BK130" s="1895"/>
      <c r="BL130" s="1895"/>
      <c r="BM130" s="1895"/>
      <c r="BN130" s="1895"/>
      <c r="BO130" s="1895"/>
      <c r="BP130" s="1895"/>
      <c r="BQ130" s="1895"/>
      <c r="BR130" s="1895"/>
      <c r="BS130" s="1895"/>
      <c r="BT130" s="1895"/>
      <c r="BU130" s="1895"/>
      <c r="BV130" s="1896"/>
      <c r="BW130" s="1897" t="s">
        <v>651</v>
      </c>
      <c r="BX130" s="1882"/>
      <c r="BY130" s="1882"/>
      <c r="BZ130" s="1882"/>
      <c r="CA130" s="1882"/>
      <c r="CB130" s="1882"/>
      <c r="CC130" s="1882"/>
      <c r="CD130" s="1882"/>
      <c r="CE130" s="1882"/>
      <c r="CF130" s="1882"/>
      <c r="CG130" s="1882"/>
      <c r="CH130" s="1882"/>
      <c r="CI130" s="1882"/>
      <c r="CJ130" s="1882"/>
      <c r="CK130" s="1882"/>
      <c r="CL130" s="1882"/>
      <c r="CM130" s="1882"/>
      <c r="CN130" s="1882"/>
      <c r="CO130" s="1882"/>
      <c r="CP130" s="1883"/>
      <c r="CQ130" s="1804"/>
      <c r="CR130" s="1881" t="s">
        <v>652</v>
      </c>
      <c r="CS130" s="1882"/>
      <c r="CT130" s="1882"/>
      <c r="CU130" s="1882"/>
      <c r="CV130" s="1882"/>
      <c r="CW130" s="1882"/>
      <c r="CX130" s="1882"/>
      <c r="CY130" s="1882"/>
      <c r="CZ130" s="1883"/>
      <c r="DA130" s="1881" t="s">
        <v>3</v>
      </c>
      <c r="DB130" s="1882"/>
      <c r="DC130" s="1882"/>
      <c r="DD130" s="1882"/>
      <c r="DE130" s="1882"/>
      <c r="DF130" s="1882"/>
      <c r="DG130" s="1882"/>
      <c r="DH130" s="1882"/>
      <c r="DI130" s="1882"/>
      <c r="DJ130" s="1803" t="s">
        <v>653</v>
      </c>
      <c r="DK130" s="1804"/>
      <c r="DL130" s="1804"/>
      <c r="DM130" s="1804"/>
      <c r="DN130" s="1804"/>
      <c r="DO130" s="1804"/>
      <c r="DP130" s="1804"/>
      <c r="DQ130" s="1884"/>
      <c r="DR130" s="1885"/>
      <c r="DS130" s="1885"/>
      <c r="DT130" s="1885"/>
      <c r="DU130" s="1885"/>
      <c r="DV130" s="1886"/>
      <c r="DW130" s="960"/>
      <c r="DX130" s="959" t="s">
        <v>647</v>
      </c>
      <c r="DY130" s="659"/>
    </row>
    <row r="131" spans="1:129" ht="26.25" customHeight="1" thickTop="1" thickBot="1">
      <c r="A131" s="959" t="s">
        <v>654</v>
      </c>
      <c r="B131" s="1884">
        <f>SUM(B81:M81)</f>
        <v>874.52</v>
      </c>
      <c r="C131" s="1885"/>
      <c r="D131" s="1885"/>
      <c r="E131" s="1885"/>
      <c r="F131" s="1885"/>
      <c r="G131" s="1885"/>
      <c r="H131" s="1885"/>
      <c r="I131" s="1885"/>
      <c r="J131" s="1885"/>
      <c r="K131" s="1885"/>
      <c r="L131" s="1885"/>
      <c r="M131" s="1886"/>
      <c r="N131" s="1885">
        <f>SUM(N81:P81)</f>
        <v>139.12</v>
      </c>
      <c r="O131" s="1885"/>
      <c r="P131" s="1886"/>
      <c r="Q131" s="1887">
        <f>SUM(Q81:AX81)</f>
        <v>11380.04</v>
      </c>
      <c r="R131" s="1887"/>
      <c r="S131" s="1887"/>
      <c r="T131" s="1887"/>
      <c r="U131" s="1887"/>
      <c r="V131" s="1887"/>
      <c r="W131" s="1887"/>
      <c r="X131" s="1887"/>
      <c r="Y131" s="1887"/>
      <c r="Z131" s="1887"/>
      <c r="AA131" s="1887"/>
      <c r="AB131" s="1887"/>
      <c r="AC131" s="1887"/>
      <c r="AD131" s="1887"/>
      <c r="AE131" s="1887"/>
      <c r="AF131" s="1887"/>
      <c r="AG131" s="1887"/>
      <c r="AH131" s="1887"/>
      <c r="AI131" s="1887"/>
      <c r="AJ131" s="1887"/>
      <c r="AK131" s="1887"/>
      <c r="AL131" s="1887"/>
      <c r="AM131" s="1887"/>
      <c r="AN131" s="1887"/>
      <c r="AO131" s="1887"/>
      <c r="AP131" s="1887"/>
      <c r="AQ131" s="1887"/>
      <c r="AR131" s="1887"/>
      <c r="AS131" s="1887"/>
      <c r="AT131" s="1887"/>
      <c r="AU131" s="1887"/>
      <c r="AV131" s="1887"/>
      <c r="AW131" s="1887"/>
      <c r="AX131" s="1888"/>
      <c r="AY131" s="1889">
        <f>SUM(AY81:BV81)</f>
        <v>6535.9000000000005</v>
      </c>
      <c r="AZ131" s="1889"/>
      <c r="BA131" s="1890"/>
      <c r="BB131" s="1890"/>
      <c r="BC131" s="1890"/>
      <c r="BD131" s="1890"/>
      <c r="BE131" s="1890"/>
      <c r="BF131" s="1890"/>
      <c r="BG131" s="1890"/>
      <c r="BH131" s="1890"/>
      <c r="BI131" s="1890"/>
      <c r="BJ131" s="1890"/>
      <c r="BK131" s="1890"/>
      <c r="BL131" s="1890"/>
      <c r="BM131" s="1890"/>
      <c r="BN131" s="1890"/>
      <c r="BO131" s="1890"/>
      <c r="BP131" s="1890"/>
      <c r="BQ131" s="1890"/>
      <c r="BR131" s="1890"/>
      <c r="BS131" s="1890"/>
      <c r="BT131" s="1890"/>
      <c r="BU131" s="1890"/>
      <c r="BV131" s="1891"/>
      <c r="BW131" s="1885">
        <f>SUM(BW81:CP81)</f>
        <v>15476.579999999998</v>
      </c>
      <c r="BX131" s="1885"/>
      <c r="BY131" s="1885"/>
      <c r="BZ131" s="1885"/>
      <c r="CA131" s="1885"/>
      <c r="CB131" s="1885"/>
      <c r="CC131" s="1885"/>
      <c r="CD131" s="1885"/>
      <c r="CE131" s="1885"/>
      <c r="CF131" s="1885"/>
      <c r="CG131" s="1885"/>
      <c r="CH131" s="1885"/>
      <c r="CI131" s="1885"/>
      <c r="CJ131" s="1885"/>
      <c r="CK131" s="1885"/>
      <c r="CL131" s="1885"/>
      <c r="CM131" s="1885"/>
      <c r="CN131" s="1885"/>
      <c r="CO131" s="1885"/>
      <c r="CP131" s="1886"/>
      <c r="CQ131" s="1801">
        <f>CQ81</f>
        <v>3</v>
      </c>
      <c r="CR131" s="1884">
        <f>SUM(CR81:CZ81)</f>
        <v>930.12</v>
      </c>
      <c r="CS131" s="1885"/>
      <c r="CT131" s="1885"/>
      <c r="CU131" s="1885"/>
      <c r="CV131" s="1885"/>
      <c r="CW131" s="1885"/>
      <c r="CX131" s="1885"/>
      <c r="CY131" s="1885"/>
      <c r="CZ131" s="1886"/>
      <c r="DA131" s="1884">
        <f>SUM(DA81:DI81)</f>
        <v>3026.1000000000004</v>
      </c>
      <c r="DB131" s="1885"/>
      <c r="DC131" s="1885"/>
      <c r="DD131" s="1885"/>
      <c r="DE131" s="1885"/>
      <c r="DF131" s="1885"/>
      <c r="DG131" s="1885"/>
      <c r="DH131" s="1885"/>
      <c r="DI131" s="1885"/>
      <c r="DJ131" s="1800">
        <f>SUM(DJ81:DP81)</f>
        <v>9754</v>
      </c>
      <c r="DK131" s="1801"/>
      <c r="DL131" s="1801"/>
      <c r="DM131" s="1801"/>
      <c r="DN131" s="1801"/>
      <c r="DO131" s="1801"/>
      <c r="DP131" s="1801"/>
      <c r="DQ131" s="1892"/>
      <c r="DR131" s="1885"/>
      <c r="DS131" s="1885"/>
      <c r="DT131" s="1885"/>
      <c r="DU131" s="1885"/>
      <c r="DV131" s="1886"/>
      <c r="DW131" s="960">
        <f>SUM(B131:DV131)</f>
        <v>48119.380000000005</v>
      </c>
      <c r="DX131" s="959" t="s">
        <v>654</v>
      </c>
      <c r="DY131" s="659"/>
    </row>
    <row r="132" spans="1:129" ht="26.25" customHeight="1" thickTop="1" thickBot="1">
      <c r="A132" s="959" t="s">
        <v>655</v>
      </c>
      <c r="B132" s="1884">
        <f>SUM(B125:M125)</f>
        <v>5986.3600000000006</v>
      </c>
      <c r="C132" s="1885"/>
      <c r="D132" s="1885"/>
      <c r="E132" s="1885"/>
      <c r="F132" s="1885"/>
      <c r="G132" s="1885"/>
      <c r="H132" s="1885"/>
      <c r="I132" s="1885"/>
      <c r="J132" s="1885"/>
      <c r="K132" s="1885"/>
      <c r="L132" s="1885"/>
      <c r="M132" s="1886"/>
      <c r="N132" s="1885">
        <f>SUM(N125:P125)</f>
        <v>1426.7199999999998</v>
      </c>
      <c r="O132" s="1885"/>
      <c r="P132" s="1886"/>
      <c r="Q132" s="1887">
        <f>SUM(Q125:AX125)</f>
        <v>31896.700000000008</v>
      </c>
      <c r="R132" s="1887"/>
      <c r="S132" s="1887"/>
      <c r="T132" s="1887"/>
      <c r="U132" s="1887"/>
      <c r="V132" s="1887"/>
      <c r="W132" s="1887"/>
      <c r="X132" s="1887"/>
      <c r="Y132" s="1887"/>
      <c r="Z132" s="1887"/>
      <c r="AA132" s="1887"/>
      <c r="AB132" s="1887"/>
      <c r="AC132" s="1887"/>
      <c r="AD132" s="1887"/>
      <c r="AE132" s="1887"/>
      <c r="AF132" s="1887"/>
      <c r="AG132" s="1887"/>
      <c r="AH132" s="1887"/>
      <c r="AI132" s="1887"/>
      <c r="AJ132" s="1887"/>
      <c r="AK132" s="1887"/>
      <c r="AL132" s="1887"/>
      <c r="AM132" s="1887"/>
      <c r="AN132" s="1887"/>
      <c r="AO132" s="1887"/>
      <c r="AP132" s="1887"/>
      <c r="AQ132" s="1887"/>
      <c r="AR132" s="1887"/>
      <c r="AS132" s="1887"/>
      <c r="AT132" s="1887"/>
      <c r="AU132" s="1887"/>
      <c r="AV132" s="1887"/>
      <c r="AW132" s="1887"/>
      <c r="AX132" s="1888"/>
      <c r="AY132" s="1889">
        <f>SUM(AY125:BV125)</f>
        <v>10542.1</v>
      </c>
      <c r="AZ132" s="1889"/>
      <c r="BA132" s="1890"/>
      <c r="BB132" s="1890"/>
      <c r="BC132" s="1890"/>
      <c r="BD132" s="1890"/>
      <c r="BE132" s="1890"/>
      <c r="BF132" s="1890"/>
      <c r="BG132" s="1890"/>
      <c r="BH132" s="1890"/>
      <c r="BI132" s="1890"/>
      <c r="BJ132" s="1890"/>
      <c r="BK132" s="1890"/>
      <c r="BL132" s="1890"/>
      <c r="BM132" s="1890"/>
      <c r="BN132" s="1890"/>
      <c r="BO132" s="1890"/>
      <c r="BP132" s="1890"/>
      <c r="BQ132" s="1890"/>
      <c r="BR132" s="1890"/>
      <c r="BS132" s="1890"/>
      <c r="BT132" s="1890"/>
      <c r="BU132" s="1890"/>
      <c r="BV132" s="1891"/>
      <c r="BW132" s="1885">
        <f>SUM(BW125:CP125)</f>
        <v>20603.27</v>
      </c>
      <c r="BX132" s="1885"/>
      <c r="BY132" s="1885"/>
      <c r="BZ132" s="1885"/>
      <c r="CA132" s="1885"/>
      <c r="CB132" s="1885"/>
      <c r="CC132" s="1885"/>
      <c r="CD132" s="1885"/>
      <c r="CE132" s="1885"/>
      <c r="CF132" s="1885"/>
      <c r="CG132" s="1885"/>
      <c r="CH132" s="1885"/>
      <c r="CI132" s="1885"/>
      <c r="CJ132" s="1885"/>
      <c r="CK132" s="1885"/>
      <c r="CL132" s="1885"/>
      <c r="CM132" s="1885"/>
      <c r="CN132" s="1885"/>
      <c r="CO132" s="1885"/>
      <c r="CP132" s="1886"/>
      <c r="CQ132" s="1801">
        <f>CQ125</f>
        <v>67.5</v>
      </c>
      <c r="CR132" s="1884">
        <f>SUM(CR125:CZ125)</f>
        <v>5775.46</v>
      </c>
      <c r="CS132" s="1885"/>
      <c r="CT132" s="1885"/>
      <c r="CU132" s="1885"/>
      <c r="CV132" s="1885"/>
      <c r="CW132" s="1885"/>
      <c r="CX132" s="1885"/>
      <c r="CY132" s="1885"/>
      <c r="CZ132" s="1886"/>
      <c r="DA132" s="1884">
        <f>SUM(DA125:DI125)</f>
        <v>9792.1500000000015</v>
      </c>
      <c r="DB132" s="1885"/>
      <c r="DC132" s="1885"/>
      <c r="DD132" s="1885"/>
      <c r="DE132" s="1885"/>
      <c r="DF132" s="1885"/>
      <c r="DG132" s="1885"/>
      <c r="DH132" s="1885"/>
      <c r="DI132" s="1885"/>
      <c r="DJ132" s="1800">
        <f>SUM(DJ125:DP125)</f>
        <v>1718.5</v>
      </c>
      <c r="DK132" s="1801"/>
      <c r="DL132" s="1801"/>
      <c r="DM132" s="1801"/>
      <c r="DN132" s="1801"/>
      <c r="DO132" s="1801"/>
      <c r="DP132" s="1801"/>
      <c r="DQ132" s="1892"/>
      <c r="DR132" s="1885"/>
      <c r="DS132" s="1885"/>
      <c r="DT132" s="1885"/>
      <c r="DU132" s="1885"/>
      <c r="DV132" s="1886"/>
      <c r="DW132" s="960">
        <f>SUM(B132:DV132)</f>
        <v>87808.760000000009</v>
      </c>
      <c r="DX132" s="959" t="s">
        <v>655</v>
      </c>
      <c r="DY132" s="659"/>
    </row>
    <row r="133" spans="1:129" ht="9.75" customHeight="1" thickTop="1" thickBot="1">
      <c r="A133" s="961" t="s">
        <v>40</v>
      </c>
      <c r="B133" s="962"/>
      <c r="C133" s="962"/>
      <c r="D133" s="962"/>
      <c r="E133" s="962"/>
      <c r="F133" s="962"/>
      <c r="G133" s="962"/>
      <c r="H133" s="962"/>
      <c r="I133" s="962"/>
      <c r="J133" s="962"/>
      <c r="K133" s="962"/>
      <c r="L133" s="962"/>
      <c r="M133" s="962"/>
      <c r="N133" s="962"/>
      <c r="O133" s="962"/>
      <c r="P133" s="962"/>
      <c r="Q133" s="962"/>
      <c r="R133" s="962"/>
      <c r="S133" s="962"/>
      <c r="T133" s="962"/>
      <c r="U133" s="962"/>
      <c r="V133" s="962"/>
      <c r="W133" s="962"/>
      <c r="X133" s="962"/>
      <c r="Y133" s="962"/>
      <c r="Z133" s="962"/>
      <c r="AA133" s="962"/>
      <c r="AB133" s="962"/>
      <c r="AC133" s="962"/>
      <c r="AD133" s="962"/>
      <c r="AE133" s="962"/>
      <c r="AF133" s="962"/>
      <c r="AG133" s="962"/>
      <c r="AH133" s="962"/>
      <c r="AI133" s="962"/>
      <c r="AJ133" s="962"/>
      <c r="AK133" s="962"/>
      <c r="AL133" s="962"/>
      <c r="AM133" s="962"/>
      <c r="AN133" s="962"/>
      <c r="AO133" s="962"/>
      <c r="AP133" s="962"/>
      <c r="AQ133" s="962"/>
      <c r="AR133" s="962"/>
      <c r="AS133" s="962"/>
      <c r="AT133" s="962"/>
      <c r="AU133" s="962"/>
      <c r="AV133" s="962"/>
      <c r="AW133" s="962"/>
      <c r="AX133" s="962"/>
      <c r="AY133" s="962"/>
      <c r="AZ133" s="962"/>
      <c r="BA133" s="962"/>
      <c r="BB133" s="962"/>
      <c r="BC133" s="962"/>
      <c r="BD133" s="962"/>
      <c r="BE133" s="962"/>
      <c r="BF133" s="962"/>
      <c r="BG133" s="962"/>
      <c r="BH133" s="962"/>
      <c r="BI133" s="962"/>
      <c r="BJ133" s="962"/>
      <c r="BK133" s="962"/>
      <c r="BL133" s="962"/>
      <c r="BM133" s="962"/>
      <c r="BN133" s="962"/>
      <c r="BO133" s="962"/>
      <c r="BP133" s="962"/>
      <c r="BQ133" s="962"/>
      <c r="BR133" s="962"/>
      <c r="BS133" s="962"/>
      <c r="BT133" s="962"/>
      <c r="BU133" s="962"/>
      <c r="BV133" s="962"/>
      <c r="BW133" s="962"/>
      <c r="BX133" s="962"/>
      <c r="BY133" s="962"/>
      <c r="BZ133" s="962"/>
      <c r="CA133" s="962"/>
      <c r="CB133" s="962"/>
      <c r="CC133" s="962"/>
      <c r="CD133" s="962"/>
      <c r="CE133" s="962"/>
      <c r="CF133" s="962"/>
      <c r="CG133" s="962"/>
      <c r="CH133" s="962"/>
      <c r="CI133" s="962"/>
      <c r="CJ133" s="962"/>
      <c r="CK133" s="962"/>
      <c r="CL133" s="962"/>
      <c r="CM133" s="962"/>
      <c r="CN133" s="962"/>
      <c r="CO133" s="962"/>
      <c r="CP133" s="962"/>
      <c r="CQ133" s="962"/>
      <c r="CR133" s="962"/>
      <c r="CS133" s="962"/>
      <c r="CT133" s="962"/>
      <c r="CU133" s="962"/>
      <c r="CV133" s="962"/>
      <c r="CW133" s="962"/>
      <c r="CX133" s="962"/>
      <c r="CY133" s="962"/>
      <c r="CZ133" s="962"/>
      <c r="DA133" s="962"/>
      <c r="DB133" s="962"/>
      <c r="DC133" s="962"/>
      <c r="DD133" s="962"/>
      <c r="DE133" s="962"/>
      <c r="DF133" s="962"/>
      <c r="DG133" s="962"/>
      <c r="DH133" s="962"/>
      <c r="DI133" s="962"/>
      <c r="DJ133" s="962"/>
      <c r="DK133" s="962"/>
      <c r="DL133" s="962"/>
      <c r="DM133" s="962"/>
      <c r="DN133" s="962"/>
      <c r="DO133" s="962"/>
      <c r="DP133" s="962"/>
      <c r="DQ133" s="962"/>
      <c r="DR133" s="963"/>
      <c r="DS133" s="962"/>
      <c r="DT133" s="962"/>
      <c r="DU133" s="962"/>
      <c r="DV133" s="964"/>
      <c r="DW133" s="962"/>
      <c r="DX133" s="965" t="s">
        <v>40</v>
      </c>
      <c r="DY133" s="659"/>
    </row>
    <row r="134" spans="1:129" ht="15" customHeight="1" outlineLevel="1" thickTop="1" thickBot="1">
      <c r="A134" s="966" t="s">
        <v>656</v>
      </c>
      <c r="B134" s="967"/>
      <c r="C134" s="967"/>
      <c r="D134" s="967"/>
      <c r="E134" s="967"/>
      <c r="F134" s="967"/>
      <c r="G134" s="967"/>
      <c r="H134" s="967"/>
      <c r="I134" s="968"/>
      <c r="J134" s="969"/>
      <c r="K134" s="969"/>
      <c r="L134" s="969"/>
      <c r="M134" s="969"/>
      <c r="N134" s="969"/>
      <c r="O134" s="969"/>
      <c r="P134" s="970"/>
      <c r="Q134" s="971"/>
      <c r="R134" s="971"/>
      <c r="S134" s="971"/>
      <c r="T134" s="972"/>
      <c r="U134" s="972"/>
      <c r="V134" s="973">
        <f>V81</f>
        <v>7.2</v>
      </c>
      <c r="W134" s="973"/>
      <c r="X134" s="973"/>
      <c r="Y134" s="974"/>
      <c r="Z134" s="975"/>
      <c r="AA134" s="1898"/>
      <c r="AB134" s="1898"/>
      <c r="AC134" s="1898"/>
      <c r="AD134" s="1898"/>
      <c r="AE134" s="1898"/>
      <c r="AF134" s="1898"/>
      <c r="AG134" s="1898"/>
      <c r="AH134" s="1898"/>
      <c r="AI134" s="1898"/>
      <c r="AJ134" s="1898"/>
      <c r="AK134" s="1898"/>
      <c r="AL134" s="1899"/>
      <c r="AM134" s="1899"/>
      <c r="AN134" s="1899"/>
      <c r="AO134" s="1899"/>
      <c r="AP134" s="1899"/>
      <c r="AQ134" s="1900"/>
      <c r="AR134" s="971">
        <f>SUM(AR81)</f>
        <v>921.44</v>
      </c>
      <c r="AS134" s="971"/>
      <c r="AT134" s="971"/>
      <c r="AU134" s="971"/>
      <c r="AV134" s="971"/>
      <c r="AW134" s="976"/>
      <c r="AX134" s="976"/>
      <c r="AY134" s="1901"/>
      <c r="AZ134" s="1901"/>
      <c r="BA134" s="1901"/>
      <c r="BB134" s="1901"/>
      <c r="BC134" s="1901"/>
      <c r="BD134" s="1901"/>
      <c r="BE134" s="1901"/>
      <c r="BF134" s="1901"/>
      <c r="BG134" s="1901"/>
      <c r="BH134" s="1901"/>
      <c r="BI134" s="1901"/>
      <c r="BJ134" s="1901"/>
      <c r="BK134" s="1901"/>
      <c r="BL134" s="1798"/>
      <c r="BM134" s="1902"/>
      <c r="BN134" s="1902"/>
      <c r="BO134" s="1903"/>
      <c r="BP134" s="1903"/>
      <c r="BQ134" s="1903"/>
      <c r="BR134" s="1903"/>
      <c r="BS134" s="1903"/>
      <c r="BT134" s="1903"/>
      <c r="BU134" s="1903"/>
      <c r="BV134" s="1904"/>
      <c r="BW134" s="1905"/>
      <c r="BX134" s="1905"/>
      <c r="BY134" s="1905"/>
      <c r="BZ134" s="1906"/>
      <c r="CA134" s="1906"/>
      <c r="CB134" s="1906"/>
      <c r="CC134" s="1906"/>
      <c r="CD134" s="1906"/>
      <c r="CE134" s="1906"/>
      <c r="CF134" s="1906"/>
      <c r="CG134" s="1906"/>
      <c r="CH134" s="1906"/>
      <c r="CI134" s="1906"/>
      <c r="CJ134" s="1906"/>
      <c r="CK134" s="1906"/>
      <c r="CL134" s="1906"/>
      <c r="CM134" s="1906"/>
      <c r="CN134" s="1906"/>
      <c r="CO134" s="1907"/>
      <c r="CP134" s="970"/>
      <c r="CQ134" s="970"/>
      <c r="CR134" s="970"/>
      <c r="CS134" s="970"/>
      <c r="CT134" s="970"/>
      <c r="CU134" s="970"/>
      <c r="CV134" s="970"/>
      <c r="CW134" s="970"/>
      <c r="CX134" s="970"/>
      <c r="CY134" s="970"/>
      <c r="CZ134" s="970"/>
      <c r="DA134" s="1908">
        <f>SUM(DA81:DH81)</f>
        <v>2853.3</v>
      </c>
      <c r="DB134" s="1909"/>
      <c r="DC134" s="1909"/>
      <c r="DD134" s="1909"/>
      <c r="DE134" s="1909"/>
      <c r="DF134" s="1910"/>
      <c r="DG134" s="1910"/>
      <c r="DH134" s="1911"/>
      <c r="DI134" s="977"/>
      <c r="DJ134" s="1912">
        <f>SUM(DJ81:DK81)</f>
        <v>6231</v>
      </c>
      <c r="DK134" s="1913"/>
      <c r="DL134" s="978"/>
      <c r="DM134" s="978"/>
      <c r="DN134" s="978"/>
      <c r="DO134" s="1799"/>
      <c r="DP134" s="1799"/>
      <c r="DQ134" s="979">
        <f>SUM(DQ81)</f>
        <v>0</v>
      </c>
      <c r="DR134" s="980"/>
      <c r="DS134" s="981"/>
      <c r="DT134" s="981"/>
      <c r="DU134" s="981"/>
      <c r="DV134" s="982"/>
      <c r="DW134" s="983">
        <f>SUM(B134:DV134)</f>
        <v>10012.94</v>
      </c>
      <c r="DX134" s="984" t="s">
        <v>656</v>
      </c>
      <c r="DY134" s="659"/>
    </row>
    <row r="135" spans="1:129" ht="8.25" customHeight="1" outlineLevel="1" thickTop="1" thickBot="1">
      <c r="A135" s="985"/>
      <c r="B135" s="985"/>
      <c r="C135" s="985"/>
      <c r="D135" s="985"/>
      <c r="E135" s="985"/>
      <c r="F135" s="985"/>
      <c r="G135" s="985"/>
      <c r="H135" s="985"/>
      <c r="I135" s="985"/>
      <c r="J135" s="985"/>
      <c r="K135" s="985"/>
      <c r="L135" s="985"/>
      <c r="M135" s="985"/>
      <c r="N135" s="985"/>
      <c r="O135" s="985"/>
      <c r="P135" s="985"/>
      <c r="Q135" s="985"/>
      <c r="R135" s="985"/>
      <c r="S135" s="985"/>
      <c r="T135" s="985"/>
      <c r="U135" s="985"/>
      <c r="V135" s="985"/>
      <c r="W135" s="985"/>
      <c r="X135" s="985"/>
      <c r="Y135" s="986"/>
      <c r="Z135" s="985"/>
      <c r="AA135" s="987"/>
      <c r="AB135" s="987"/>
      <c r="AC135" s="987"/>
      <c r="AD135" s="987"/>
      <c r="AE135" s="987"/>
      <c r="AF135" s="987"/>
      <c r="AG135" s="987"/>
      <c r="AH135" s="987"/>
      <c r="AI135" s="987"/>
      <c r="AJ135" s="987"/>
      <c r="AK135" s="987"/>
      <c r="AL135" s="987"/>
      <c r="AM135" s="987"/>
      <c r="AN135" s="987"/>
      <c r="AO135" s="987"/>
      <c r="AP135" s="987"/>
      <c r="AQ135" s="987"/>
      <c r="AR135" s="985"/>
      <c r="AS135" s="985"/>
      <c r="AT135" s="985"/>
      <c r="AU135" s="985"/>
      <c r="AV135" s="985"/>
      <c r="AW135" s="985"/>
      <c r="AX135" s="985"/>
      <c r="AY135" s="985"/>
      <c r="AZ135" s="985"/>
      <c r="BA135" s="985"/>
      <c r="BB135" s="985"/>
      <c r="BC135" s="985"/>
      <c r="BD135" s="985"/>
      <c r="BE135" s="985"/>
      <c r="BF135" s="985"/>
      <c r="BG135" s="985"/>
      <c r="BH135" s="985"/>
      <c r="BI135" s="985"/>
      <c r="BJ135" s="985"/>
      <c r="BK135" s="985"/>
      <c r="BL135" s="985"/>
      <c r="BM135" s="985"/>
      <c r="BN135" s="985"/>
      <c r="BO135" s="985"/>
      <c r="BP135" s="985"/>
      <c r="BQ135" s="985"/>
      <c r="BR135" s="985"/>
      <c r="BS135" s="985"/>
      <c r="BT135" s="985"/>
      <c r="BU135" s="985"/>
      <c r="BV135" s="985"/>
      <c r="BW135" s="985"/>
      <c r="BX135" s="985"/>
      <c r="BY135" s="985"/>
      <c r="BZ135" s="985"/>
      <c r="CA135" s="985"/>
      <c r="CB135" s="985"/>
      <c r="CC135" s="985"/>
      <c r="CD135" s="985"/>
      <c r="CE135" s="985"/>
      <c r="CF135" s="985"/>
      <c r="CG135" s="985"/>
      <c r="CH135" s="985"/>
      <c r="CI135" s="985"/>
      <c r="CJ135" s="985"/>
      <c r="CK135" s="985"/>
      <c r="CL135" s="985"/>
      <c r="CM135" s="985"/>
      <c r="CN135" s="985"/>
      <c r="CO135" s="985"/>
      <c r="CP135" s="985"/>
      <c r="CQ135" s="985"/>
      <c r="CR135" s="985"/>
      <c r="CS135" s="985"/>
      <c r="CT135" s="985"/>
      <c r="CU135" s="985"/>
      <c r="CV135" s="985"/>
      <c r="CW135" s="985"/>
      <c r="CX135" s="985"/>
      <c r="CY135" s="985"/>
      <c r="CZ135" s="985"/>
      <c r="DA135" s="985"/>
      <c r="DB135" s="985"/>
      <c r="DC135" s="985"/>
      <c r="DD135" s="985"/>
      <c r="DE135" s="985"/>
      <c r="DF135" s="985"/>
      <c r="DG135" s="985"/>
      <c r="DH135" s="985"/>
      <c r="DI135" s="985"/>
      <c r="DJ135" s="985"/>
      <c r="DK135" s="985"/>
      <c r="DL135" s="985"/>
      <c r="DM135" s="985"/>
      <c r="DN135" s="985"/>
      <c r="DO135" s="985"/>
      <c r="DP135" s="985"/>
      <c r="DQ135" s="985"/>
      <c r="DR135" s="988"/>
      <c r="DS135" s="985"/>
      <c r="DT135" s="985"/>
      <c r="DU135" s="985"/>
      <c r="DV135" s="989"/>
      <c r="DW135" s="985"/>
      <c r="DX135" s="990"/>
      <c r="DY135" s="659"/>
    </row>
    <row r="136" spans="1:129" ht="15" customHeight="1" outlineLevel="1" thickTop="1" thickBot="1">
      <c r="A136" s="966" t="s">
        <v>657</v>
      </c>
      <c r="B136" s="967"/>
      <c r="C136" s="967"/>
      <c r="D136" s="967"/>
      <c r="E136" s="967"/>
      <c r="F136" s="967"/>
      <c r="G136" s="967"/>
      <c r="H136" s="967"/>
      <c r="I136" s="968"/>
      <c r="J136" s="969"/>
      <c r="K136" s="969"/>
      <c r="L136" s="969"/>
      <c r="M136" s="969"/>
      <c r="N136" s="969"/>
      <c r="O136" s="969"/>
      <c r="P136" s="970"/>
      <c r="Q136" s="971"/>
      <c r="R136" s="971"/>
      <c r="S136" s="971"/>
      <c r="T136" s="972"/>
      <c r="U136" s="972"/>
      <c r="V136" s="973">
        <f>V115</f>
        <v>313.86285714285714</v>
      </c>
      <c r="W136" s="973"/>
      <c r="X136" s="973"/>
      <c r="Y136" s="974"/>
      <c r="Z136" s="975"/>
      <c r="AA136" s="1898"/>
      <c r="AB136" s="1898"/>
      <c r="AC136" s="1898"/>
      <c r="AD136" s="1898"/>
      <c r="AE136" s="1898"/>
      <c r="AF136" s="1898"/>
      <c r="AG136" s="1898"/>
      <c r="AH136" s="1898"/>
      <c r="AI136" s="1898"/>
      <c r="AJ136" s="1898"/>
      <c r="AK136" s="1898"/>
      <c r="AL136" s="1899"/>
      <c r="AM136" s="1899"/>
      <c r="AN136" s="1899"/>
      <c r="AO136" s="1899"/>
      <c r="AP136" s="1899"/>
      <c r="AQ136" s="1900"/>
      <c r="AR136" s="971">
        <f>AR115</f>
        <v>295.1742857142857</v>
      </c>
      <c r="AS136" s="971"/>
      <c r="AT136" s="971"/>
      <c r="AU136" s="971"/>
      <c r="AV136" s="971"/>
      <c r="AW136" s="976"/>
      <c r="AX136" s="976"/>
      <c r="AY136" s="1901"/>
      <c r="AZ136" s="1901"/>
      <c r="BA136" s="1901"/>
      <c r="BB136" s="1901"/>
      <c r="BC136" s="1901"/>
      <c r="BD136" s="1901"/>
      <c r="BE136" s="1901"/>
      <c r="BF136" s="1901"/>
      <c r="BG136" s="1901"/>
      <c r="BH136" s="1901"/>
      <c r="BI136" s="1901"/>
      <c r="BJ136" s="1901"/>
      <c r="BK136" s="1901"/>
      <c r="BL136" s="1798"/>
      <c r="BM136" s="1902"/>
      <c r="BN136" s="1902"/>
      <c r="BO136" s="1903"/>
      <c r="BP136" s="1903"/>
      <c r="BQ136" s="1903"/>
      <c r="BR136" s="1903"/>
      <c r="BS136" s="1903"/>
      <c r="BT136" s="1903"/>
      <c r="BU136" s="1903"/>
      <c r="BV136" s="1904"/>
      <c r="BW136" s="1905"/>
      <c r="BX136" s="1905"/>
      <c r="BY136" s="1905"/>
      <c r="BZ136" s="1906"/>
      <c r="CA136" s="1906"/>
      <c r="CB136" s="1906"/>
      <c r="CC136" s="1906"/>
      <c r="CD136" s="1906"/>
      <c r="CE136" s="1906"/>
      <c r="CF136" s="1906"/>
      <c r="CG136" s="1906"/>
      <c r="CH136" s="1906"/>
      <c r="CI136" s="1906"/>
      <c r="CJ136" s="1906"/>
      <c r="CK136" s="1906"/>
      <c r="CL136" s="1906"/>
      <c r="CM136" s="1906"/>
      <c r="CN136" s="1906"/>
      <c r="CO136" s="1907"/>
      <c r="CP136" s="970"/>
      <c r="CQ136" s="970"/>
      <c r="CR136" s="970"/>
      <c r="CS136" s="970"/>
      <c r="CT136" s="970"/>
      <c r="CU136" s="970"/>
      <c r="CV136" s="970"/>
      <c r="CW136" s="970"/>
      <c r="CX136" s="970"/>
      <c r="CY136" s="970"/>
      <c r="CZ136" s="970"/>
      <c r="DA136" s="1908">
        <f>SUM(DA115:DH115)</f>
        <v>22404.42142857143</v>
      </c>
      <c r="DB136" s="1909"/>
      <c r="DC136" s="1909"/>
      <c r="DD136" s="1909"/>
      <c r="DE136" s="1909"/>
      <c r="DF136" s="1910"/>
      <c r="DG136" s="1910"/>
      <c r="DH136" s="1911"/>
      <c r="DI136" s="977"/>
      <c r="DJ136" s="1912">
        <f>SUM(DJ115:DK115)</f>
        <v>1458.9047619047619</v>
      </c>
      <c r="DK136" s="1913"/>
      <c r="DL136" s="978"/>
      <c r="DM136" s="978"/>
      <c r="DN136" s="978"/>
      <c r="DO136" s="1799"/>
      <c r="DP136" s="1799"/>
      <c r="DQ136" s="979">
        <f>DQ115</f>
        <v>0</v>
      </c>
      <c r="DR136" s="980"/>
      <c r="DS136" s="981"/>
      <c r="DT136" s="981"/>
      <c r="DU136" s="981"/>
      <c r="DV136" s="982"/>
      <c r="DW136" s="983">
        <f>SUM(B136:DV136)</f>
        <v>24472.363333333335</v>
      </c>
      <c r="DX136" s="984" t="s">
        <v>657</v>
      </c>
      <c r="DY136" s="659"/>
    </row>
    <row r="137" spans="1:129" ht="8.25" customHeight="1" outlineLevel="1" thickTop="1" thickBot="1">
      <c r="A137" s="985"/>
      <c r="B137" s="985"/>
      <c r="C137" s="985"/>
      <c r="D137" s="985"/>
      <c r="E137" s="985"/>
      <c r="F137" s="985"/>
      <c r="G137" s="985"/>
      <c r="H137" s="985"/>
      <c r="I137" s="985"/>
      <c r="J137" s="985"/>
      <c r="K137" s="985"/>
      <c r="L137" s="985"/>
      <c r="M137" s="985"/>
      <c r="N137" s="985"/>
      <c r="O137" s="985"/>
      <c r="P137" s="985"/>
      <c r="Q137" s="985"/>
      <c r="R137" s="985"/>
      <c r="S137" s="985"/>
      <c r="T137" s="985"/>
      <c r="U137" s="985"/>
      <c r="V137" s="985"/>
      <c r="W137" s="985"/>
      <c r="X137" s="985"/>
      <c r="Y137" s="986"/>
      <c r="Z137" s="985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5"/>
      <c r="AS137" s="985"/>
      <c r="AT137" s="985"/>
      <c r="AU137" s="985"/>
      <c r="AV137" s="985"/>
      <c r="AW137" s="985"/>
      <c r="AX137" s="985"/>
      <c r="AY137" s="985"/>
      <c r="AZ137" s="985"/>
      <c r="BA137" s="985"/>
      <c r="BB137" s="985"/>
      <c r="BC137" s="985"/>
      <c r="BD137" s="985"/>
      <c r="BE137" s="985"/>
      <c r="BF137" s="985"/>
      <c r="BG137" s="985"/>
      <c r="BH137" s="985"/>
      <c r="BI137" s="985"/>
      <c r="BJ137" s="985"/>
      <c r="BK137" s="985"/>
      <c r="BL137" s="985"/>
      <c r="BM137" s="985"/>
      <c r="BN137" s="985"/>
      <c r="BO137" s="985"/>
      <c r="BP137" s="985"/>
      <c r="BQ137" s="985"/>
      <c r="BR137" s="985"/>
      <c r="BS137" s="985"/>
      <c r="BT137" s="985"/>
      <c r="BU137" s="985"/>
      <c r="BV137" s="985"/>
      <c r="BW137" s="985"/>
      <c r="BX137" s="985"/>
      <c r="BY137" s="985"/>
      <c r="BZ137" s="985"/>
      <c r="CA137" s="985"/>
      <c r="CB137" s="985"/>
      <c r="CC137" s="985"/>
      <c r="CD137" s="985"/>
      <c r="CE137" s="985"/>
      <c r="CF137" s="985"/>
      <c r="CG137" s="985"/>
      <c r="CH137" s="985"/>
      <c r="CI137" s="985"/>
      <c r="CJ137" s="985"/>
      <c r="CK137" s="985"/>
      <c r="CL137" s="985"/>
      <c r="CM137" s="985"/>
      <c r="CN137" s="985"/>
      <c r="CO137" s="985"/>
      <c r="CP137" s="985"/>
      <c r="CQ137" s="985"/>
      <c r="CR137" s="985"/>
      <c r="CS137" s="985"/>
      <c r="CT137" s="985"/>
      <c r="CU137" s="985"/>
      <c r="CV137" s="985"/>
      <c r="CW137" s="985"/>
      <c r="CX137" s="985"/>
      <c r="CY137" s="985"/>
      <c r="CZ137" s="985"/>
      <c r="DA137" s="985"/>
      <c r="DB137" s="985"/>
      <c r="DC137" s="985"/>
      <c r="DD137" s="985"/>
      <c r="DE137" s="985"/>
      <c r="DF137" s="985"/>
      <c r="DG137" s="985"/>
      <c r="DH137" s="985"/>
      <c r="DI137" s="985"/>
      <c r="DJ137" s="985"/>
      <c r="DK137" s="985"/>
      <c r="DL137" s="985"/>
      <c r="DM137" s="985"/>
      <c r="DN137" s="985"/>
      <c r="DO137" s="985"/>
      <c r="DP137" s="985"/>
      <c r="DQ137" s="985"/>
      <c r="DR137" s="988"/>
      <c r="DS137" s="985"/>
      <c r="DT137" s="985"/>
      <c r="DU137" s="985"/>
      <c r="DV137" s="989"/>
      <c r="DW137" s="985"/>
      <c r="DX137" s="990"/>
      <c r="DY137" s="659"/>
    </row>
    <row r="138" spans="1:129" ht="15" customHeight="1" outlineLevel="1" thickTop="1" thickBot="1">
      <c r="A138" s="966" t="s">
        <v>658</v>
      </c>
      <c r="B138" s="991"/>
      <c r="C138" s="991"/>
      <c r="D138" s="991"/>
      <c r="E138" s="991"/>
      <c r="F138" s="991"/>
      <c r="G138" s="991"/>
      <c r="H138" s="991"/>
      <c r="I138" s="992"/>
      <c r="J138" s="993"/>
      <c r="K138" s="993"/>
      <c r="L138" s="993"/>
      <c r="M138" s="993"/>
      <c r="N138" s="993"/>
      <c r="O138" s="993"/>
      <c r="P138" s="994"/>
      <c r="Q138" s="995"/>
      <c r="R138" s="995"/>
      <c r="S138" s="995"/>
      <c r="T138" s="996"/>
      <c r="U138" s="996"/>
      <c r="V138" s="997">
        <f>V134-V136</f>
        <v>-306.66285714285715</v>
      </c>
      <c r="W138" s="997"/>
      <c r="X138" s="997"/>
      <c r="Y138" s="998"/>
      <c r="Z138" s="999"/>
      <c r="AA138" s="1914"/>
      <c r="AB138" s="1914"/>
      <c r="AC138" s="1914"/>
      <c r="AD138" s="1914"/>
      <c r="AE138" s="1914"/>
      <c r="AF138" s="1914"/>
      <c r="AG138" s="1914"/>
      <c r="AH138" s="1914"/>
      <c r="AI138" s="1914"/>
      <c r="AJ138" s="1914"/>
      <c r="AK138" s="1914"/>
      <c r="AL138" s="1915"/>
      <c r="AM138" s="1915"/>
      <c r="AN138" s="1915"/>
      <c r="AO138" s="1915"/>
      <c r="AP138" s="1915"/>
      <c r="AQ138" s="1916"/>
      <c r="AR138" s="995">
        <f>AR134-AR136</f>
        <v>626.26571428571435</v>
      </c>
      <c r="AS138" s="995"/>
      <c r="AT138" s="995"/>
      <c r="AU138" s="995"/>
      <c r="AV138" s="995"/>
      <c r="AW138" s="976"/>
      <c r="AX138" s="976"/>
      <c r="AY138" s="1917"/>
      <c r="AZ138" s="1917"/>
      <c r="BA138" s="1917"/>
      <c r="BB138" s="1917"/>
      <c r="BC138" s="1917"/>
      <c r="BD138" s="1917"/>
      <c r="BE138" s="1917"/>
      <c r="BF138" s="1917"/>
      <c r="BG138" s="1917"/>
      <c r="BH138" s="1917"/>
      <c r="BI138" s="1917"/>
      <c r="BJ138" s="1917"/>
      <c r="BK138" s="1917"/>
      <c r="BL138" s="1796"/>
      <c r="BM138" s="1918"/>
      <c r="BN138" s="1918"/>
      <c r="BO138" s="1919"/>
      <c r="BP138" s="1919"/>
      <c r="BQ138" s="1919"/>
      <c r="BR138" s="1919"/>
      <c r="BS138" s="1919"/>
      <c r="BT138" s="1919"/>
      <c r="BU138" s="1919"/>
      <c r="BV138" s="1920"/>
      <c r="BW138" s="1921"/>
      <c r="BX138" s="1921"/>
      <c r="BY138" s="1921"/>
      <c r="BZ138" s="1922"/>
      <c r="CA138" s="1922"/>
      <c r="CB138" s="1922"/>
      <c r="CC138" s="1922"/>
      <c r="CD138" s="1922"/>
      <c r="CE138" s="1922"/>
      <c r="CF138" s="1922"/>
      <c r="CG138" s="1922"/>
      <c r="CH138" s="1922"/>
      <c r="CI138" s="1922"/>
      <c r="CJ138" s="1922"/>
      <c r="CK138" s="1922"/>
      <c r="CL138" s="1922"/>
      <c r="CM138" s="1922"/>
      <c r="CN138" s="1922"/>
      <c r="CO138" s="1922"/>
      <c r="CP138" s="994"/>
      <c r="CQ138" s="994"/>
      <c r="CR138" s="994"/>
      <c r="CS138" s="994"/>
      <c r="CT138" s="994"/>
      <c r="CU138" s="994"/>
      <c r="CV138" s="994"/>
      <c r="CW138" s="994"/>
      <c r="CX138" s="994"/>
      <c r="CY138" s="994"/>
      <c r="CZ138" s="994"/>
      <c r="DA138" s="1923">
        <f>DA134-DA136</f>
        <v>-19551.12142857143</v>
      </c>
      <c r="DB138" s="1924"/>
      <c r="DC138" s="1924"/>
      <c r="DD138" s="1924"/>
      <c r="DE138" s="1924"/>
      <c r="DF138" s="1925"/>
      <c r="DG138" s="1925"/>
      <c r="DH138" s="1926"/>
      <c r="DI138" s="1000"/>
      <c r="DJ138" s="1927">
        <f>DJ134-DJ136</f>
        <v>4772.0952380952385</v>
      </c>
      <c r="DK138" s="1928"/>
      <c r="DL138" s="1001"/>
      <c r="DM138" s="1001"/>
      <c r="DN138" s="1001"/>
      <c r="DO138" s="1797"/>
      <c r="DP138" s="1797"/>
      <c r="DQ138" s="1002">
        <f>DQ134-DQ136</f>
        <v>0</v>
      </c>
      <c r="DR138" s="1003"/>
      <c r="DS138" s="1004"/>
      <c r="DT138" s="1004"/>
      <c r="DU138" s="1004"/>
      <c r="DV138" s="1005"/>
      <c r="DW138" s="1006"/>
      <c r="DX138" s="984" t="s">
        <v>658</v>
      </c>
      <c r="DY138" s="659"/>
    </row>
    <row r="139" spans="1:129" ht="9" customHeight="1" outlineLevel="1" thickTop="1">
      <c r="A139" s="1007"/>
      <c r="B139" s="1008"/>
      <c r="C139" s="1008"/>
      <c r="D139" s="1008"/>
      <c r="E139" s="1008"/>
      <c r="F139" s="1008"/>
      <c r="G139" s="1008"/>
      <c r="H139" s="1008"/>
      <c r="I139" s="1008" t="e">
        <f>AVERAGE(#REF!)</f>
        <v>#REF!</v>
      </c>
      <c r="J139" s="1008"/>
      <c r="K139" s="1008"/>
      <c r="L139" s="1008"/>
      <c r="M139" s="1008"/>
      <c r="N139" s="1008"/>
      <c r="O139" s="1008"/>
      <c r="P139" s="1009"/>
      <c r="Q139" s="1008"/>
      <c r="R139" s="1008"/>
      <c r="S139" s="1008"/>
      <c r="T139" s="1008"/>
      <c r="U139" s="1008"/>
      <c r="V139" s="1008"/>
      <c r="W139" s="1008"/>
      <c r="X139" s="1008"/>
      <c r="Y139" s="1008" t="e">
        <f>AVERAGE(#REF!)</f>
        <v>#REF!</v>
      </c>
      <c r="Z139" s="1008"/>
      <c r="AA139" s="1008" t="e">
        <f>AVERAGE(#REF!)</f>
        <v>#REF!</v>
      </c>
      <c r="AB139" s="1008"/>
      <c r="AC139" s="1008"/>
      <c r="AD139" s="1008"/>
      <c r="AE139" s="1008"/>
      <c r="AF139" s="1008"/>
      <c r="AG139" s="1008"/>
      <c r="AH139" s="1008"/>
      <c r="AI139" s="1008"/>
      <c r="AJ139" s="1008"/>
      <c r="AK139" s="1008"/>
      <c r="AL139" s="1008" t="e">
        <f>AVERAGE(#REF!)</f>
        <v>#REF!</v>
      </c>
      <c r="AM139" s="1008"/>
      <c r="AN139" s="1008"/>
      <c r="AO139" s="1009"/>
      <c r="AP139" s="1009"/>
      <c r="AQ139" s="1008" t="e">
        <f>AVERAGE(#REF!)</f>
        <v>#REF!</v>
      </c>
      <c r="AR139" s="1008" t="e">
        <f>AVERAGE(#REF!)</f>
        <v>#REF!</v>
      </c>
      <c r="AS139" s="1008"/>
      <c r="AT139" s="1008"/>
      <c r="AU139" s="1008"/>
      <c r="AV139" s="1008"/>
      <c r="AW139" s="1008"/>
      <c r="AX139" s="1008"/>
      <c r="AY139" s="1008" t="e">
        <f>AVERAGE(#REF!)</f>
        <v>#REF!</v>
      </c>
      <c r="AZ139" s="1008"/>
      <c r="BA139" s="1008" t="e">
        <f>AVERAGE(#REF!)</f>
        <v>#REF!</v>
      </c>
      <c r="BB139" s="1008" t="e">
        <f>AVERAGE(#REF!)</f>
        <v>#REF!</v>
      </c>
      <c r="BC139" s="1008"/>
      <c r="BD139" s="1008"/>
      <c r="BE139" s="1008"/>
      <c r="BF139" s="1008"/>
      <c r="BG139" s="1008"/>
      <c r="BH139" s="1008"/>
      <c r="BI139" s="1008"/>
      <c r="BJ139" s="1008"/>
      <c r="BK139" s="1008"/>
      <c r="BL139" s="1008" t="e">
        <f>AVERAGE(#REF!)</f>
        <v>#REF!</v>
      </c>
      <c r="BM139" s="1008" t="e">
        <f>AVERAGE(#REF!)</f>
        <v>#REF!</v>
      </c>
      <c r="BN139" s="1008"/>
      <c r="BO139" s="1008" t="e">
        <f>AVERAGE(#REF!)</f>
        <v>#REF!</v>
      </c>
      <c r="BP139" s="1008"/>
      <c r="BQ139" s="1008"/>
      <c r="BR139" s="1008"/>
      <c r="BS139" s="1008"/>
      <c r="BT139" s="1008"/>
      <c r="BU139" s="1008"/>
      <c r="BV139" s="1008"/>
      <c r="BW139" s="1008"/>
      <c r="BX139" s="1008"/>
      <c r="BY139" s="1008"/>
      <c r="BZ139" s="1008"/>
      <c r="CA139" s="1008"/>
      <c r="CB139" s="1008"/>
      <c r="CC139" s="1008"/>
      <c r="CD139" s="1009"/>
      <c r="CE139" s="1009"/>
      <c r="CF139" s="1009"/>
      <c r="CG139" s="1009"/>
      <c r="CH139" s="1009"/>
      <c r="CI139" s="1009"/>
      <c r="CJ139" s="1009"/>
      <c r="CK139" s="1008"/>
      <c r="CL139" s="1008"/>
      <c r="CM139" s="1008"/>
      <c r="CN139" s="1008"/>
      <c r="CO139" s="1008"/>
      <c r="CP139" s="1008"/>
      <c r="CQ139" s="1008"/>
      <c r="CR139" s="1008"/>
      <c r="CS139" s="1008"/>
      <c r="CT139" s="1008"/>
      <c r="CU139" s="1008"/>
      <c r="CV139" s="1008"/>
      <c r="CW139" s="1008"/>
      <c r="CX139" s="1008"/>
      <c r="CY139" s="1008"/>
      <c r="CZ139" s="1008"/>
      <c r="DA139" s="1008" t="e">
        <f>AVERAGE(#REF!)</f>
        <v>#REF!</v>
      </c>
      <c r="DB139" s="1008"/>
      <c r="DC139" s="1008"/>
      <c r="DD139" s="1008"/>
      <c r="DE139" s="1008"/>
      <c r="DF139" s="1008"/>
      <c r="DG139" s="1008"/>
      <c r="DH139" s="1008"/>
      <c r="DI139" s="1008"/>
      <c r="DJ139" s="1008" t="e">
        <f>AVERAGE(#REF!)</f>
        <v>#REF!</v>
      </c>
      <c r="DK139" s="1008"/>
      <c r="DL139" s="1008"/>
      <c r="DM139" s="1008"/>
      <c r="DN139" s="1008"/>
      <c r="DO139" s="1008"/>
      <c r="DP139" s="1008"/>
      <c r="DQ139" s="1008"/>
      <c r="DR139" s="1010"/>
      <c r="DS139" s="1008"/>
      <c r="DT139" s="1008"/>
      <c r="DU139" s="1008"/>
      <c r="DV139" s="1011"/>
      <c r="DW139" s="1008" t="e">
        <f t="shared" ref="DW139:DW154" si="53">SUM(B139:DV139)</f>
        <v>#REF!</v>
      </c>
      <c r="DX139" s="1012"/>
      <c r="DY139" s="659"/>
    </row>
    <row r="140" spans="1:129" ht="15" customHeight="1" outlineLevel="1" thickBot="1">
      <c r="A140" s="1007"/>
      <c r="B140" s="1013"/>
      <c r="C140" s="1013"/>
      <c r="D140" s="1013"/>
      <c r="E140" s="1013"/>
      <c r="F140" s="1013"/>
      <c r="G140" s="1013"/>
      <c r="H140" s="1013"/>
      <c r="I140" s="1013">
        <f>I125/50000*50000+I125</f>
        <v>172</v>
      </c>
      <c r="J140" s="1013"/>
      <c r="K140" s="1013"/>
      <c r="L140" s="1013"/>
      <c r="M140" s="1013"/>
      <c r="N140" s="1013"/>
      <c r="O140" s="1013"/>
      <c r="P140" s="1014"/>
      <c r="Q140" s="1013"/>
      <c r="R140" s="1013"/>
      <c r="S140" s="1013"/>
      <c r="T140" s="1015"/>
      <c r="U140" s="1013"/>
      <c r="V140" s="1013"/>
      <c r="W140" s="1013"/>
      <c r="X140" s="1013"/>
      <c r="Y140" s="1013">
        <f>Y125/50000*50000+Y125</f>
        <v>3498.7200000000003</v>
      </c>
      <c r="Z140" s="1013"/>
      <c r="AA140" s="1013">
        <f>AA125/50000*50000+AA125</f>
        <v>2465.6</v>
      </c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13"/>
      <c r="AL140" s="1013">
        <f>AL125/50000*50000+AL125</f>
        <v>478.4</v>
      </c>
      <c r="AM140" s="1013"/>
      <c r="AN140" s="1013"/>
      <c r="AO140" s="1014"/>
      <c r="AP140" s="1014"/>
      <c r="AQ140" s="1013">
        <f>AQ125/50000*50000+AQ125</f>
        <v>1343.2</v>
      </c>
      <c r="AR140" s="1013">
        <f>AR125/50000*50000+AR125</f>
        <v>249.6</v>
      </c>
      <c r="AS140" s="1013"/>
      <c r="AT140" s="1013"/>
      <c r="AU140" s="1013"/>
      <c r="AV140" s="1013"/>
      <c r="AW140" s="1013"/>
      <c r="AX140" s="1013"/>
      <c r="AY140" s="1013">
        <f>AY125/50000*50000+AY125</f>
        <v>3642</v>
      </c>
      <c r="AZ140" s="1013"/>
      <c r="BA140" s="1013">
        <f>BA125/50000*50000+BA125</f>
        <v>320</v>
      </c>
      <c r="BB140" s="1013">
        <f>BB125/50000*50000+BB125</f>
        <v>1441.6000000000001</v>
      </c>
      <c r="BC140" s="1013"/>
      <c r="BD140" s="1013"/>
      <c r="BE140" s="1013"/>
      <c r="BF140" s="1013"/>
      <c r="BG140" s="1013"/>
      <c r="BH140" s="1013"/>
      <c r="BI140" s="1013"/>
      <c r="BJ140" s="1013"/>
      <c r="BK140" s="1013"/>
      <c r="BL140" s="1013">
        <f>BL125/50000*50000+BL125</f>
        <v>109.6</v>
      </c>
      <c r="BM140" s="1013">
        <f>BM125/50000*50000+BM125</f>
        <v>1858</v>
      </c>
      <c r="BN140" s="1013"/>
      <c r="BO140" s="1013">
        <f>BO125/50000*50000+BO125</f>
        <v>5537.6</v>
      </c>
      <c r="BP140" s="1013"/>
      <c r="BQ140" s="1013"/>
      <c r="BR140" s="1013"/>
      <c r="BS140" s="1013"/>
      <c r="BT140" s="1013"/>
      <c r="BU140" s="1013"/>
      <c r="BV140" s="1013"/>
      <c r="BW140" s="1013"/>
      <c r="BX140" s="1013"/>
      <c r="BY140" s="1013"/>
      <c r="BZ140" s="1013"/>
      <c r="CA140" s="1013"/>
      <c r="CB140" s="1013"/>
      <c r="CC140" s="1013"/>
      <c r="CD140" s="1014"/>
      <c r="CE140" s="1014"/>
      <c r="CF140" s="1014"/>
      <c r="CG140" s="1014"/>
      <c r="CH140" s="1014"/>
      <c r="CI140" s="1014"/>
      <c r="CJ140" s="1014"/>
      <c r="CK140" s="1013"/>
      <c r="CL140" s="1013"/>
      <c r="CM140" s="1013"/>
      <c r="CN140" s="1013"/>
      <c r="CO140" s="1013"/>
      <c r="CP140" s="1013"/>
      <c r="CQ140" s="1013"/>
      <c r="CR140" s="1013"/>
      <c r="CS140" s="1013"/>
      <c r="CT140" s="1013"/>
      <c r="CU140" s="1013"/>
      <c r="CV140" s="1013"/>
      <c r="CW140" s="1013"/>
      <c r="CX140" s="1013"/>
      <c r="CY140" s="1013"/>
      <c r="CZ140" s="1013"/>
      <c r="DA140" s="1013">
        <f>DA125/50000*50000+DA125</f>
        <v>2032.5</v>
      </c>
      <c r="DB140" s="1013"/>
      <c r="DC140" s="1013"/>
      <c r="DD140" s="1013"/>
      <c r="DE140" s="1013"/>
      <c r="DF140" s="1013"/>
      <c r="DG140" s="1013"/>
      <c r="DH140" s="1013"/>
      <c r="DI140" s="1013"/>
      <c r="DJ140" s="1013">
        <f>DJ125/50000*50000+DJ125</f>
        <v>1344</v>
      </c>
      <c r="DK140" s="1013"/>
      <c r="DL140" s="1013"/>
      <c r="DM140" s="1013"/>
      <c r="DN140" s="1013"/>
      <c r="DO140" s="1013"/>
      <c r="DP140" s="1013"/>
      <c r="DQ140" s="1016">
        <f>DQ125/59000*40000+DQ125</f>
        <v>0</v>
      </c>
      <c r="DR140" s="1017"/>
      <c r="DS140" s="1016"/>
      <c r="DT140" s="1016"/>
      <c r="DU140" s="1016"/>
      <c r="DV140" s="1018"/>
      <c r="DW140" s="1016">
        <f t="shared" si="53"/>
        <v>24492.82</v>
      </c>
      <c r="DX140" s="1012"/>
      <c r="DY140" s="659"/>
    </row>
    <row r="141" spans="1:129" thickTop="1">
      <c r="A141" s="1019" t="s">
        <v>659</v>
      </c>
      <c r="B141" s="1020">
        <f t="shared" ref="B141:BW141" si="54">SUM(B142:B147)</f>
        <v>8660.5962499999987</v>
      </c>
      <c r="C141" s="1020">
        <f t="shared" si="54"/>
        <v>233.67499999999998</v>
      </c>
      <c r="D141" s="1020">
        <f t="shared" si="54"/>
        <v>3845.6574999999998</v>
      </c>
      <c r="E141" s="1020">
        <f t="shared" si="54"/>
        <v>303</v>
      </c>
      <c r="F141" s="1020">
        <f t="shared" si="54"/>
        <v>6094.5485714285714</v>
      </c>
      <c r="G141" s="1021">
        <f t="shared" si="54"/>
        <v>174</v>
      </c>
      <c r="H141" s="1021">
        <f>SUM(H142:H147)</f>
        <v>500</v>
      </c>
      <c r="I141" s="1021">
        <f t="shared" si="54"/>
        <v>913.05250000000001</v>
      </c>
      <c r="J141" s="1021">
        <f t="shared" si="54"/>
        <v>2017.850666666666</v>
      </c>
      <c r="K141" s="1021">
        <f t="shared" si="54"/>
        <v>290.35000000000002</v>
      </c>
      <c r="L141" s="1021">
        <f t="shared" si="54"/>
        <v>568.703125</v>
      </c>
      <c r="M141" s="1021">
        <f t="shared" ref="M141" si="55">SUM(M142:M147)</f>
        <v>0</v>
      </c>
      <c r="N141" s="1022">
        <f t="shared" si="54"/>
        <v>1269.0825000000002</v>
      </c>
      <c r="O141" s="1022">
        <f t="shared" si="54"/>
        <v>544.38125000000002</v>
      </c>
      <c r="P141" s="1023">
        <f t="shared" si="54"/>
        <v>765.1600000000002</v>
      </c>
      <c r="Q141" s="1024">
        <f t="shared" si="54"/>
        <v>4783.68</v>
      </c>
      <c r="R141" s="1024">
        <f t="shared" si="54"/>
        <v>1022.2800000000002</v>
      </c>
      <c r="S141" s="1025">
        <f t="shared" ref="S141:T141" si="56">SUM(S142:S147)</f>
        <v>41942.831666666672</v>
      </c>
      <c r="T141" s="1025">
        <f t="shared" si="56"/>
        <v>564.24910714285716</v>
      </c>
      <c r="U141" s="1025">
        <f t="shared" si="54"/>
        <v>2336.3650000000002</v>
      </c>
      <c r="V141" s="1025">
        <f t="shared" ref="V141" si="57">SUM(V142:V147)</f>
        <v>1867.4100000000003</v>
      </c>
      <c r="W141" s="1025">
        <f>SUM(W142:W147)</f>
        <v>70</v>
      </c>
      <c r="X141" s="1025">
        <f>SUM(X142:X147)</f>
        <v>298.95</v>
      </c>
      <c r="Y141" s="1026">
        <f t="shared" ref="Y141:AA141" si="58">SUM(Y142:Y147)</f>
        <v>3274.8162500000003</v>
      </c>
      <c r="Z141" s="1021">
        <f t="shared" si="58"/>
        <v>234.20999999999992</v>
      </c>
      <c r="AA141" s="1025">
        <f t="shared" si="58"/>
        <v>5228.0906666666669</v>
      </c>
      <c r="AB141" s="1020">
        <f>SUM(AB142:AB147)</f>
        <v>828.51999999999975</v>
      </c>
      <c r="AC141" s="1020">
        <f>SUM(AC142:AC147)</f>
        <v>256.19</v>
      </c>
      <c r="AD141" s="1020">
        <f t="shared" si="54"/>
        <v>2238.75</v>
      </c>
      <c r="AE141" s="1020">
        <f>SUM(AE142:AE147)</f>
        <v>150</v>
      </c>
      <c r="AF141" s="1020">
        <f>SUM(AF142:AF147)</f>
        <v>500</v>
      </c>
      <c r="AG141" s="1020">
        <f t="shared" ref="AG141:AI141" si="59">SUM(AG142:AG147)</f>
        <v>1321.722666666667</v>
      </c>
      <c r="AH141" s="1020">
        <f t="shared" si="59"/>
        <v>203.82600000000011</v>
      </c>
      <c r="AI141" s="1020">
        <f t="shared" si="59"/>
        <v>5314.65</v>
      </c>
      <c r="AJ141" s="1020">
        <f>SUM(AJ142:AJ147)</f>
        <v>0</v>
      </c>
      <c r="AK141" s="1020">
        <f>SUM(AK142:AK147)</f>
        <v>1915.2</v>
      </c>
      <c r="AL141" s="1020">
        <f t="shared" ref="AL141:AN141" si="60">SUM(AL142:AL147)</f>
        <v>1105.9550000000002</v>
      </c>
      <c r="AM141" s="1023">
        <f t="shared" si="60"/>
        <v>5700.8457142857133</v>
      </c>
      <c r="AN141" s="1023">
        <f t="shared" si="60"/>
        <v>178.2</v>
      </c>
      <c r="AO141" s="1023">
        <f t="shared" si="54"/>
        <v>3295.5</v>
      </c>
      <c r="AP141" s="1023">
        <f t="shared" si="54"/>
        <v>69.63</v>
      </c>
      <c r="AQ141" s="1027">
        <f t="shared" si="54"/>
        <v>1388.7750000000005</v>
      </c>
      <c r="AR141" s="1028">
        <f t="shared" ref="AR141" si="61">SUM(AR142:AR147)</f>
        <v>425.37700000000001</v>
      </c>
      <c r="AS141" s="1029">
        <f t="shared" si="54"/>
        <v>97.663750000000007</v>
      </c>
      <c r="AT141" s="1029">
        <f>SUM(AT142:AT147)</f>
        <v>104.26499999999999</v>
      </c>
      <c r="AU141" s="1029">
        <f t="shared" si="54"/>
        <v>40.521249999999995</v>
      </c>
      <c r="AV141" s="1027">
        <f t="shared" si="54"/>
        <v>0</v>
      </c>
      <c r="AW141" s="1028">
        <f t="shared" si="54"/>
        <v>0</v>
      </c>
      <c r="AX141" s="1030">
        <f t="shared" si="54"/>
        <v>0</v>
      </c>
      <c r="AY141" s="1031">
        <f t="shared" ref="AY141:BB141" si="62">SUM(AY142:AY147)</f>
        <v>3938.4849523809521</v>
      </c>
      <c r="AZ141" s="1020">
        <f t="shared" si="62"/>
        <v>491.37</v>
      </c>
      <c r="BA141" s="1020">
        <f t="shared" si="62"/>
        <v>826.78125</v>
      </c>
      <c r="BB141" s="1020">
        <f t="shared" si="62"/>
        <v>1714.1386904761905</v>
      </c>
      <c r="BC141" s="1021">
        <f t="shared" si="54"/>
        <v>642</v>
      </c>
      <c r="BD141" s="1020">
        <f t="shared" si="54"/>
        <v>1487</v>
      </c>
      <c r="BE141" s="1020">
        <f t="shared" si="54"/>
        <v>235.3125</v>
      </c>
      <c r="BF141" s="1020">
        <f t="shared" si="54"/>
        <v>252.90000000000003</v>
      </c>
      <c r="BG141" s="1020">
        <f>SUM(BG142:BG147)</f>
        <v>274.2</v>
      </c>
      <c r="BH141" s="1020">
        <f>SUM(BH142:BH147)</f>
        <v>300</v>
      </c>
      <c r="BI141" s="1020">
        <f>SUM(BI142:BI147)</f>
        <v>170</v>
      </c>
      <c r="BJ141" s="1020">
        <f t="shared" si="54"/>
        <v>1199.75</v>
      </c>
      <c r="BK141" s="1020">
        <f t="shared" si="54"/>
        <v>114.64125</v>
      </c>
      <c r="BL141" s="1020">
        <f t="shared" si="54"/>
        <v>320.54166666666669</v>
      </c>
      <c r="BM141" s="1020">
        <f t="shared" si="54"/>
        <v>6254.0791666666664</v>
      </c>
      <c r="BN141" s="1020">
        <f t="shared" si="54"/>
        <v>168.875</v>
      </c>
      <c r="BO141" s="1020">
        <f t="shared" si="54"/>
        <v>5343.6934523809541</v>
      </c>
      <c r="BP141" s="1020">
        <f t="shared" si="54"/>
        <v>156.19999999999999</v>
      </c>
      <c r="BQ141" s="1020">
        <f t="shared" si="54"/>
        <v>189.15625</v>
      </c>
      <c r="BR141" s="1020">
        <f>SUM(BR142:BR147)</f>
        <v>350</v>
      </c>
      <c r="BS141" s="1020">
        <f>SUM(BS142:BS147)</f>
        <v>170</v>
      </c>
      <c r="BT141" s="1020">
        <f>SUM(BT142:BT147)</f>
        <v>475.90000000000009</v>
      </c>
      <c r="BU141" s="1020">
        <f>SUM(BU142:BU147)</f>
        <v>740</v>
      </c>
      <c r="BV141" s="1020">
        <f>SUM(BV142:BV147)</f>
        <v>1192</v>
      </c>
      <c r="BW141" s="1020">
        <f t="shared" si="54"/>
        <v>2381.6937499999999</v>
      </c>
      <c r="BX141" s="1020">
        <f t="shared" ref="BX141:DP141" si="63">SUM(BX142:BX147)</f>
        <v>333.07499999999999</v>
      </c>
      <c r="BY141" s="1020">
        <f t="shared" si="63"/>
        <v>168</v>
      </c>
      <c r="BZ141" s="1020">
        <f t="shared" si="63"/>
        <v>734.44178571428574</v>
      </c>
      <c r="CA141" s="1020">
        <f t="shared" si="63"/>
        <v>111.75500000000017</v>
      </c>
      <c r="CB141" s="1020">
        <f t="shared" si="63"/>
        <v>642.61250000000007</v>
      </c>
      <c r="CC141" s="1020">
        <f t="shared" si="63"/>
        <v>0</v>
      </c>
      <c r="CD141" s="1023">
        <f t="shared" si="63"/>
        <v>17525.8125</v>
      </c>
      <c r="CE141" s="1023">
        <f t="shared" si="63"/>
        <v>17109.485714285714</v>
      </c>
      <c r="CF141" s="1023">
        <f t="shared" si="63"/>
        <v>258</v>
      </c>
      <c r="CG141" s="1023">
        <f t="shared" si="63"/>
        <v>3441.5550000000003</v>
      </c>
      <c r="CH141" s="1023">
        <f t="shared" si="63"/>
        <v>1269.75</v>
      </c>
      <c r="CI141" s="1023">
        <f>SUM(CI142:CI147)</f>
        <v>250</v>
      </c>
      <c r="CJ141" s="1023">
        <f>SUM(CJ142:CJ147)</f>
        <v>200</v>
      </c>
      <c r="CK141" s="1020">
        <f t="shared" si="63"/>
        <v>255</v>
      </c>
      <c r="CL141" s="1020">
        <f t="shared" si="63"/>
        <v>489.01428571428585</v>
      </c>
      <c r="CM141" s="1020">
        <f t="shared" si="63"/>
        <v>431.78000000000003</v>
      </c>
      <c r="CN141" s="1020">
        <f t="shared" si="63"/>
        <v>526.80499999999984</v>
      </c>
      <c r="CO141" s="1020">
        <f t="shared" si="63"/>
        <v>87.6</v>
      </c>
      <c r="CP141" s="1032">
        <f t="shared" si="63"/>
        <v>525.6875</v>
      </c>
      <c r="CQ141" s="1032">
        <f>SUM(CQ142:CQ147)</f>
        <v>150</v>
      </c>
      <c r="CR141" s="1026">
        <f t="shared" si="63"/>
        <v>531.4375</v>
      </c>
      <c r="CS141" s="1026">
        <f>SUM(CS142:CS147)</f>
        <v>150</v>
      </c>
      <c r="CT141" s="1031">
        <f t="shared" si="63"/>
        <v>530.1500000000002</v>
      </c>
      <c r="CU141" s="1031">
        <f t="shared" si="63"/>
        <v>2845.395</v>
      </c>
      <c r="CV141" s="1031">
        <f t="shared" si="63"/>
        <v>113.85</v>
      </c>
      <c r="CW141" s="1020">
        <f t="shared" si="63"/>
        <v>1774.5791428571429</v>
      </c>
      <c r="CX141" s="1032">
        <f t="shared" si="63"/>
        <v>99.225000000000009</v>
      </c>
      <c r="CY141" s="1032">
        <f t="shared" si="63"/>
        <v>864.20124999999973</v>
      </c>
      <c r="CZ141" s="1033">
        <f t="shared" si="63"/>
        <v>616.99749999999995</v>
      </c>
      <c r="DA141" s="1026">
        <f t="shared" si="63"/>
        <v>2097.4468750000001</v>
      </c>
      <c r="DB141" s="1020">
        <f t="shared" si="63"/>
        <v>3083.1711309523807</v>
      </c>
      <c r="DC141" s="1020">
        <f t="shared" si="63"/>
        <v>6210.2124999999996</v>
      </c>
      <c r="DD141" s="1020">
        <f t="shared" si="63"/>
        <v>1470.5</v>
      </c>
      <c r="DE141" s="1020">
        <f>SUM(DE142:DE147)</f>
        <v>230</v>
      </c>
      <c r="DF141" s="1020">
        <f t="shared" si="63"/>
        <v>1908</v>
      </c>
      <c r="DG141" s="1020">
        <f t="shared" si="63"/>
        <v>54.6</v>
      </c>
      <c r="DH141" s="1020">
        <f t="shared" si="63"/>
        <v>574.76250000000005</v>
      </c>
      <c r="DI141" s="1020">
        <f t="shared" si="63"/>
        <v>684.63749999999993</v>
      </c>
      <c r="DJ141" s="1026">
        <f t="shared" si="63"/>
        <v>1398.375</v>
      </c>
      <c r="DK141" s="1020">
        <f t="shared" si="63"/>
        <v>1559.75</v>
      </c>
      <c r="DL141" s="1020">
        <f t="shared" si="63"/>
        <v>165.3125</v>
      </c>
      <c r="DM141" s="1020">
        <f t="shared" si="63"/>
        <v>141.125</v>
      </c>
      <c r="DN141" s="1020">
        <f t="shared" si="63"/>
        <v>58.5625</v>
      </c>
      <c r="DO141" s="1020">
        <f t="shared" si="63"/>
        <v>487.25</v>
      </c>
      <c r="DP141" s="1034">
        <f t="shared" si="63"/>
        <v>1005.75</v>
      </c>
      <c r="DQ141" s="1021">
        <f t="shared" ref="DQ141:DV141" si="64">SUM(DQ142:DQ151)</f>
        <v>0</v>
      </c>
      <c r="DR141" s="1035">
        <f t="shared" si="64"/>
        <v>0</v>
      </c>
      <c r="DS141" s="1034">
        <f t="shared" si="64"/>
        <v>0</v>
      </c>
      <c r="DT141" s="1034"/>
      <c r="DU141" s="1034">
        <f t="shared" si="64"/>
        <v>0</v>
      </c>
      <c r="DV141" s="1030">
        <f t="shared" si="64"/>
        <v>0</v>
      </c>
      <c r="DW141" s="1030">
        <f t="shared" si="53"/>
        <v>215492.91454761906</v>
      </c>
      <c r="DX141" s="1019" t="s">
        <v>659</v>
      </c>
      <c r="DY141" s="659"/>
    </row>
    <row r="142" spans="1:129" ht="14.4">
      <c r="A142" s="1036" t="s">
        <v>959</v>
      </c>
      <c r="B142" s="1037"/>
      <c r="C142" s="1037"/>
      <c r="D142" s="1037"/>
      <c r="E142" s="1037"/>
      <c r="F142" s="1037"/>
      <c r="G142" s="1037"/>
      <c r="H142" s="1037"/>
      <c r="I142" s="1037"/>
      <c r="J142" s="1037"/>
      <c r="K142" s="1037"/>
      <c r="L142" s="1037"/>
      <c r="M142" s="1037"/>
      <c r="N142" s="1038"/>
      <c r="O142" s="1038"/>
      <c r="P142" s="1039"/>
      <c r="Q142" s="1040"/>
      <c r="R142" s="1041"/>
      <c r="S142" s="1037"/>
      <c r="T142" s="1037"/>
      <c r="U142" s="1037"/>
      <c r="V142" s="1037"/>
      <c r="W142" s="1037"/>
      <c r="X142" s="1037"/>
      <c r="Y142" s="1040"/>
      <c r="Z142" s="1037"/>
      <c r="AA142" s="1037"/>
      <c r="AB142" s="1042"/>
      <c r="AC142" s="1042"/>
      <c r="AD142" s="1042"/>
      <c r="AE142" s="1042"/>
      <c r="AF142" s="1042"/>
      <c r="AG142" s="1042"/>
      <c r="AH142" s="1042"/>
      <c r="AI142" s="1042"/>
      <c r="AJ142" s="1042"/>
      <c r="AK142" s="1042"/>
      <c r="AL142" s="1042"/>
      <c r="AM142" s="1043"/>
      <c r="AN142" s="1043"/>
      <c r="AO142" s="1039"/>
      <c r="AP142" s="1039"/>
      <c r="AQ142" s="1044"/>
      <c r="AR142" s="1045"/>
      <c r="AS142" s="1043"/>
      <c r="AT142" s="1039"/>
      <c r="AU142" s="1039"/>
      <c r="AV142" s="1044"/>
      <c r="AW142" s="1045"/>
      <c r="AX142" s="1044"/>
      <c r="AY142" s="1045"/>
      <c r="AZ142" s="1045"/>
      <c r="BA142" s="1042"/>
      <c r="BB142" s="1042"/>
      <c r="BC142" s="1037"/>
      <c r="BD142" s="1042"/>
      <c r="BE142" s="1042"/>
      <c r="BF142" s="1042"/>
      <c r="BG142" s="1042"/>
      <c r="BH142" s="1042"/>
      <c r="BI142" s="1042"/>
      <c r="BJ142" s="1042"/>
      <c r="BK142" s="1042"/>
      <c r="BL142" s="1045"/>
      <c r="BM142" s="1045"/>
      <c r="BN142" s="1045"/>
      <c r="BO142" s="1042"/>
      <c r="BP142" s="1037"/>
      <c r="BQ142" s="1037"/>
      <c r="BR142" s="1037"/>
      <c r="BS142" s="1037"/>
      <c r="BT142" s="1037"/>
      <c r="BU142" s="1037"/>
      <c r="BV142" s="1046"/>
      <c r="BW142" s="1045"/>
      <c r="BX142" s="1045"/>
      <c r="BY142" s="1045"/>
      <c r="BZ142" s="1042"/>
      <c r="CA142" s="1042"/>
      <c r="CB142" s="1042"/>
      <c r="CC142" s="1042"/>
      <c r="CD142" s="1039"/>
      <c r="CE142" s="1039"/>
      <c r="CF142" s="1039"/>
      <c r="CG142" s="1039"/>
      <c r="CH142" s="1039"/>
      <c r="CI142" s="1039"/>
      <c r="CJ142" s="1039"/>
      <c r="CK142" s="1042"/>
      <c r="CL142" s="1042"/>
      <c r="CM142" s="1042"/>
      <c r="CN142" s="1042"/>
      <c r="CO142" s="1042"/>
      <c r="CP142" s="1040"/>
      <c r="CQ142" s="1040"/>
      <c r="CR142" s="1040"/>
      <c r="CS142" s="1045"/>
      <c r="CT142" s="1045"/>
      <c r="CU142" s="1045"/>
      <c r="CV142" s="1045"/>
      <c r="CW142" s="1042"/>
      <c r="CX142" s="1045"/>
      <c r="CY142" s="1040"/>
      <c r="CZ142" s="1040"/>
      <c r="DA142" s="1040"/>
      <c r="DB142" s="1045"/>
      <c r="DC142" s="1045"/>
      <c r="DD142" s="1045"/>
      <c r="DE142" s="1045"/>
      <c r="DF142" s="1042"/>
      <c r="DG142" s="1042"/>
      <c r="DH142" s="1042"/>
      <c r="DI142" s="1042"/>
      <c r="DJ142" s="1040"/>
      <c r="DK142" s="1042"/>
      <c r="DL142" s="1037"/>
      <c r="DM142" s="1037"/>
      <c r="DN142" s="1037"/>
      <c r="DO142" s="1037"/>
      <c r="DP142" s="1042"/>
      <c r="DQ142" s="1037"/>
      <c r="DR142" s="1047"/>
      <c r="DS142" s="1041"/>
      <c r="DT142" s="1041"/>
      <c r="DU142" s="1041"/>
      <c r="DV142" s="1044"/>
      <c r="DW142" s="1048">
        <f t="shared" si="53"/>
        <v>0</v>
      </c>
      <c r="DX142" s="1036" t="str">
        <f>A142</f>
        <v>на 22 января</v>
      </c>
      <c r="DY142" s="659"/>
    </row>
    <row r="143" spans="1:129" ht="14.4">
      <c r="A143" s="1036" t="s">
        <v>960</v>
      </c>
      <c r="B143" s="1037">
        <v>5474.7</v>
      </c>
      <c r="C143" s="1037">
        <v>0</v>
      </c>
      <c r="D143" s="1037">
        <v>1620</v>
      </c>
      <c r="E143" s="1037">
        <v>0</v>
      </c>
      <c r="F143" s="1037">
        <v>1240.24</v>
      </c>
      <c r="G143" s="1037">
        <v>0</v>
      </c>
      <c r="H143" s="1037"/>
      <c r="I143" s="1037">
        <v>0</v>
      </c>
      <c r="J143" s="1037">
        <v>159.04</v>
      </c>
      <c r="K143" s="1037">
        <v>0</v>
      </c>
      <c r="L143" s="1037">
        <v>0</v>
      </c>
      <c r="M143" s="1037">
        <v>0</v>
      </c>
      <c r="N143" s="1038">
        <v>26.64</v>
      </c>
      <c r="O143" s="1038">
        <v>20.72</v>
      </c>
      <c r="P143" s="1039">
        <v>14.8</v>
      </c>
      <c r="Q143" s="1040">
        <v>0</v>
      </c>
      <c r="R143" s="1041"/>
      <c r="S143" s="1037">
        <v>2873.92</v>
      </c>
      <c r="T143" s="1037">
        <v>18</v>
      </c>
      <c r="U143" s="1037">
        <v>121.2</v>
      </c>
      <c r="V143" s="1037">
        <v>15.6</v>
      </c>
      <c r="W143" s="1037"/>
      <c r="X143" s="1037"/>
      <c r="Y143" s="1040">
        <v>77.7</v>
      </c>
      <c r="Z143" s="1037">
        <v>0</v>
      </c>
      <c r="AA143" s="1037">
        <v>415.84</v>
      </c>
      <c r="AB143" s="1042">
        <v>91.32</v>
      </c>
      <c r="AC143" s="1042"/>
      <c r="AD143" s="1042">
        <v>48</v>
      </c>
      <c r="AE143" s="1042"/>
      <c r="AF143" s="1042"/>
      <c r="AG143" s="1042">
        <v>170.52</v>
      </c>
      <c r="AH143" s="1042">
        <v>6.72</v>
      </c>
      <c r="AI143" s="1042">
        <v>0</v>
      </c>
      <c r="AJ143" s="1042"/>
      <c r="AK143" s="1042"/>
      <c r="AL143" s="1042">
        <v>184</v>
      </c>
      <c r="AM143" s="1043">
        <v>325.8</v>
      </c>
      <c r="AN143" s="1043">
        <v>0</v>
      </c>
      <c r="AO143" s="1039">
        <v>6</v>
      </c>
      <c r="AP143" s="1039">
        <v>7.2</v>
      </c>
      <c r="AQ143" s="1044">
        <v>0</v>
      </c>
      <c r="AR143" s="1045">
        <v>49.92</v>
      </c>
      <c r="AS143" s="1043">
        <v>2.85</v>
      </c>
      <c r="AT143" s="1039"/>
      <c r="AU143" s="1039">
        <v>0</v>
      </c>
      <c r="AV143" s="1044">
        <v>0</v>
      </c>
      <c r="AW143" s="1045">
        <v>0</v>
      </c>
      <c r="AX143" s="1044">
        <v>0</v>
      </c>
      <c r="AY143" s="1045">
        <v>161.25</v>
      </c>
      <c r="AZ143" s="1045">
        <v>62</v>
      </c>
      <c r="BA143" s="1042">
        <v>0</v>
      </c>
      <c r="BB143" s="1042">
        <v>12</v>
      </c>
      <c r="BC143" s="1037">
        <v>0</v>
      </c>
      <c r="BD143" s="1042">
        <v>43.5</v>
      </c>
      <c r="BE143" s="1042">
        <v>0</v>
      </c>
      <c r="BF143" s="1042"/>
      <c r="BG143" s="1042"/>
      <c r="BH143" s="1042"/>
      <c r="BI143" s="1042"/>
      <c r="BJ143" s="1042">
        <v>18</v>
      </c>
      <c r="BK143" s="1042">
        <v>1</v>
      </c>
      <c r="BL143" s="1045">
        <v>1.6</v>
      </c>
      <c r="BM143" s="1045">
        <v>219</v>
      </c>
      <c r="BN143" s="1045">
        <v>3</v>
      </c>
      <c r="BO143" s="1042">
        <v>74.400000000000006</v>
      </c>
      <c r="BP143" s="1037"/>
      <c r="BQ143" s="1037">
        <v>0</v>
      </c>
      <c r="BR143" s="1037"/>
      <c r="BS143" s="1037"/>
      <c r="BT143" s="1037"/>
      <c r="BU143" s="1037">
        <v>0</v>
      </c>
      <c r="BV143" s="1046">
        <v>24</v>
      </c>
      <c r="BW143" s="1045">
        <v>49.75</v>
      </c>
      <c r="BX143" s="1045">
        <v>9</v>
      </c>
      <c r="BY143" s="1045"/>
      <c r="BZ143" s="1042">
        <v>108.18</v>
      </c>
      <c r="CA143" s="1042">
        <v>1.68</v>
      </c>
      <c r="CB143" s="1042">
        <v>1.8</v>
      </c>
      <c r="CC143" s="1042">
        <v>0</v>
      </c>
      <c r="CD143" s="1039">
        <v>1035</v>
      </c>
      <c r="CE143" s="1039">
        <v>1299.5999999999999</v>
      </c>
      <c r="CF143" s="1039">
        <v>0</v>
      </c>
      <c r="CG143" s="1039">
        <v>75.599999999999994</v>
      </c>
      <c r="CH143" s="1039">
        <v>43.5</v>
      </c>
      <c r="CI143" s="1039"/>
      <c r="CJ143" s="1039"/>
      <c r="CK143" s="1042">
        <v>0</v>
      </c>
      <c r="CL143" s="1042"/>
      <c r="CM143" s="1042"/>
      <c r="CN143" s="1042"/>
      <c r="CO143" s="1042">
        <v>0</v>
      </c>
      <c r="CP143" s="1040">
        <v>51</v>
      </c>
      <c r="CQ143" s="1040"/>
      <c r="CR143" s="1040">
        <v>15</v>
      </c>
      <c r="CS143" s="1045"/>
      <c r="CT143" s="1045">
        <v>1.2</v>
      </c>
      <c r="CU143" s="1045">
        <v>43.2</v>
      </c>
      <c r="CV143" s="1045">
        <v>0</v>
      </c>
      <c r="CW143" s="1042">
        <v>164.16</v>
      </c>
      <c r="CX143" s="1045">
        <v>0</v>
      </c>
      <c r="CY143" s="1040">
        <v>31.32</v>
      </c>
      <c r="CZ143" s="1040">
        <v>5.58</v>
      </c>
      <c r="DA143" s="1040">
        <v>18.25</v>
      </c>
      <c r="DB143" s="1045">
        <v>30</v>
      </c>
      <c r="DC143" s="1045">
        <v>114</v>
      </c>
      <c r="DD143" s="1045">
        <v>22.5</v>
      </c>
      <c r="DE143" s="1045"/>
      <c r="DF143" s="1042">
        <v>22.5</v>
      </c>
      <c r="DG143" s="1042">
        <v>0</v>
      </c>
      <c r="DH143" s="1042">
        <v>48</v>
      </c>
      <c r="DI143" s="1042"/>
      <c r="DJ143" s="1040">
        <v>36</v>
      </c>
      <c r="DK143" s="1042">
        <v>12</v>
      </c>
      <c r="DL143" s="1037"/>
      <c r="DM143" s="1037"/>
      <c r="DN143" s="1037"/>
      <c r="DO143" s="1037">
        <v>6</v>
      </c>
      <c r="DP143" s="1042">
        <v>12</v>
      </c>
      <c r="DQ143" s="1037"/>
      <c r="DR143" s="1047"/>
      <c r="DS143" s="1041"/>
      <c r="DT143" s="1041"/>
      <c r="DU143" s="1041"/>
      <c r="DV143" s="1044"/>
      <c r="DW143" s="1048">
        <f t="shared" si="53"/>
        <v>16847.300000000007</v>
      </c>
      <c r="DX143" s="1036" t="str">
        <f>A143</f>
        <v>на 23 января</v>
      </c>
      <c r="DY143" s="659"/>
    </row>
    <row r="144" spans="1:129" ht="14.4">
      <c r="A144" s="1036" t="s">
        <v>961</v>
      </c>
      <c r="B144" s="1037">
        <v>82.5</v>
      </c>
      <c r="C144" s="1037">
        <v>30</v>
      </c>
      <c r="D144" s="1037">
        <v>60</v>
      </c>
      <c r="E144" s="1037">
        <v>33</v>
      </c>
      <c r="F144" s="1037">
        <v>1133.68</v>
      </c>
      <c r="G144" s="1037">
        <v>60</v>
      </c>
      <c r="H144" s="1037"/>
      <c r="I144" s="1037">
        <v>253</v>
      </c>
      <c r="J144" s="1037">
        <v>571.20000000000005</v>
      </c>
      <c r="K144" s="1037">
        <v>36</v>
      </c>
      <c r="L144" s="1037">
        <v>0</v>
      </c>
      <c r="M144" s="1037">
        <v>0</v>
      </c>
      <c r="N144" s="1038">
        <v>245.68</v>
      </c>
      <c r="O144" s="1038">
        <v>59.2</v>
      </c>
      <c r="P144" s="1039">
        <v>183.52</v>
      </c>
      <c r="Q144" s="1040">
        <v>183.68</v>
      </c>
      <c r="R144" s="1041"/>
      <c r="S144" s="1037">
        <v>5270.72</v>
      </c>
      <c r="T144" s="1037">
        <v>68.400000000000006</v>
      </c>
      <c r="U144" s="1037">
        <v>434.4</v>
      </c>
      <c r="V144" s="1037">
        <v>690.48</v>
      </c>
      <c r="W144" s="1037"/>
      <c r="X144" s="1037"/>
      <c r="Y144" s="1040">
        <v>517.26</v>
      </c>
      <c r="Z144" s="1037">
        <v>31.08</v>
      </c>
      <c r="AA144" s="1037">
        <v>1527.2</v>
      </c>
      <c r="AB144" s="1042">
        <v>147.6</v>
      </c>
      <c r="AC144" s="1042"/>
      <c r="AD144" s="1042">
        <v>483.6</v>
      </c>
      <c r="AE144" s="1042"/>
      <c r="AF144" s="1042"/>
      <c r="AG144" s="1042">
        <v>226.24</v>
      </c>
      <c r="AH144" s="1042">
        <v>10.08</v>
      </c>
      <c r="AI144" s="1042">
        <v>789.6</v>
      </c>
      <c r="AJ144" s="1042"/>
      <c r="AK144" s="1042"/>
      <c r="AL144" s="1042">
        <v>283.36</v>
      </c>
      <c r="AM144" s="1043">
        <v>617.4</v>
      </c>
      <c r="AN144" s="1043">
        <v>0</v>
      </c>
      <c r="AO144" s="1039">
        <v>936</v>
      </c>
      <c r="AP144" s="1039">
        <v>6.48</v>
      </c>
      <c r="AQ144" s="1044">
        <v>211.6</v>
      </c>
      <c r="AR144" s="1045">
        <v>62.4</v>
      </c>
      <c r="AS144" s="1043">
        <v>0</v>
      </c>
      <c r="AT144" s="1039"/>
      <c r="AU144" s="1039">
        <v>3.8</v>
      </c>
      <c r="AV144" s="1044">
        <v>0</v>
      </c>
      <c r="AW144" s="1045">
        <v>0</v>
      </c>
      <c r="AX144" s="1044">
        <v>0</v>
      </c>
      <c r="AY144" s="1045">
        <v>309.5</v>
      </c>
      <c r="AZ144" s="1045">
        <v>72.5</v>
      </c>
      <c r="BA144" s="1042">
        <v>156</v>
      </c>
      <c r="BB144" s="1042">
        <v>456</v>
      </c>
      <c r="BC144" s="1037">
        <v>222</v>
      </c>
      <c r="BD144" s="1042">
        <v>643.5</v>
      </c>
      <c r="BE144" s="1042">
        <v>24</v>
      </c>
      <c r="BF144" s="1042"/>
      <c r="BG144" s="1042"/>
      <c r="BH144" s="1042"/>
      <c r="BI144" s="1042"/>
      <c r="BJ144" s="1042">
        <v>320</v>
      </c>
      <c r="BK144" s="1042">
        <v>35</v>
      </c>
      <c r="BL144" s="1045">
        <v>5.6</v>
      </c>
      <c r="BM144" s="1045">
        <v>844.5</v>
      </c>
      <c r="BN144" s="1045">
        <v>8.5</v>
      </c>
      <c r="BO144" s="1042">
        <v>1368</v>
      </c>
      <c r="BP144" s="1037"/>
      <c r="BQ144" s="1037">
        <v>13.5</v>
      </c>
      <c r="BR144" s="1037"/>
      <c r="BS144" s="1037"/>
      <c r="BT144" s="1037"/>
      <c r="BU144" s="1037">
        <v>240</v>
      </c>
      <c r="BV144" s="1046">
        <v>168</v>
      </c>
      <c r="BW144" s="1045">
        <v>361</v>
      </c>
      <c r="BX144" s="1045">
        <v>90</v>
      </c>
      <c r="BY144" s="1045"/>
      <c r="BZ144" s="1042">
        <v>268.92</v>
      </c>
      <c r="CA144" s="1042">
        <v>7.28</v>
      </c>
      <c r="CB144" s="1042">
        <v>4.8</v>
      </c>
      <c r="CC144" s="1042">
        <v>0</v>
      </c>
      <c r="CD144" s="1039">
        <v>3177</v>
      </c>
      <c r="CE144" s="1039">
        <v>2138.4</v>
      </c>
      <c r="CF144" s="1039">
        <v>0</v>
      </c>
      <c r="CG144" s="1039">
        <v>939.6</v>
      </c>
      <c r="CH144" s="1039">
        <v>313.5</v>
      </c>
      <c r="CI144" s="1039"/>
      <c r="CJ144" s="1039"/>
      <c r="CK144" s="1042">
        <v>0</v>
      </c>
      <c r="CL144" s="1042"/>
      <c r="CM144" s="1042"/>
      <c r="CN144" s="1042"/>
      <c r="CO144" s="1042">
        <v>30</v>
      </c>
      <c r="CP144" s="1040">
        <v>48</v>
      </c>
      <c r="CQ144" s="1040"/>
      <c r="CR144" s="1040">
        <v>36</v>
      </c>
      <c r="CS144" s="1045"/>
      <c r="CT144" s="1045">
        <v>92</v>
      </c>
      <c r="CU144" s="1045">
        <v>712.8</v>
      </c>
      <c r="CV144" s="1045">
        <v>0</v>
      </c>
      <c r="CW144" s="1042">
        <v>273.24</v>
      </c>
      <c r="CX144" s="1045">
        <v>0</v>
      </c>
      <c r="CY144" s="1040">
        <v>127.44</v>
      </c>
      <c r="CZ144" s="1040">
        <v>100.44</v>
      </c>
      <c r="DA144" s="1040">
        <v>493.5</v>
      </c>
      <c r="DB144" s="1045">
        <v>523.5</v>
      </c>
      <c r="DC144" s="1045">
        <v>612</v>
      </c>
      <c r="DD144" s="1045">
        <v>348</v>
      </c>
      <c r="DE144" s="1045"/>
      <c r="DF144" s="1042">
        <v>367.5</v>
      </c>
      <c r="DG144" s="1042">
        <v>7.5</v>
      </c>
      <c r="DH144" s="1042">
        <v>27</v>
      </c>
      <c r="DI144" s="1042"/>
      <c r="DJ144" s="1040">
        <v>327</v>
      </c>
      <c r="DK144" s="1042">
        <v>226</v>
      </c>
      <c r="DL144" s="1037"/>
      <c r="DM144" s="1037"/>
      <c r="DN144" s="1037"/>
      <c r="DO144" s="1037">
        <v>204</v>
      </c>
      <c r="DP144" s="1042">
        <v>84</v>
      </c>
      <c r="DQ144" s="1037"/>
      <c r="DR144" s="1047"/>
      <c r="DS144" s="1041"/>
      <c r="DT144" s="1041"/>
      <c r="DU144" s="1041"/>
      <c r="DV144" s="1044"/>
      <c r="DW144" s="1048">
        <f t="shared" si="53"/>
        <v>32076.179999999993</v>
      </c>
      <c r="DX144" s="1036" t="str">
        <f>A144</f>
        <v>на 24 января</v>
      </c>
      <c r="DY144" s="659"/>
    </row>
    <row r="145" spans="1:129" ht="14.4" outlineLevel="1">
      <c r="A145" s="1036"/>
      <c r="B145" s="1037"/>
      <c r="C145" s="1037"/>
      <c r="D145" s="1037"/>
      <c r="E145" s="1037"/>
      <c r="F145" s="1037"/>
      <c r="G145" s="1037"/>
      <c r="H145" s="1037"/>
      <c r="I145" s="1037"/>
      <c r="J145" s="1037"/>
      <c r="K145" s="1037"/>
      <c r="L145" s="1037"/>
      <c r="M145" s="1037"/>
      <c r="N145" s="1038"/>
      <c r="O145" s="1038"/>
      <c r="P145" s="1039"/>
      <c r="Q145" s="1040"/>
      <c r="R145" s="1041"/>
      <c r="S145" s="1037"/>
      <c r="T145" s="1037"/>
      <c r="U145" s="1037"/>
      <c r="V145" s="1037"/>
      <c r="W145" s="1037"/>
      <c r="X145" s="1037"/>
      <c r="Y145" s="1040"/>
      <c r="Z145" s="1037"/>
      <c r="AA145" s="1037"/>
      <c r="AB145" s="1042"/>
      <c r="AC145" s="1042"/>
      <c r="AD145" s="1042"/>
      <c r="AE145" s="1042"/>
      <c r="AF145" s="1042"/>
      <c r="AG145" s="1042"/>
      <c r="AH145" s="1042"/>
      <c r="AI145" s="1042"/>
      <c r="AJ145" s="1042"/>
      <c r="AK145" s="1042"/>
      <c r="AL145" s="1042"/>
      <c r="AM145" s="1043"/>
      <c r="AN145" s="1043"/>
      <c r="AO145" s="1039"/>
      <c r="AP145" s="1039"/>
      <c r="AQ145" s="1044"/>
      <c r="AR145" s="1045"/>
      <c r="AS145" s="1043"/>
      <c r="AT145" s="1039"/>
      <c r="AU145" s="1039"/>
      <c r="AV145" s="1044"/>
      <c r="AW145" s="1045"/>
      <c r="AX145" s="1044"/>
      <c r="AY145" s="1045"/>
      <c r="AZ145" s="1045"/>
      <c r="BA145" s="1042"/>
      <c r="BB145" s="1042"/>
      <c r="BC145" s="1037"/>
      <c r="BD145" s="1042"/>
      <c r="BE145" s="1042"/>
      <c r="BF145" s="1042"/>
      <c r="BG145" s="1042"/>
      <c r="BH145" s="1042"/>
      <c r="BI145" s="1042"/>
      <c r="BJ145" s="1042"/>
      <c r="BK145" s="1042"/>
      <c r="BL145" s="1045"/>
      <c r="BM145" s="1045"/>
      <c r="BN145" s="1045"/>
      <c r="BO145" s="1042"/>
      <c r="BP145" s="1037"/>
      <c r="BQ145" s="1037"/>
      <c r="BR145" s="1037"/>
      <c r="BS145" s="1037"/>
      <c r="BT145" s="1037"/>
      <c r="BU145" s="1037"/>
      <c r="BV145" s="1046"/>
      <c r="BW145" s="1045"/>
      <c r="BX145" s="1045"/>
      <c r="BY145" s="1045"/>
      <c r="BZ145" s="1042"/>
      <c r="CA145" s="1042"/>
      <c r="CB145" s="1042"/>
      <c r="CC145" s="1042"/>
      <c r="CD145" s="1039"/>
      <c r="CE145" s="1039"/>
      <c r="CF145" s="1039"/>
      <c r="CG145" s="1039"/>
      <c r="CH145" s="1039"/>
      <c r="CI145" s="1039"/>
      <c r="CJ145" s="1039"/>
      <c r="CK145" s="1042"/>
      <c r="CL145" s="1042"/>
      <c r="CM145" s="1042"/>
      <c r="CN145" s="1042"/>
      <c r="CO145" s="1042"/>
      <c r="CP145" s="1040"/>
      <c r="CQ145" s="1040"/>
      <c r="CR145" s="1040"/>
      <c r="CS145" s="1045"/>
      <c r="CT145" s="1045"/>
      <c r="CU145" s="1045"/>
      <c r="CV145" s="1045"/>
      <c r="CW145" s="1042"/>
      <c r="CX145" s="1045"/>
      <c r="CY145" s="1040"/>
      <c r="CZ145" s="1040"/>
      <c r="DA145" s="1040"/>
      <c r="DB145" s="1045"/>
      <c r="DC145" s="1045"/>
      <c r="DD145" s="1045"/>
      <c r="DE145" s="1045"/>
      <c r="DF145" s="1042"/>
      <c r="DG145" s="1042"/>
      <c r="DH145" s="1042"/>
      <c r="DI145" s="1042"/>
      <c r="DJ145" s="1040"/>
      <c r="DK145" s="1042"/>
      <c r="DL145" s="1037"/>
      <c r="DM145" s="1037"/>
      <c r="DN145" s="1037"/>
      <c r="DO145" s="1037"/>
      <c r="DP145" s="1042"/>
      <c r="DQ145" s="1037"/>
      <c r="DR145" s="1047"/>
      <c r="DS145" s="1041"/>
      <c r="DT145" s="1041"/>
      <c r="DU145" s="1041"/>
      <c r="DV145" s="1044"/>
      <c r="DW145" s="1048">
        <f t="shared" si="53"/>
        <v>0</v>
      </c>
      <c r="DX145" s="1036"/>
      <c r="DY145" s="659"/>
    </row>
    <row r="146" spans="1:129" ht="14.4" outlineLevel="1">
      <c r="A146" s="1036"/>
      <c r="B146" s="1037"/>
      <c r="C146" s="1037"/>
      <c r="D146" s="1037"/>
      <c r="E146" s="1037"/>
      <c r="F146" s="1037"/>
      <c r="G146" s="1037"/>
      <c r="H146" s="1037"/>
      <c r="I146" s="1037"/>
      <c r="J146" s="1037"/>
      <c r="K146" s="1037"/>
      <c r="L146" s="1037"/>
      <c r="M146" s="1037"/>
      <c r="N146" s="1038"/>
      <c r="O146" s="1038"/>
      <c r="P146" s="1039"/>
      <c r="Q146" s="1040"/>
      <c r="R146" s="1041"/>
      <c r="S146" s="1037"/>
      <c r="T146" s="1037"/>
      <c r="U146" s="1037"/>
      <c r="V146" s="1037"/>
      <c r="W146" s="1037"/>
      <c r="X146" s="1037"/>
      <c r="Y146" s="1040"/>
      <c r="Z146" s="1037"/>
      <c r="AA146" s="1037"/>
      <c r="AB146" s="1042"/>
      <c r="AC146" s="1042"/>
      <c r="AD146" s="1042"/>
      <c r="AE146" s="1042"/>
      <c r="AF146" s="1042"/>
      <c r="AG146" s="1042"/>
      <c r="AH146" s="1042"/>
      <c r="AI146" s="1042"/>
      <c r="AJ146" s="1042"/>
      <c r="AK146" s="1042"/>
      <c r="AL146" s="1042"/>
      <c r="AM146" s="1043"/>
      <c r="AN146" s="1043"/>
      <c r="AO146" s="1039"/>
      <c r="AP146" s="1039"/>
      <c r="AQ146" s="1044"/>
      <c r="AR146" s="1045"/>
      <c r="AS146" s="1043"/>
      <c r="AT146" s="1039"/>
      <c r="AU146" s="1039"/>
      <c r="AV146" s="1044"/>
      <c r="AW146" s="1045"/>
      <c r="AX146" s="1044"/>
      <c r="AY146" s="1045"/>
      <c r="AZ146" s="1045"/>
      <c r="BA146" s="1042"/>
      <c r="BB146" s="1042"/>
      <c r="BC146" s="1037"/>
      <c r="BD146" s="1042"/>
      <c r="BE146" s="1042"/>
      <c r="BF146" s="1042"/>
      <c r="BG146" s="1042"/>
      <c r="BH146" s="1042"/>
      <c r="BI146" s="1042"/>
      <c r="BJ146" s="1042"/>
      <c r="BK146" s="1042"/>
      <c r="BL146" s="1045"/>
      <c r="BM146" s="1045"/>
      <c r="BN146" s="1045"/>
      <c r="BO146" s="1042"/>
      <c r="BP146" s="1037"/>
      <c r="BQ146" s="1037"/>
      <c r="BR146" s="1037"/>
      <c r="BS146" s="1037"/>
      <c r="BT146" s="1037"/>
      <c r="BU146" s="1037"/>
      <c r="BV146" s="1046"/>
      <c r="BW146" s="1045"/>
      <c r="BX146" s="1045"/>
      <c r="BY146" s="1045"/>
      <c r="BZ146" s="1042"/>
      <c r="CA146" s="1042"/>
      <c r="CB146" s="1042"/>
      <c r="CC146" s="1042"/>
      <c r="CD146" s="1039"/>
      <c r="CE146" s="1039"/>
      <c r="CF146" s="1039"/>
      <c r="CG146" s="1039"/>
      <c r="CH146" s="1039"/>
      <c r="CI146" s="1039"/>
      <c r="CJ146" s="1039"/>
      <c r="CK146" s="1042"/>
      <c r="CL146" s="1042"/>
      <c r="CM146" s="1042"/>
      <c r="CN146" s="1042"/>
      <c r="CO146" s="1042"/>
      <c r="CP146" s="1040"/>
      <c r="CQ146" s="1040"/>
      <c r="CR146" s="1040"/>
      <c r="CS146" s="1045"/>
      <c r="CT146" s="1045"/>
      <c r="CU146" s="1045"/>
      <c r="CV146" s="1045"/>
      <c r="CW146" s="1042"/>
      <c r="CX146" s="1045"/>
      <c r="CY146" s="1040"/>
      <c r="CZ146" s="1040"/>
      <c r="DA146" s="1040"/>
      <c r="DB146" s="1045"/>
      <c r="DC146" s="1045"/>
      <c r="DD146" s="1045"/>
      <c r="DE146" s="1045"/>
      <c r="DF146" s="1042"/>
      <c r="DG146" s="1042"/>
      <c r="DH146" s="1042"/>
      <c r="DI146" s="1042"/>
      <c r="DJ146" s="1040"/>
      <c r="DK146" s="1042"/>
      <c r="DL146" s="1037"/>
      <c r="DM146" s="1037"/>
      <c r="DN146" s="1037"/>
      <c r="DO146" s="1037"/>
      <c r="DP146" s="1042"/>
      <c r="DQ146" s="1037"/>
      <c r="DR146" s="1047"/>
      <c r="DS146" s="1041"/>
      <c r="DT146" s="1041"/>
      <c r="DU146" s="1041"/>
      <c r="DV146" s="1044"/>
      <c r="DW146" s="1048">
        <f t="shared" si="53"/>
        <v>0</v>
      </c>
      <c r="DX146" s="1036"/>
      <c r="DY146" s="659"/>
    </row>
    <row r="147" spans="1:129" ht="14.4" customHeight="1" outlineLevel="1">
      <c r="A147" s="1036" t="s">
        <v>660</v>
      </c>
      <c r="B147" s="1821">
        <v>3103.3962499999998</v>
      </c>
      <c r="C147" s="1821">
        <v>203.67499999999998</v>
      </c>
      <c r="D147" s="1821">
        <v>2165.6574999999998</v>
      </c>
      <c r="E147" s="1821">
        <v>270</v>
      </c>
      <c r="F147" s="1821">
        <v>3720.6285714285709</v>
      </c>
      <c r="G147" s="1821">
        <v>114</v>
      </c>
      <c r="H147" s="1821">
        <v>500</v>
      </c>
      <c r="I147" s="1821">
        <v>660.05250000000001</v>
      </c>
      <c r="J147" s="1821">
        <v>1287.610666666666</v>
      </c>
      <c r="K147" s="1821">
        <v>254.35</v>
      </c>
      <c r="L147" s="1821">
        <v>568.703125</v>
      </c>
      <c r="M147" s="1821">
        <v>0</v>
      </c>
      <c r="N147" s="1822">
        <v>996.76250000000016</v>
      </c>
      <c r="O147" s="1822">
        <v>464.46125000000001</v>
      </c>
      <c r="P147" s="1823">
        <v>566.84000000000015</v>
      </c>
      <c r="Q147" s="1824">
        <v>4600</v>
      </c>
      <c r="R147" s="1825">
        <v>1022.2800000000002</v>
      </c>
      <c r="S147" s="1821">
        <v>33798.191666666673</v>
      </c>
      <c r="T147" s="1821">
        <v>477.84910714285718</v>
      </c>
      <c r="U147" s="1821">
        <v>1780.7650000000003</v>
      </c>
      <c r="V147" s="1821">
        <v>1161.3300000000002</v>
      </c>
      <c r="W147" s="1821">
        <v>70</v>
      </c>
      <c r="X147" s="1821">
        <v>298.95</v>
      </c>
      <c r="Y147" s="1824">
        <v>2679.8562500000003</v>
      </c>
      <c r="Z147" s="1821">
        <v>203.12999999999991</v>
      </c>
      <c r="AA147" s="1821">
        <v>3285.0506666666674</v>
      </c>
      <c r="AB147" s="1826">
        <v>589.5999999999998</v>
      </c>
      <c r="AC147" s="1826">
        <v>256.19</v>
      </c>
      <c r="AD147" s="1826">
        <v>1707.15</v>
      </c>
      <c r="AE147" s="1826">
        <v>150</v>
      </c>
      <c r="AF147" s="1826">
        <v>500</v>
      </c>
      <c r="AG147" s="1826">
        <v>924.96266666666702</v>
      </c>
      <c r="AH147" s="1826">
        <v>187.0260000000001</v>
      </c>
      <c r="AI147" s="1826">
        <v>4525.0499999999993</v>
      </c>
      <c r="AJ147" s="1826">
        <v>0</v>
      </c>
      <c r="AK147" s="1826">
        <v>1915.2</v>
      </c>
      <c r="AL147" s="1826">
        <v>638.59500000000014</v>
      </c>
      <c r="AM147" s="1827">
        <v>4757.6457142857134</v>
      </c>
      <c r="AN147" s="1827">
        <v>178.2</v>
      </c>
      <c r="AO147" s="1823">
        <v>2353.5</v>
      </c>
      <c r="AP147" s="1823">
        <v>55.949999999999996</v>
      </c>
      <c r="AQ147" s="1828">
        <v>1177.1750000000006</v>
      </c>
      <c r="AR147" s="1829">
        <v>313.05700000000002</v>
      </c>
      <c r="AS147" s="1827">
        <v>94.813750000000013</v>
      </c>
      <c r="AT147" s="1823">
        <v>104.26499999999999</v>
      </c>
      <c r="AU147" s="1823">
        <v>36.721249999999998</v>
      </c>
      <c r="AV147" s="1828">
        <v>0</v>
      </c>
      <c r="AW147" s="1829">
        <v>0</v>
      </c>
      <c r="AX147" s="1828">
        <v>0</v>
      </c>
      <c r="AY147" s="1829">
        <v>3467.7349523809521</v>
      </c>
      <c r="AZ147" s="1829">
        <v>356.87</v>
      </c>
      <c r="BA147" s="1826">
        <v>670.78125</v>
      </c>
      <c r="BB147" s="1826">
        <v>1246.1386904761905</v>
      </c>
      <c r="BC147" s="1821">
        <v>420</v>
      </c>
      <c r="BD147" s="1826">
        <v>800</v>
      </c>
      <c r="BE147" s="1826">
        <v>211.3125</v>
      </c>
      <c r="BF147" s="1826">
        <v>252.90000000000003</v>
      </c>
      <c r="BG147" s="1826">
        <v>274.2</v>
      </c>
      <c r="BH147" s="1826">
        <v>300</v>
      </c>
      <c r="BI147" s="1826">
        <v>170</v>
      </c>
      <c r="BJ147" s="1826">
        <v>861.75</v>
      </c>
      <c r="BK147" s="1826">
        <v>78.641249999999999</v>
      </c>
      <c r="BL147" s="1829">
        <v>313.3416666666667</v>
      </c>
      <c r="BM147" s="1829">
        <v>5190.5791666666664</v>
      </c>
      <c r="BN147" s="1829">
        <v>157.375</v>
      </c>
      <c r="BO147" s="1826">
        <v>3901.293452380954</v>
      </c>
      <c r="BP147" s="1821">
        <v>156.19999999999999</v>
      </c>
      <c r="BQ147" s="1821">
        <v>175.65625</v>
      </c>
      <c r="BR147" s="1821">
        <v>350</v>
      </c>
      <c r="BS147" s="1821">
        <v>170</v>
      </c>
      <c r="BT147" s="1821">
        <v>475.90000000000009</v>
      </c>
      <c r="BU147" s="1821">
        <v>500</v>
      </c>
      <c r="BV147" s="1830">
        <v>1000</v>
      </c>
      <c r="BW147" s="1829">
        <v>1970.9437499999999</v>
      </c>
      <c r="BX147" s="1829">
        <v>234.07499999999999</v>
      </c>
      <c r="BY147" s="1829">
        <v>168</v>
      </c>
      <c r="BZ147" s="1826">
        <v>357.34178571428572</v>
      </c>
      <c r="CA147" s="1826">
        <v>102.79500000000016</v>
      </c>
      <c r="CB147" s="1826">
        <v>636.01250000000005</v>
      </c>
      <c r="CC147" s="1826">
        <v>0</v>
      </c>
      <c r="CD147" s="1823">
        <v>13313.8125</v>
      </c>
      <c r="CE147" s="1823">
        <v>13671.485714285713</v>
      </c>
      <c r="CF147" s="1823">
        <v>258</v>
      </c>
      <c r="CG147" s="1823">
        <v>2426.355</v>
      </c>
      <c r="CH147" s="1823">
        <v>912.75</v>
      </c>
      <c r="CI147" s="1823">
        <v>250</v>
      </c>
      <c r="CJ147" s="1823">
        <v>200</v>
      </c>
      <c r="CK147" s="1826">
        <v>255</v>
      </c>
      <c r="CL147" s="1826">
        <v>489.01428571428585</v>
      </c>
      <c r="CM147" s="1826">
        <v>431.78000000000003</v>
      </c>
      <c r="CN147" s="1826">
        <v>526.80499999999984</v>
      </c>
      <c r="CO147" s="1826">
        <v>57.6</v>
      </c>
      <c r="CP147" s="1824">
        <v>426.6875</v>
      </c>
      <c r="CQ147" s="1824">
        <v>150</v>
      </c>
      <c r="CR147" s="1824">
        <v>480.4375</v>
      </c>
      <c r="CS147" s="1829">
        <v>150</v>
      </c>
      <c r="CT147" s="1829">
        <v>436.95000000000016</v>
      </c>
      <c r="CU147" s="1829">
        <v>2089.395</v>
      </c>
      <c r="CV147" s="1829">
        <v>113.85</v>
      </c>
      <c r="CW147" s="1826">
        <v>1337.1791428571428</v>
      </c>
      <c r="CX147" s="1829">
        <v>99.225000000000009</v>
      </c>
      <c r="CY147" s="1824">
        <v>705.44124999999974</v>
      </c>
      <c r="CZ147" s="1824">
        <v>510.97749999999991</v>
      </c>
      <c r="DA147" s="1824">
        <v>1585.6968750000001</v>
      </c>
      <c r="DB147" s="1829">
        <v>2529.6711309523807</v>
      </c>
      <c r="DC147" s="1829">
        <v>5484.2124999999996</v>
      </c>
      <c r="DD147" s="1829">
        <v>1100</v>
      </c>
      <c r="DE147" s="1829">
        <v>230</v>
      </c>
      <c r="DF147" s="1826">
        <v>1518</v>
      </c>
      <c r="DG147" s="1826">
        <v>47.1</v>
      </c>
      <c r="DH147" s="1826">
        <v>499.76249999999999</v>
      </c>
      <c r="DI147" s="1826">
        <v>684.63749999999993</v>
      </c>
      <c r="DJ147" s="1824">
        <v>1035.375</v>
      </c>
      <c r="DK147" s="1826">
        <v>1321.75</v>
      </c>
      <c r="DL147" s="1821">
        <v>165.3125</v>
      </c>
      <c r="DM147" s="1821">
        <v>141.125</v>
      </c>
      <c r="DN147" s="1821">
        <v>58.5625</v>
      </c>
      <c r="DO147" s="1821">
        <v>277.25</v>
      </c>
      <c r="DP147" s="1826">
        <v>909.75</v>
      </c>
      <c r="DQ147" s="1037"/>
      <c r="DR147" s="1047"/>
      <c r="DS147" s="1041"/>
      <c r="DT147" s="1041"/>
      <c r="DU147" s="1041"/>
      <c r="DV147" s="1044"/>
      <c r="DW147" s="1048">
        <f t="shared" si="53"/>
        <v>166569.43454761905</v>
      </c>
      <c r="DX147" s="1036" t="str">
        <f t="shared" ref="DX147:DX154" si="65">A147</f>
        <v>План Департамента Продаж на ближайшие 04-10 дней, кг</v>
      </c>
      <c r="DY147" s="659"/>
    </row>
    <row r="148" spans="1:129" ht="14.4" customHeight="1" outlineLevel="1">
      <c r="A148" s="1036" t="s">
        <v>232</v>
      </c>
      <c r="B148" s="1821">
        <v>2746.3450000000003</v>
      </c>
      <c r="C148" s="1821">
        <v>203.67499999999998</v>
      </c>
      <c r="D148" s="1821">
        <v>2165.6574999999998</v>
      </c>
      <c r="E148" s="1821">
        <v>270</v>
      </c>
      <c r="F148" s="1821">
        <v>3720.6285714285709</v>
      </c>
      <c r="G148" s="1821">
        <v>114</v>
      </c>
      <c r="H148" s="1821">
        <v>500</v>
      </c>
      <c r="I148" s="1821">
        <v>660.05250000000001</v>
      </c>
      <c r="J148" s="1821">
        <v>1287.610666666666</v>
      </c>
      <c r="K148" s="1821">
        <v>254.35</v>
      </c>
      <c r="L148" s="1821">
        <v>568.703125</v>
      </c>
      <c r="M148" s="1821">
        <v>0</v>
      </c>
      <c r="N148" s="1822">
        <v>1643.1825000000003</v>
      </c>
      <c r="O148" s="1822">
        <v>331.75124999999997</v>
      </c>
      <c r="P148" s="1823">
        <v>566.84000000000015</v>
      </c>
      <c r="Q148" s="1824">
        <v>1400</v>
      </c>
      <c r="R148" s="1825">
        <v>1022.2800000000002</v>
      </c>
      <c r="S148" s="1821">
        <v>13947.191666666671</v>
      </c>
      <c r="T148" s="1821">
        <v>477.84910714285718</v>
      </c>
      <c r="U148" s="1821">
        <v>1950.7650000000003</v>
      </c>
      <c r="V148" s="1821">
        <v>1161.3300000000002</v>
      </c>
      <c r="W148" s="1821">
        <v>70</v>
      </c>
      <c r="X148" s="1821">
        <v>298.95</v>
      </c>
      <c r="Y148" s="1824">
        <v>1611.3187500000001</v>
      </c>
      <c r="Z148" s="1821">
        <v>203.12999999999991</v>
      </c>
      <c r="AA148" s="1821">
        <v>2414.4106666666676</v>
      </c>
      <c r="AB148" s="1826">
        <v>589.5999999999998</v>
      </c>
      <c r="AC148" s="1826">
        <v>167.04000000000002</v>
      </c>
      <c r="AD148" s="1826">
        <v>1707.15</v>
      </c>
      <c r="AE148" s="1826">
        <v>150</v>
      </c>
      <c r="AF148" s="1826">
        <v>500</v>
      </c>
      <c r="AG148" s="1826">
        <v>1304.962666666667</v>
      </c>
      <c r="AH148" s="1826">
        <v>187.0260000000001</v>
      </c>
      <c r="AI148" s="1826">
        <v>4525.0499999999993</v>
      </c>
      <c r="AJ148" s="1826">
        <v>0</v>
      </c>
      <c r="AK148" s="1826">
        <v>1915.2</v>
      </c>
      <c r="AL148" s="1826">
        <v>638.59500000000014</v>
      </c>
      <c r="AM148" s="1827">
        <v>8579.8957142857125</v>
      </c>
      <c r="AN148" s="1827">
        <v>178.2</v>
      </c>
      <c r="AO148" s="1823">
        <v>2353.5</v>
      </c>
      <c r="AP148" s="1823">
        <v>55.949999999999996</v>
      </c>
      <c r="AQ148" s="1828">
        <v>1177.1750000000006</v>
      </c>
      <c r="AR148" s="1829">
        <v>292.09699999999998</v>
      </c>
      <c r="AS148" s="1827">
        <v>94.813750000000013</v>
      </c>
      <c r="AT148" s="1823">
        <v>104.26499999999999</v>
      </c>
      <c r="AU148" s="1823">
        <v>36.721249999999998</v>
      </c>
      <c r="AV148" s="1828">
        <v>0</v>
      </c>
      <c r="AW148" s="1829">
        <v>0</v>
      </c>
      <c r="AX148" s="1828">
        <v>0</v>
      </c>
      <c r="AY148" s="1829">
        <v>2203.654</v>
      </c>
      <c r="AZ148" s="1829">
        <v>356.87</v>
      </c>
      <c r="BA148" s="1826">
        <v>670.78125</v>
      </c>
      <c r="BB148" s="1826">
        <v>2719.9386904761909</v>
      </c>
      <c r="BC148" s="1821">
        <v>420</v>
      </c>
      <c r="BD148" s="1826">
        <v>800</v>
      </c>
      <c r="BE148" s="1826">
        <v>211.3125</v>
      </c>
      <c r="BF148" s="1826">
        <v>252.90000000000003</v>
      </c>
      <c r="BG148" s="1826">
        <v>274.2</v>
      </c>
      <c r="BH148" s="1826">
        <v>300</v>
      </c>
      <c r="BI148" s="1826">
        <v>170</v>
      </c>
      <c r="BJ148" s="1826">
        <v>861.75</v>
      </c>
      <c r="BK148" s="1826">
        <v>78.641249999999999</v>
      </c>
      <c r="BL148" s="1829">
        <v>414.74166666666667</v>
      </c>
      <c r="BM148" s="1829">
        <v>4613.7124999999996</v>
      </c>
      <c r="BN148" s="1829">
        <v>313.625</v>
      </c>
      <c r="BO148" s="1826">
        <v>4978.5184523809512</v>
      </c>
      <c r="BP148" s="1821">
        <v>156.19999999999999</v>
      </c>
      <c r="BQ148" s="1821">
        <v>175.65625</v>
      </c>
      <c r="BR148" s="1821">
        <v>350</v>
      </c>
      <c r="BS148" s="1821">
        <v>170</v>
      </c>
      <c r="BT148" s="1821">
        <v>475.90000000000009</v>
      </c>
      <c r="BU148" s="1821">
        <v>500</v>
      </c>
      <c r="BV148" s="1830">
        <v>1000</v>
      </c>
      <c r="BW148" s="1829">
        <v>2181.8187499999999</v>
      </c>
      <c r="BX148" s="1829">
        <v>234.07499999999999</v>
      </c>
      <c r="BY148" s="1829">
        <v>168</v>
      </c>
      <c r="BZ148" s="1826">
        <v>357.34178571428572</v>
      </c>
      <c r="CA148" s="1826">
        <v>102.79500000000016</v>
      </c>
      <c r="CB148" s="1826">
        <v>176.73750000000001</v>
      </c>
      <c r="CC148" s="1826">
        <v>0</v>
      </c>
      <c r="CD148" s="1823">
        <v>13463.8125</v>
      </c>
      <c r="CE148" s="1823">
        <v>6059.5982142857119</v>
      </c>
      <c r="CF148" s="1823">
        <v>258</v>
      </c>
      <c r="CG148" s="1823">
        <v>2426.355</v>
      </c>
      <c r="CH148" s="1823">
        <v>912.75</v>
      </c>
      <c r="CI148" s="1823">
        <v>250</v>
      </c>
      <c r="CJ148" s="1823">
        <v>200</v>
      </c>
      <c r="CK148" s="1826">
        <v>255</v>
      </c>
      <c r="CL148" s="1826">
        <v>370.36428571428581</v>
      </c>
      <c r="CM148" s="1826">
        <v>431.78000000000003</v>
      </c>
      <c r="CN148" s="1826">
        <v>1276.8049999999998</v>
      </c>
      <c r="CO148" s="1826">
        <v>57.6</v>
      </c>
      <c r="CP148" s="1824">
        <v>426.6875</v>
      </c>
      <c r="CQ148" s="1824">
        <v>150</v>
      </c>
      <c r="CR148" s="1824">
        <v>480.4375</v>
      </c>
      <c r="CS148" s="1829">
        <v>150</v>
      </c>
      <c r="CT148" s="1829">
        <v>586.95000000000016</v>
      </c>
      <c r="CU148" s="1829">
        <v>2089.395</v>
      </c>
      <c r="CV148" s="1829">
        <v>113.85</v>
      </c>
      <c r="CW148" s="1826">
        <v>1025.3319999999994</v>
      </c>
      <c r="CX148" s="1829">
        <v>99.225000000000009</v>
      </c>
      <c r="CY148" s="1824">
        <v>1695.2862499999997</v>
      </c>
      <c r="CZ148" s="1824">
        <v>298.10249999999991</v>
      </c>
      <c r="DA148" s="1824">
        <v>1633.1968750000001</v>
      </c>
      <c r="DB148" s="1829">
        <v>3233.4461309523808</v>
      </c>
      <c r="DC148" s="1829">
        <v>5484.2124999999996</v>
      </c>
      <c r="DD148" s="1829">
        <v>1100</v>
      </c>
      <c r="DE148" s="1829">
        <v>230</v>
      </c>
      <c r="DF148" s="1826">
        <v>1518</v>
      </c>
      <c r="DG148" s="1826">
        <v>47.1</v>
      </c>
      <c r="DH148" s="1826">
        <v>499.76249999999999</v>
      </c>
      <c r="DI148" s="1826">
        <v>597.9375</v>
      </c>
      <c r="DJ148" s="1824">
        <v>1058.25</v>
      </c>
      <c r="DK148" s="1826">
        <v>1321.75</v>
      </c>
      <c r="DL148" s="1821">
        <v>165.3125</v>
      </c>
      <c r="DM148" s="1821">
        <v>141.125</v>
      </c>
      <c r="DN148" s="1821">
        <v>58.5625</v>
      </c>
      <c r="DO148" s="1821">
        <v>277.25</v>
      </c>
      <c r="DP148" s="1826">
        <v>909.75</v>
      </c>
      <c r="DQ148" s="1037"/>
      <c r="DR148" s="1047"/>
      <c r="DS148" s="1041"/>
      <c r="DT148" s="1041"/>
      <c r="DU148" s="1041"/>
      <c r="DV148" s="1044"/>
      <c r="DW148" s="1048">
        <f t="shared" si="53"/>
        <v>141189.41853571427</v>
      </c>
      <c r="DX148" s="1036" t="str">
        <f t="shared" si="65"/>
        <v>План Департамента Продаж на ближайшие 11-17 дней, кг</v>
      </c>
      <c r="DY148" s="659"/>
    </row>
    <row r="149" spans="1:129" ht="14.4" customHeight="1" outlineLevel="1">
      <c r="A149" s="1036" t="s">
        <v>233</v>
      </c>
      <c r="B149" s="1821">
        <v>2746.3450000000003</v>
      </c>
      <c r="C149" s="1821">
        <v>203.67499999999998</v>
      </c>
      <c r="D149" s="1821">
        <v>2165.6574999999998</v>
      </c>
      <c r="E149" s="1821">
        <v>270</v>
      </c>
      <c r="F149" s="1821">
        <v>3720.6285714285709</v>
      </c>
      <c r="G149" s="1821">
        <v>114</v>
      </c>
      <c r="H149" s="1821">
        <v>500</v>
      </c>
      <c r="I149" s="1821">
        <v>660.05250000000001</v>
      </c>
      <c r="J149" s="1821">
        <v>1387.610666666666</v>
      </c>
      <c r="K149" s="1821">
        <v>254.35</v>
      </c>
      <c r="L149" s="1821">
        <v>568.703125</v>
      </c>
      <c r="M149" s="1821">
        <v>0</v>
      </c>
      <c r="N149" s="1822">
        <v>1643.1825000000003</v>
      </c>
      <c r="O149" s="1822">
        <v>331.75124999999997</v>
      </c>
      <c r="P149" s="1823">
        <v>566.84000000000015</v>
      </c>
      <c r="Q149" s="1824">
        <v>767.76</v>
      </c>
      <c r="R149" s="1825">
        <v>1022.2800000000002</v>
      </c>
      <c r="S149" s="1821">
        <v>19849.591666666674</v>
      </c>
      <c r="T149" s="1821">
        <v>477.84910714285718</v>
      </c>
      <c r="U149" s="1821">
        <v>1950.7650000000003</v>
      </c>
      <c r="V149" s="1821">
        <v>1161.3300000000002</v>
      </c>
      <c r="W149" s="1821">
        <v>70</v>
      </c>
      <c r="X149" s="1821">
        <v>298.95</v>
      </c>
      <c r="Y149" s="1824">
        <v>2442.4537500000006</v>
      </c>
      <c r="Z149" s="1821">
        <v>203.12999999999991</v>
      </c>
      <c r="AA149" s="1821">
        <v>2414.0773333333341</v>
      </c>
      <c r="AB149" s="1826">
        <v>589.5999999999998</v>
      </c>
      <c r="AC149" s="1826">
        <v>167.04000000000002</v>
      </c>
      <c r="AD149" s="1826">
        <v>1707.15</v>
      </c>
      <c r="AE149" s="1826">
        <v>150</v>
      </c>
      <c r="AF149" s="1826">
        <v>500</v>
      </c>
      <c r="AG149" s="1826">
        <v>1304.962666666667</v>
      </c>
      <c r="AH149" s="1826">
        <v>337.02600000000007</v>
      </c>
      <c r="AI149" s="1826">
        <v>4525.0499999999993</v>
      </c>
      <c r="AJ149" s="1826">
        <v>0</v>
      </c>
      <c r="AK149" s="1826">
        <v>1915.2</v>
      </c>
      <c r="AL149" s="1826">
        <v>638.59500000000014</v>
      </c>
      <c r="AM149" s="1827">
        <v>4781.4957142857129</v>
      </c>
      <c r="AN149" s="1827">
        <v>178.2</v>
      </c>
      <c r="AO149" s="1823">
        <v>2353.5</v>
      </c>
      <c r="AP149" s="1823">
        <v>55.949999999999996</v>
      </c>
      <c r="AQ149" s="1828">
        <v>1177.1750000000006</v>
      </c>
      <c r="AR149" s="1829">
        <v>292.09699999999998</v>
      </c>
      <c r="AS149" s="1827">
        <v>94.813750000000013</v>
      </c>
      <c r="AT149" s="1823">
        <v>104.26499999999999</v>
      </c>
      <c r="AU149" s="1823">
        <v>36.721249999999998</v>
      </c>
      <c r="AV149" s="1828">
        <v>0</v>
      </c>
      <c r="AW149" s="1829">
        <v>0</v>
      </c>
      <c r="AX149" s="1828">
        <v>0</v>
      </c>
      <c r="AY149" s="1829">
        <v>4677.8206666666665</v>
      </c>
      <c r="AZ149" s="1829">
        <v>356.87</v>
      </c>
      <c r="BA149" s="1826">
        <v>670.78125</v>
      </c>
      <c r="BB149" s="1826">
        <v>2719.9386904761909</v>
      </c>
      <c r="BC149" s="1821">
        <v>420</v>
      </c>
      <c r="BD149" s="1826">
        <v>800</v>
      </c>
      <c r="BE149" s="1826">
        <v>211.3125</v>
      </c>
      <c r="BF149" s="1826">
        <v>252.90000000000003</v>
      </c>
      <c r="BG149" s="1826">
        <v>274.2</v>
      </c>
      <c r="BH149" s="1826">
        <v>300</v>
      </c>
      <c r="BI149" s="1826">
        <v>170</v>
      </c>
      <c r="BJ149" s="1826">
        <v>861.75</v>
      </c>
      <c r="BK149" s="1826">
        <v>78.641249999999999</v>
      </c>
      <c r="BL149" s="1829">
        <v>414.74166666666667</v>
      </c>
      <c r="BM149" s="1829">
        <v>3113.7125000000001</v>
      </c>
      <c r="BN149" s="1829">
        <v>313.625</v>
      </c>
      <c r="BO149" s="1826">
        <v>5727.9184523809508</v>
      </c>
      <c r="BP149" s="1821">
        <v>156.19999999999999</v>
      </c>
      <c r="BQ149" s="1821">
        <v>175.65625</v>
      </c>
      <c r="BR149" s="1821">
        <v>350</v>
      </c>
      <c r="BS149" s="1821">
        <v>170</v>
      </c>
      <c r="BT149" s="1821">
        <v>475.90000000000009</v>
      </c>
      <c r="BU149" s="1821">
        <v>500</v>
      </c>
      <c r="BV149" s="1830">
        <v>1000</v>
      </c>
      <c r="BW149" s="1829">
        <v>2181.8187499999999</v>
      </c>
      <c r="BX149" s="1829">
        <v>234.07499999999999</v>
      </c>
      <c r="BY149" s="1829">
        <v>168</v>
      </c>
      <c r="BZ149" s="1826">
        <v>357.34178571428572</v>
      </c>
      <c r="CA149" s="1826">
        <v>102.79500000000016</v>
      </c>
      <c r="CB149" s="1826">
        <v>566.73749999999995</v>
      </c>
      <c r="CC149" s="1826">
        <v>0</v>
      </c>
      <c r="CD149" s="1823">
        <v>13463.8125</v>
      </c>
      <c r="CE149" s="1823">
        <v>8059.931547619045</v>
      </c>
      <c r="CF149" s="1823">
        <v>258</v>
      </c>
      <c r="CG149" s="1823">
        <v>2426.355</v>
      </c>
      <c r="CH149" s="1823">
        <v>912.75</v>
      </c>
      <c r="CI149" s="1823">
        <v>250</v>
      </c>
      <c r="CJ149" s="1823">
        <v>200</v>
      </c>
      <c r="CK149" s="1826">
        <v>255</v>
      </c>
      <c r="CL149" s="1826">
        <v>610.36428571428587</v>
      </c>
      <c r="CM149" s="1826">
        <v>671.78</v>
      </c>
      <c r="CN149" s="1826">
        <v>717.90499999999997</v>
      </c>
      <c r="CO149" s="1826">
        <v>57.6</v>
      </c>
      <c r="CP149" s="1824">
        <v>426.6875</v>
      </c>
      <c r="CQ149" s="1824">
        <v>150</v>
      </c>
      <c r="CR149" s="1824">
        <v>480.4375</v>
      </c>
      <c r="CS149" s="1829">
        <v>150</v>
      </c>
      <c r="CT149" s="1829">
        <v>5402.95</v>
      </c>
      <c r="CU149" s="1829">
        <v>2089.395</v>
      </c>
      <c r="CV149" s="1829">
        <v>113.85</v>
      </c>
      <c r="CW149" s="1826">
        <v>1025.6653333333329</v>
      </c>
      <c r="CX149" s="1829">
        <v>99.225000000000009</v>
      </c>
      <c r="CY149" s="1824">
        <v>1695.2862499999997</v>
      </c>
      <c r="CZ149" s="1824">
        <v>298.10249999999991</v>
      </c>
      <c r="DA149" s="1824">
        <v>1632.8635416666666</v>
      </c>
      <c r="DB149" s="1829">
        <v>3587.6336309523808</v>
      </c>
      <c r="DC149" s="1829">
        <v>5001.4624999999996</v>
      </c>
      <c r="DD149" s="1829">
        <v>1100</v>
      </c>
      <c r="DE149" s="1829">
        <v>230</v>
      </c>
      <c r="DF149" s="1826">
        <v>1518</v>
      </c>
      <c r="DG149" s="1826">
        <v>47.1</v>
      </c>
      <c r="DH149" s="1826">
        <v>499.76249999999999</v>
      </c>
      <c r="DI149" s="1826">
        <v>447.93749999999994</v>
      </c>
      <c r="DJ149" s="1824">
        <v>1058.25</v>
      </c>
      <c r="DK149" s="1826">
        <v>1321.75</v>
      </c>
      <c r="DL149" s="1821">
        <v>165.3125</v>
      </c>
      <c r="DM149" s="1821">
        <v>141.125</v>
      </c>
      <c r="DN149" s="1821">
        <v>58.5625</v>
      </c>
      <c r="DO149" s="1821">
        <v>277.25</v>
      </c>
      <c r="DP149" s="1826">
        <v>909.75</v>
      </c>
      <c r="DQ149" s="1037"/>
      <c r="DR149" s="1047"/>
      <c r="DS149" s="1041"/>
      <c r="DT149" s="1041"/>
      <c r="DU149" s="1041"/>
      <c r="DV149" s="1044"/>
      <c r="DW149" s="1048">
        <f t="shared" si="53"/>
        <v>152314.41770238098</v>
      </c>
      <c r="DX149" s="1036" t="str">
        <f t="shared" si="65"/>
        <v>План Департамента Продаж на ближайшие 18-24 дней, кг</v>
      </c>
      <c r="DY149" s="659"/>
    </row>
    <row r="150" spans="1:129" ht="14.4" customHeight="1" outlineLevel="1">
      <c r="A150" s="1036" t="s">
        <v>234</v>
      </c>
      <c r="B150" s="1821">
        <v>2746.3450000000003</v>
      </c>
      <c r="C150" s="1821">
        <v>203.67499999999998</v>
      </c>
      <c r="D150" s="1821">
        <v>1750</v>
      </c>
      <c r="E150" s="1821">
        <v>270</v>
      </c>
      <c r="F150" s="1821">
        <v>3120.6285714285709</v>
      </c>
      <c r="G150" s="1821">
        <v>114</v>
      </c>
      <c r="H150" s="1821">
        <v>500</v>
      </c>
      <c r="I150" s="1821">
        <v>660.05250000000001</v>
      </c>
      <c r="J150" s="1821">
        <v>1387.610666666666</v>
      </c>
      <c r="K150" s="1821">
        <v>254.35</v>
      </c>
      <c r="L150" s="1821">
        <v>68.703125</v>
      </c>
      <c r="M150" s="1821">
        <v>0</v>
      </c>
      <c r="N150" s="1822">
        <v>1600.0625000000005</v>
      </c>
      <c r="O150" s="1822">
        <v>331.75124999999997</v>
      </c>
      <c r="P150" s="1823">
        <v>566.84000000000015</v>
      </c>
      <c r="Q150" s="1824">
        <v>767.76</v>
      </c>
      <c r="R150" s="1825">
        <v>1022.2800000000002</v>
      </c>
      <c r="S150" s="1821">
        <v>22587.471666666672</v>
      </c>
      <c r="T150" s="1821">
        <v>477.84910714285718</v>
      </c>
      <c r="U150" s="1821">
        <v>1950.7650000000003</v>
      </c>
      <c r="V150" s="1821">
        <v>1161.3300000000002</v>
      </c>
      <c r="W150" s="1821">
        <v>70</v>
      </c>
      <c r="X150" s="1821">
        <v>298.95</v>
      </c>
      <c r="Y150" s="1824">
        <v>2180.2937500000007</v>
      </c>
      <c r="Z150" s="1821">
        <v>203.12999999999991</v>
      </c>
      <c r="AA150" s="1821">
        <v>3464.0773333333345</v>
      </c>
      <c r="AB150" s="1826">
        <v>589.5999999999998</v>
      </c>
      <c r="AC150" s="1826">
        <v>317.04000000000002</v>
      </c>
      <c r="AD150" s="1826">
        <v>1707.15</v>
      </c>
      <c r="AE150" s="1826">
        <v>150</v>
      </c>
      <c r="AF150" s="1826">
        <v>500</v>
      </c>
      <c r="AG150" s="1826">
        <v>1304.962666666667</v>
      </c>
      <c r="AH150" s="1826">
        <v>787.02600000000007</v>
      </c>
      <c r="AI150" s="1826">
        <v>4525.0499999999993</v>
      </c>
      <c r="AJ150" s="1826">
        <v>0</v>
      </c>
      <c r="AK150" s="1826">
        <v>1915.2</v>
      </c>
      <c r="AL150" s="1826">
        <v>638.59500000000014</v>
      </c>
      <c r="AM150" s="1827">
        <v>4757.6457142857134</v>
      </c>
      <c r="AN150" s="1827">
        <v>178.2</v>
      </c>
      <c r="AO150" s="1823">
        <v>2353.5</v>
      </c>
      <c r="AP150" s="1823">
        <v>55.949999999999996</v>
      </c>
      <c r="AQ150" s="1828">
        <v>1177.1750000000006</v>
      </c>
      <c r="AR150" s="1829">
        <v>263.05700000000002</v>
      </c>
      <c r="AS150" s="1827">
        <v>94.813750000000013</v>
      </c>
      <c r="AT150" s="1823">
        <v>104.26499999999999</v>
      </c>
      <c r="AU150" s="1823">
        <v>36.721249999999998</v>
      </c>
      <c r="AV150" s="1828">
        <v>0</v>
      </c>
      <c r="AW150" s="1829">
        <v>0</v>
      </c>
      <c r="AX150" s="1828">
        <v>0</v>
      </c>
      <c r="AY150" s="1829">
        <v>4477.8206666666665</v>
      </c>
      <c r="AZ150" s="1829">
        <v>356.87</v>
      </c>
      <c r="BA150" s="1826">
        <v>670.78125</v>
      </c>
      <c r="BB150" s="1826">
        <v>2719.9386904761909</v>
      </c>
      <c r="BC150" s="1821">
        <v>420</v>
      </c>
      <c r="BD150" s="1826">
        <v>800</v>
      </c>
      <c r="BE150" s="1826">
        <v>211.3125</v>
      </c>
      <c r="BF150" s="1826">
        <v>252.90000000000003</v>
      </c>
      <c r="BG150" s="1826">
        <v>274.2</v>
      </c>
      <c r="BH150" s="1826">
        <v>300</v>
      </c>
      <c r="BI150" s="1826">
        <v>170</v>
      </c>
      <c r="BJ150" s="1826">
        <v>861.75</v>
      </c>
      <c r="BK150" s="1826">
        <v>78.641249999999999</v>
      </c>
      <c r="BL150" s="1829">
        <v>114.74166666666667</v>
      </c>
      <c r="BM150" s="1829">
        <v>1256.3791666666666</v>
      </c>
      <c r="BN150" s="1829">
        <v>157.375</v>
      </c>
      <c r="BO150" s="1826">
        <v>5036.3184523809541</v>
      </c>
      <c r="BP150" s="1821">
        <v>156.19999999999999</v>
      </c>
      <c r="BQ150" s="1821">
        <v>175.65625</v>
      </c>
      <c r="BR150" s="1821">
        <v>350</v>
      </c>
      <c r="BS150" s="1821">
        <v>170</v>
      </c>
      <c r="BT150" s="1821">
        <v>475.90000000000009</v>
      </c>
      <c r="BU150" s="1821">
        <v>500</v>
      </c>
      <c r="BV150" s="1830">
        <v>1000</v>
      </c>
      <c r="BW150" s="1829">
        <v>2455.6937499999999</v>
      </c>
      <c r="BX150" s="1829">
        <v>234.07499999999999</v>
      </c>
      <c r="BY150" s="1829">
        <v>168</v>
      </c>
      <c r="BZ150" s="1826">
        <v>357.34178571428572</v>
      </c>
      <c r="CA150" s="1826">
        <v>102.79500000000016</v>
      </c>
      <c r="CB150" s="1826">
        <v>528.76607142857142</v>
      </c>
      <c r="CC150" s="1826">
        <v>0</v>
      </c>
      <c r="CD150" s="1823">
        <v>13413.8125</v>
      </c>
      <c r="CE150" s="1823">
        <v>8010.431547619045</v>
      </c>
      <c r="CF150" s="1823">
        <v>258</v>
      </c>
      <c r="CG150" s="1823">
        <v>2426.355</v>
      </c>
      <c r="CH150" s="1823">
        <v>912.75</v>
      </c>
      <c r="CI150" s="1823">
        <v>250</v>
      </c>
      <c r="CJ150" s="1823">
        <v>200</v>
      </c>
      <c r="CK150" s="1826">
        <v>255</v>
      </c>
      <c r="CL150" s="1826">
        <v>760.36428571428587</v>
      </c>
      <c r="CM150" s="1826">
        <v>621.80500000000006</v>
      </c>
      <c r="CN150" s="1826">
        <v>1167.905</v>
      </c>
      <c r="CO150" s="1826">
        <v>57.6</v>
      </c>
      <c r="CP150" s="1824">
        <v>426.6875</v>
      </c>
      <c r="CQ150" s="1824">
        <v>150</v>
      </c>
      <c r="CR150" s="1824">
        <v>480.4375</v>
      </c>
      <c r="CS150" s="1829">
        <v>150</v>
      </c>
      <c r="CT150" s="1829">
        <v>536.95000000000016</v>
      </c>
      <c r="CU150" s="1829">
        <v>2089.395</v>
      </c>
      <c r="CV150" s="1829">
        <v>113.85</v>
      </c>
      <c r="CW150" s="1826">
        <v>1025.6653333333329</v>
      </c>
      <c r="CX150" s="1829">
        <v>99.225000000000009</v>
      </c>
      <c r="CY150" s="1824">
        <v>1695.2862499999997</v>
      </c>
      <c r="CZ150" s="1824">
        <v>298.10249999999991</v>
      </c>
      <c r="DA150" s="1824">
        <v>1532.8635416666668</v>
      </c>
      <c r="DB150" s="1829">
        <v>3587.6336309523808</v>
      </c>
      <c r="DC150" s="1829">
        <v>4749.4624999999996</v>
      </c>
      <c r="DD150" s="1829">
        <v>1100</v>
      </c>
      <c r="DE150" s="1829">
        <v>230</v>
      </c>
      <c r="DF150" s="1826">
        <v>1518</v>
      </c>
      <c r="DG150" s="1826">
        <v>47.1</v>
      </c>
      <c r="DH150" s="1826">
        <v>499.76249999999999</v>
      </c>
      <c r="DI150" s="1826">
        <v>447.93749999999994</v>
      </c>
      <c r="DJ150" s="1824">
        <v>1058.25</v>
      </c>
      <c r="DK150" s="1826">
        <v>1321.75</v>
      </c>
      <c r="DL150" s="1821">
        <v>165.3125</v>
      </c>
      <c r="DM150" s="1821">
        <v>141.125</v>
      </c>
      <c r="DN150" s="1821">
        <v>58.5625</v>
      </c>
      <c r="DO150" s="1821">
        <v>277.25</v>
      </c>
      <c r="DP150" s="1826">
        <v>909.75</v>
      </c>
      <c r="DQ150" s="1037"/>
      <c r="DR150" s="1047"/>
      <c r="DS150" s="1041"/>
      <c r="DT150" s="1041"/>
      <c r="DU150" s="1041"/>
      <c r="DV150" s="1044"/>
      <c r="DW150" s="1048">
        <f t="shared" si="53"/>
        <v>147091.71544047617</v>
      </c>
      <c r="DX150" s="1036" t="str">
        <f t="shared" si="65"/>
        <v>План Департамента Продаж на ближайшие 25-31 дней, кг</v>
      </c>
      <c r="DY150" s="659"/>
    </row>
    <row r="151" spans="1:129" ht="14.4" customHeight="1" outlineLevel="1">
      <c r="A151" s="1036" t="s">
        <v>661</v>
      </c>
      <c r="B151" s="1821">
        <v>2746.3450000000003</v>
      </c>
      <c r="C151" s="1821">
        <v>203.67499999999998</v>
      </c>
      <c r="D151" s="1821">
        <v>1750</v>
      </c>
      <c r="E151" s="1821">
        <v>270</v>
      </c>
      <c r="F151" s="1821">
        <v>3120.6285714285709</v>
      </c>
      <c r="G151" s="1821">
        <v>114</v>
      </c>
      <c r="H151" s="1821">
        <v>500</v>
      </c>
      <c r="I151" s="1821">
        <v>660.05250000000001</v>
      </c>
      <c r="J151" s="1821">
        <v>1287.610666666666</v>
      </c>
      <c r="K151" s="1821">
        <v>254.35</v>
      </c>
      <c r="L151" s="1821">
        <v>68.703125</v>
      </c>
      <c r="M151" s="1821">
        <v>0</v>
      </c>
      <c r="N151" s="1822">
        <v>1600.0625000000005</v>
      </c>
      <c r="O151" s="1822">
        <v>331.75124999999997</v>
      </c>
      <c r="P151" s="1823">
        <v>566.84000000000015</v>
      </c>
      <c r="Q151" s="1824">
        <v>767.76</v>
      </c>
      <c r="R151" s="1825">
        <v>1022.2800000000002</v>
      </c>
      <c r="S151" s="1821">
        <v>14287.471666666672</v>
      </c>
      <c r="T151" s="1821">
        <v>477.84910714285718</v>
      </c>
      <c r="U151" s="1821">
        <v>1950.7650000000003</v>
      </c>
      <c r="V151" s="1821">
        <v>1161.3300000000002</v>
      </c>
      <c r="W151" s="1821">
        <v>70</v>
      </c>
      <c r="X151" s="1821">
        <v>298.95</v>
      </c>
      <c r="Y151" s="1824">
        <v>2180.2937500000007</v>
      </c>
      <c r="Z151" s="1821">
        <v>203.12999999999991</v>
      </c>
      <c r="AA151" s="1821">
        <v>3546.4506666666675</v>
      </c>
      <c r="AB151" s="1826">
        <v>1532.5</v>
      </c>
      <c r="AC151" s="1826">
        <v>317.04000000000002</v>
      </c>
      <c r="AD151" s="1826">
        <v>1707.15</v>
      </c>
      <c r="AE151" s="1826">
        <v>150</v>
      </c>
      <c r="AF151" s="1826">
        <v>500</v>
      </c>
      <c r="AG151" s="1826">
        <v>1304.962666666667</v>
      </c>
      <c r="AH151" s="1826">
        <v>1287.0260000000001</v>
      </c>
      <c r="AI151" s="1826">
        <v>4525.0499999999993</v>
      </c>
      <c r="AJ151" s="1826">
        <v>0</v>
      </c>
      <c r="AK151" s="1826">
        <v>1915.2</v>
      </c>
      <c r="AL151" s="1826">
        <v>638.59500000000014</v>
      </c>
      <c r="AM151" s="1827">
        <v>4757.6457142857134</v>
      </c>
      <c r="AN151" s="1827">
        <v>178.2</v>
      </c>
      <c r="AO151" s="1823">
        <v>2353.5</v>
      </c>
      <c r="AP151" s="1823">
        <v>55.949999999999996</v>
      </c>
      <c r="AQ151" s="1828">
        <v>1177.1750000000006</v>
      </c>
      <c r="AR151" s="1829">
        <v>263.05700000000002</v>
      </c>
      <c r="AS151" s="1827">
        <v>94.813750000000013</v>
      </c>
      <c r="AT151" s="1823">
        <v>104.26499999999999</v>
      </c>
      <c r="AU151" s="1823">
        <v>36.721249999999998</v>
      </c>
      <c r="AV151" s="1828">
        <v>0</v>
      </c>
      <c r="AW151" s="1829">
        <v>0</v>
      </c>
      <c r="AX151" s="1828">
        <v>0</v>
      </c>
      <c r="AY151" s="1829">
        <v>1532.3682857142858</v>
      </c>
      <c r="AZ151" s="1829">
        <v>356.87</v>
      </c>
      <c r="BA151" s="1826">
        <v>670.78125</v>
      </c>
      <c r="BB151" s="1826">
        <v>1519.9386904761909</v>
      </c>
      <c r="BC151" s="1821">
        <v>420</v>
      </c>
      <c r="BD151" s="1826">
        <v>800</v>
      </c>
      <c r="BE151" s="1826">
        <v>211.3125</v>
      </c>
      <c r="BF151" s="1826">
        <v>252.90000000000003</v>
      </c>
      <c r="BG151" s="1826">
        <v>274.2</v>
      </c>
      <c r="BH151" s="1826">
        <v>300</v>
      </c>
      <c r="BI151" s="1826">
        <v>170</v>
      </c>
      <c r="BJ151" s="1826">
        <v>861.75</v>
      </c>
      <c r="BK151" s="1826">
        <v>78.641249999999999</v>
      </c>
      <c r="BL151" s="1829">
        <v>174.74166666666667</v>
      </c>
      <c r="BM151" s="1829">
        <v>1256.3791666666666</v>
      </c>
      <c r="BN151" s="1829">
        <v>657.375</v>
      </c>
      <c r="BO151" s="1826">
        <v>4436.3184523809541</v>
      </c>
      <c r="BP151" s="1821">
        <v>156.19999999999999</v>
      </c>
      <c r="BQ151" s="1821">
        <v>175.65625</v>
      </c>
      <c r="BR151" s="1821">
        <v>350</v>
      </c>
      <c r="BS151" s="1821">
        <v>170</v>
      </c>
      <c r="BT151" s="1821">
        <v>475.90000000000009</v>
      </c>
      <c r="BU151" s="1821">
        <v>500</v>
      </c>
      <c r="BV151" s="1830">
        <v>1000</v>
      </c>
      <c r="BW151" s="1829">
        <v>2455.6937499999999</v>
      </c>
      <c r="BX151" s="1829">
        <v>234.07499999999999</v>
      </c>
      <c r="BY151" s="1829">
        <v>168</v>
      </c>
      <c r="BZ151" s="1826">
        <v>357.34178571428572</v>
      </c>
      <c r="CA151" s="1826">
        <v>102.79500000000016</v>
      </c>
      <c r="CB151" s="1826">
        <v>478.76607142857142</v>
      </c>
      <c r="CC151" s="1826">
        <v>0</v>
      </c>
      <c r="CD151" s="1823">
        <v>13413.8125</v>
      </c>
      <c r="CE151" s="1823">
        <v>7988.2982142857127</v>
      </c>
      <c r="CF151" s="1823">
        <v>258</v>
      </c>
      <c r="CG151" s="1823">
        <v>2426.355</v>
      </c>
      <c r="CH151" s="1823">
        <v>912.75</v>
      </c>
      <c r="CI151" s="1823">
        <v>250</v>
      </c>
      <c r="CJ151" s="1823">
        <v>200</v>
      </c>
      <c r="CK151" s="1826">
        <v>255</v>
      </c>
      <c r="CL151" s="1826">
        <v>760.36428571428587</v>
      </c>
      <c r="CM151" s="1826">
        <v>621.80500000000006</v>
      </c>
      <c r="CN151" s="1826">
        <v>892.50499999999988</v>
      </c>
      <c r="CO151" s="1826">
        <v>57.6</v>
      </c>
      <c r="CP151" s="1824">
        <v>466.6875</v>
      </c>
      <c r="CQ151" s="1824">
        <v>150</v>
      </c>
      <c r="CR151" s="1824">
        <v>480.4375</v>
      </c>
      <c r="CS151" s="1829">
        <v>150</v>
      </c>
      <c r="CT151" s="1829">
        <v>536.95000000000016</v>
      </c>
      <c r="CU151" s="1829">
        <v>2089.395</v>
      </c>
      <c r="CV151" s="1829">
        <v>113.85</v>
      </c>
      <c r="CW151" s="1826">
        <v>1228.9891428571427</v>
      </c>
      <c r="CX151" s="1829">
        <v>99.225000000000009</v>
      </c>
      <c r="CY151" s="1824">
        <v>915.28624999999977</v>
      </c>
      <c r="CZ151" s="1824">
        <v>298.10249999999991</v>
      </c>
      <c r="DA151" s="1824">
        <v>1485.6968750000001</v>
      </c>
      <c r="DB151" s="1829">
        <v>2579.6711309523807</v>
      </c>
      <c r="DC151" s="1829">
        <v>4732.2124999999996</v>
      </c>
      <c r="DD151" s="1829">
        <v>1100</v>
      </c>
      <c r="DE151" s="1829">
        <v>230</v>
      </c>
      <c r="DF151" s="1826">
        <v>1518</v>
      </c>
      <c r="DG151" s="1826">
        <v>47.1</v>
      </c>
      <c r="DH151" s="1826">
        <v>499.76249999999999</v>
      </c>
      <c r="DI151" s="1826">
        <v>447.93749999999994</v>
      </c>
      <c r="DJ151" s="1824">
        <v>1058.25</v>
      </c>
      <c r="DK151" s="1826">
        <v>1321.75</v>
      </c>
      <c r="DL151" s="1821">
        <v>195.3125</v>
      </c>
      <c r="DM151" s="1821">
        <v>141.125</v>
      </c>
      <c r="DN151" s="1821">
        <v>58.5625</v>
      </c>
      <c r="DO151" s="1821">
        <v>277.25</v>
      </c>
      <c r="DP151" s="1826">
        <v>909.75</v>
      </c>
      <c r="DQ151" s="1037"/>
      <c r="DR151" s="1047"/>
      <c r="DS151" s="1041"/>
      <c r="DT151" s="1041"/>
      <c r="DU151" s="1041"/>
      <c r="DV151" s="1044"/>
      <c r="DW151" s="1048">
        <f t="shared" si="53"/>
        <v>134104.94770238092</v>
      </c>
      <c r="DX151" s="1036" t="str">
        <f t="shared" si="65"/>
        <v>План Департамента Продаж на ближайшие 32-38 дней, кг</v>
      </c>
      <c r="DY151" s="659"/>
    </row>
    <row r="152" spans="1:129" ht="14.4" customHeight="1" outlineLevel="1">
      <c r="A152" s="1036" t="s">
        <v>662</v>
      </c>
      <c r="B152" s="1821">
        <v>2746.3450000000003</v>
      </c>
      <c r="C152" s="1821">
        <v>203.67499999999998</v>
      </c>
      <c r="D152" s="1821">
        <v>2165.6574999999998</v>
      </c>
      <c r="E152" s="1821">
        <v>270</v>
      </c>
      <c r="F152" s="1821">
        <v>2120.6285714285709</v>
      </c>
      <c r="G152" s="1821">
        <v>114</v>
      </c>
      <c r="H152" s="1821">
        <v>500</v>
      </c>
      <c r="I152" s="1821">
        <v>660.05250000000001</v>
      </c>
      <c r="J152" s="1821">
        <v>1287.610666666666</v>
      </c>
      <c r="K152" s="1821">
        <v>254.35</v>
      </c>
      <c r="L152" s="1821">
        <v>68.703125</v>
      </c>
      <c r="M152" s="1821">
        <v>0</v>
      </c>
      <c r="N152" s="1822">
        <v>770.06250000000034</v>
      </c>
      <c r="O152" s="1822">
        <v>331.75124999999997</v>
      </c>
      <c r="P152" s="1823">
        <v>566.84000000000015</v>
      </c>
      <c r="Q152" s="1824">
        <v>767.76</v>
      </c>
      <c r="R152" s="1825">
        <v>1022.2800000000002</v>
      </c>
      <c r="S152" s="1821">
        <v>19355.291666666672</v>
      </c>
      <c r="T152" s="1821">
        <v>477.84910714285718</v>
      </c>
      <c r="U152" s="1821">
        <v>1780.7650000000003</v>
      </c>
      <c r="V152" s="1821">
        <v>1161.3300000000002</v>
      </c>
      <c r="W152" s="1821">
        <v>70</v>
      </c>
      <c r="X152" s="1821">
        <v>298.95</v>
      </c>
      <c r="Y152" s="1824">
        <v>1942.4537500000006</v>
      </c>
      <c r="Z152" s="1821">
        <v>203.12999999999991</v>
      </c>
      <c r="AA152" s="1821">
        <v>3546.4506666666675</v>
      </c>
      <c r="AB152" s="1826">
        <v>589.5999999999998</v>
      </c>
      <c r="AC152" s="1826">
        <v>167.04000000000002</v>
      </c>
      <c r="AD152" s="1826">
        <v>1707.15</v>
      </c>
      <c r="AE152" s="1826">
        <v>150</v>
      </c>
      <c r="AF152" s="1826">
        <v>500</v>
      </c>
      <c r="AG152" s="1826">
        <v>924.96266666666702</v>
      </c>
      <c r="AH152" s="1826">
        <v>687.02600000000007</v>
      </c>
      <c r="AI152" s="1826">
        <v>4525.0499999999993</v>
      </c>
      <c r="AJ152" s="1826">
        <v>0</v>
      </c>
      <c r="AK152" s="1826">
        <v>1915.2</v>
      </c>
      <c r="AL152" s="1826">
        <v>638.59500000000014</v>
      </c>
      <c r="AM152" s="1827">
        <v>3781.4957142857133</v>
      </c>
      <c r="AN152" s="1827">
        <v>178.2</v>
      </c>
      <c r="AO152" s="1823">
        <v>2353.5</v>
      </c>
      <c r="AP152" s="1823">
        <v>55.949999999999996</v>
      </c>
      <c r="AQ152" s="1828">
        <v>1177.1750000000006</v>
      </c>
      <c r="AR152" s="1829">
        <v>292.09699999999998</v>
      </c>
      <c r="AS152" s="1827">
        <v>94.813750000000013</v>
      </c>
      <c r="AT152" s="1823">
        <v>104.26499999999999</v>
      </c>
      <c r="AU152" s="1823">
        <v>36.721249999999998</v>
      </c>
      <c r="AV152" s="1828">
        <v>0</v>
      </c>
      <c r="AW152" s="1829">
        <v>0</v>
      </c>
      <c r="AX152" s="1828">
        <v>0</v>
      </c>
      <c r="AY152" s="1829">
        <v>2032.3682857142858</v>
      </c>
      <c r="AZ152" s="1829">
        <v>356.87</v>
      </c>
      <c r="BA152" s="1826">
        <v>670.78125</v>
      </c>
      <c r="BB152" s="1826">
        <v>1419.9386904761909</v>
      </c>
      <c r="BC152" s="1821">
        <v>420</v>
      </c>
      <c r="BD152" s="1826">
        <v>800</v>
      </c>
      <c r="BE152" s="1826">
        <v>211.3125</v>
      </c>
      <c r="BF152" s="1826">
        <v>252.90000000000003</v>
      </c>
      <c r="BG152" s="1826">
        <v>274.2</v>
      </c>
      <c r="BH152" s="1826">
        <v>300</v>
      </c>
      <c r="BI152" s="1826">
        <v>170</v>
      </c>
      <c r="BJ152" s="1826">
        <v>861.75</v>
      </c>
      <c r="BK152" s="1826">
        <v>78.641249999999999</v>
      </c>
      <c r="BL152" s="1829">
        <v>114.74166666666667</v>
      </c>
      <c r="BM152" s="1829">
        <v>5256.3791666666666</v>
      </c>
      <c r="BN152" s="1829">
        <v>857.375</v>
      </c>
      <c r="BO152" s="1826">
        <v>3878.5184523809512</v>
      </c>
      <c r="BP152" s="1821">
        <v>156.19999999999999</v>
      </c>
      <c r="BQ152" s="1821">
        <v>175.65625</v>
      </c>
      <c r="BR152" s="1821">
        <v>350</v>
      </c>
      <c r="BS152" s="1821">
        <v>170</v>
      </c>
      <c r="BT152" s="1821">
        <v>475.90000000000009</v>
      </c>
      <c r="BU152" s="1821">
        <v>500</v>
      </c>
      <c r="BV152" s="1830">
        <v>1000</v>
      </c>
      <c r="BW152" s="1829">
        <v>2457.6937499999999</v>
      </c>
      <c r="BX152" s="1829">
        <v>234.07499999999999</v>
      </c>
      <c r="BY152" s="1829">
        <v>168</v>
      </c>
      <c r="BZ152" s="1826">
        <v>357.34178571428572</v>
      </c>
      <c r="CA152" s="1826">
        <v>102.79500000000016</v>
      </c>
      <c r="CB152" s="1826">
        <v>378.76607142857142</v>
      </c>
      <c r="CC152" s="1826">
        <v>0</v>
      </c>
      <c r="CD152" s="1823">
        <v>13313.8125</v>
      </c>
      <c r="CE152" s="1823">
        <v>7827.0982142857119</v>
      </c>
      <c r="CF152" s="1823">
        <v>258</v>
      </c>
      <c r="CG152" s="1823">
        <v>2426.355</v>
      </c>
      <c r="CH152" s="1823">
        <v>912.75</v>
      </c>
      <c r="CI152" s="1823">
        <v>250</v>
      </c>
      <c r="CJ152" s="1823">
        <v>200</v>
      </c>
      <c r="CK152" s="1826">
        <v>255</v>
      </c>
      <c r="CL152" s="1826">
        <v>610.36428571428587</v>
      </c>
      <c r="CM152" s="1826">
        <v>621.80500000000006</v>
      </c>
      <c r="CN152" s="1826">
        <v>442.50499999999988</v>
      </c>
      <c r="CO152" s="1826">
        <v>57.6</v>
      </c>
      <c r="CP152" s="1824">
        <v>426.6875</v>
      </c>
      <c r="CQ152" s="1824">
        <v>150</v>
      </c>
      <c r="CR152" s="1824">
        <v>480.4375</v>
      </c>
      <c r="CS152" s="1829">
        <v>150</v>
      </c>
      <c r="CT152" s="1829">
        <v>436.95000000000016</v>
      </c>
      <c r="CU152" s="1829">
        <v>2089.395</v>
      </c>
      <c r="CV152" s="1829">
        <v>113.85</v>
      </c>
      <c r="CW152" s="1826">
        <v>1068.9891428571427</v>
      </c>
      <c r="CX152" s="1829">
        <v>99.225000000000009</v>
      </c>
      <c r="CY152" s="1824">
        <v>1015.2862499999998</v>
      </c>
      <c r="CZ152" s="1824">
        <v>298.10249999999991</v>
      </c>
      <c r="DA152" s="1824">
        <v>1485.6968750000001</v>
      </c>
      <c r="DB152" s="1829">
        <v>2579.6711309523807</v>
      </c>
      <c r="DC152" s="1829">
        <v>4699.4624999999996</v>
      </c>
      <c r="DD152" s="1829">
        <v>1100</v>
      </c>
      <c r="DE152" s="1829">
        <v>230</v>
      </c>
      <c r="DF152" s="1826">
        <v>1518</v>
      </c>
      <c r="DG152" s="1826">
        <v>47.1</v>
      </c>
      <c r="DH152" s="1826">
        <v>499.76249999999999</v>
      </c>
      <c r="DI152" s="1826">
        <v>447.93749999999994</v>
      </c>
      <c r="DJ152" s="1824">
        <v>1058.25</v>
      </c>
      <c r="DK152" s="1826">
        <v>1321.75</v>
      </c>
      <c r="DL152" s="1821">
        <v>165.3125</v>
      </c>
      <c r="DM152" s="1821">
        <v>141.125</v>
      </c>
      <c r="DN152" s="1821">
        <v>58.5625</v>
      </c>
      <c r="DO152" s="1821">
        <v>277.25</v>
      </c>
      <c r="DP152" s="1826">
        <v>909.75</v>
      </c>
      <c r="DQ152" s="1037"/>
      <c r="DR152" s="1047"/>
      <c r="DS152" s="1041"/>
      <c r="DT152" s="1041"/>
      <c r="DU152" s="1041"/>
      <c r="DV152" s="1044"/>
      <c r="DW152" s="1048">
        <f t="shared" si="53"/>
        <v>137090.82520238098</v>
      </c>
      <c r="DX152" s="1036" t="str">
        <f t="shared" si="65"/>
        <v>План Департамента Продаж на ближайшие 39-45 дней, кг</v>
      </c>
      <c r="DY152" s="659"/>
    </row>
    <row r="153" spans="1:129" ht="14.4" customHeight="1" outlineLevel="1">
      <c r="A153" s="1036" t="s">
        <v>663</v>
      </c>
      <c r="B153" s="1821">
        <v>2746.3450000000003</v>
      </c>
      <c r="C153" s="1821">
        <v>203.67499999999998</v>
      </c>
      <c r="D153" s="1821">
        <v>2165.6574999999998</v>
      </c>
      <c r="E153" s="1821">
        <v>304.40999999999997</v>
      </c>
      <c r="F153" s="1821">
        <v>2620.6285714285709</v>
      </c>
      <c r="G153" s="1821">
        <v>114</v>
      </c>
      <c r="H153" s="1821">
        <v>500</v>
      </c>
      <c r="I153" s="1821">
        <v>660.05250000000001</v>
      </c>
      <c r="J153" s="1821">
        <v>1287.610666666666</v>
      </c>
      <c r="K153" s="1821">
        <v>254.35</v>
      </c>
      <c r="L153" s="1821">
        <v>68.703125</v>
      </c>
      <c r="M153" s="1821">
        <v>0</v>
      </c>
      <c r="N153" s="1822">
        <v>770.06250000000034</v>
      </c>
      <c r="O153" s="1822">
        <v>331.75124999999997</v>
      </c>
      <c r="P153" s="1823">
        <v>566.84000000000015</v>
      </c>
      <c r="Q153" s="1824">
        <v>767.76</v>
      </c>
      <c r="R153" s="1825">
        <v>1022.2800000000002</v>
      </c>
      <c r="S153" s="1821">
        <v>13487.311666666668</v>
      </c>
      <c r="T153" s="1821">
        <v>477.84910714285718</v>
      </c>
      <c r="U153" s="1821">
        <v>1780.7650000000003</v>
      </c>
      <c r="V153" s="1821">
        <v>1161.3300000000002</v>
      </c>
      <c r="W153" s="1821">
        <v>70</v>
      </c>
      <c r="X153" s="1821">
        <v>298.95</v>
      </c>
      <c r="Y153" s="1824">
        <v>1942.4537500000006</v>
      </c>
      <c r="Z153" s="1821">
        <v>203.12999999999991</v>
      </c>
      <c r="AA153" s="1821">
        <v>3546.4506666666675</v>
      </c>
      <c r="AB153" s="1826">
        <v>589.5999999999998</v>
      </c>
      <c r="AC153" s="1826">
        <v>167.04000000000002</v>
      </c>
      <c r="AD153" s="1826">
        <v>1707.15</v>
      </c>
      <c r="AE153" s="1826">
        <v>150</v>
      </c>
      <c r="AF153" s="1826">
        <v>500</v>
      </c>
      <c r="AG153" s="1826">
        <v>924.96266666666702</v>
      </c>
      <c r="AH153" s="1826">
        <v>687.02600000000007</v>
      </c>
      <c r="AI153" s="1826">
        <v>4525.0499999999993</v>
      </c>
      <c r="AJ153" s="1826">
        <v>0</v>
      </c>
      <c r="AK153" s="1826">
        <v>1915.2</v>
      </c>
      <c r="AL153" s="1826">
        <v>638.59500000000014</v>
      </c>
      <c r="AM153" s="1827">
        <v>4881.4957142857129</v>
      </c>
      <c r="AN153" s="1827">
        <v>178.2</v>
      </c>
      <c r="AO153" s="1823">
        <v>2353.5</v>
      </c>
      <c r="AP153" s="1823">
        <v>55.949999999999996</v>
      </c>
      <c r="AQ153" s="1828">
        <v>1177.1750000000006</v>
      </c>
      <c r="AR153" s="1829">
        <v>292.09699999999998</v>
      </c>
      <c r="AS153" s="1827">
        <v>94.813750000000013</v>
      </c>
      <c r="AT153" s="1823">
        <v>104.26499999999999</v>
      </c>
      <c r="AU153" s="1823">
        <v>36.721249999999998</v>
      </c>
      <c r="AV153" s="1828">
        <v>0</v>
      </c>
      <c r="AW153" s="1829">
        <v>0</v>
      </c>
      <c r="AX153" s="1828">
        <v>0</v>
      </c>
      <c r="AY153" s="1829">
        <v>7532.3682857142858</v>
      </c>
      <c r="AZ153" s="1829">
        <v>356.87</v>
      </c>
      <c r="BA153" s="1826">
        <v>670.78125</v>
      </c>
      <c r="BB153" s="1826">
        <v>1246.1386904761905</v>
      </c>
      <c r="BC153" s="1821">
        <v>420</v>
      </c>
      <c r="BD153" s="1826">
        <v>800</v>
      </c>
      <c r="BE153" s="1826">
        <v>211.3125</v>
      </c>
      <c r="BF153" s="1826">
        <v>252.90000000000003</v>
      </c>
      <c r="BG153" s="1826">
        <v>274.2</v>
      </c>
      <c r="BH153" s="1826">
        <v>300</v>
      </c>
      <c r="BI153" s="1826">
        <v>170</v>
      </c>
      <c r="BJ153" s="1826">
        <v>861.75</v>
      </c>
      <c r="BK153" s="1826">
        <v>78.641249999999999</v>
      </c>
      <c r="BL153" s="1829">
        <v>114.74166666666667</v>
      </c>
      <c r="BM153" s="1829">
        <v>1756.3791666666666</v>
      </c>
      <c r="BN153" s="1829">
        <v>857.375</v>
      </c>
      <c r="BO153" s="1826">
        <v>4993.4934523809516</v>
      </c>
      <c r="BP153" s="1821">
        <v>156.19999999999999</v>
      </c>
      <c r="BQ153" s="1821">
        <v>175.65625</v>
      </c>
      <c r="BR153" s="1821">
        <v>350</v>
      </c>
      <c r="BS153" s="1821">
        <v>170</v>
      </c>
      <c r="BT153" s="1821">
        <v>475.90000000000009</v>
      </c>
      <c r="BU153" s="1821">
        <v>500</v>
      </c>
      <c r="BV153" s="1830">
        <v>1000</v>
      </c>
      <c r="BW153" s="1829">
        <v>2457.6937499999999</v>
      </c>
      <c r="BX153" s="1829">
        <v>234.07499999999999</v>
      </c>
      <c r="BY153" s="1829">
        <v>168</v>
      </c>
      <c r="BZ153" s="1826">
        <v>357.34178571428572</v>
      </c>
      <c r="CA153" s="1826">
        <v>102.79500000000016</v>
      </c>
      <c r="CB153" s="1826">
        <v>378.76607142857142</v>
      </c>
      <c r="CC153" s="1826">
        <v>0</v>
      </c>
      <c r="CD153" s="1823">
        <v>13313.8125</v>
      </c>
      <c r="CE153" s="1823">
        <v>15672.785714285712</v>
      </c>
      <c r="CF153" s="1823">
        <v>258</v>
      </c>
      <c r="CG153" s="1823">
        <v>2426.355</v>
      </c>
      <c r="CH153" s="1823">
        <v>912.75</v>
      </c>
      <c r="CI153" s="1823">
        <v>250</v>
      </c>
      <c r="CJ153" s="1823">
        <v>200</v>
      </c>
      <c r="CK153" s="1826">
        <v>255</v>
      </c>
      <c r="CL153" s="1826">
        <v>610.36428571428587</v>
      </c>
      <c r="CM153" s="1826">
        <v>621.80500000000006</v>
      </c>
      <c r="CN153" s="1826">
        <v>442.50499999999988</v>
      </c>
      <c r="CO153" s="1826">
        <v>57.6</v>
      </c>
      <c r="CP153" s="1824">
        <v>426.6875</v>
      </c>
      <c r="CQ153" s="1824">
        <v>150</v>
      </c>
      <c r="CR153" s="1824">
        <v>480.4375</v>
      </c>
      <c r="CS153" s="1829">
        <v>150</v>
      </c>
      <c r="CT153" s="1829">
        <v>436.95000000000016</v>
      </c>
      <c r="CU153" s="1829">
        <v>2089.395</v>
      </c>
      <c r="CV153" s="1829">
        <v>113.85</v>
      </c>
      <c r="CW153" s="1826">
        <v>1768.9891428571427</v>
      </c>
      <c r="CX153" s="1829">
        <v>99.225000000000009</v>
      </c>
      <c r="CY153" s="1824">
        <v>1015.2862499999998</v>
      </c>
      <c r="CZ153" s="1824">
        <v>298.10249999999991</v>
      </c>
      <c r="DA153" s="1824">
        <v>1352.8218750000001</v>
      </c>
      <c r="DB153" s="1829">
        <v>2183.4461309523808</v>
      </c>
      <c r="DC153" s="1829">
        <v>4699.4624999999996</v>
      </c>
      <c r="DD153" s="1829">
        <v>1100</v>
      </c>
      <c r="DE153" s="1829">
        <v>230</v>
      </c>
      <c r="DF153" s="1826">
        <v>1518</v>
      </c>
      <c r="DG153" s="1826">
        <v>47.1</v>
      </c>
      <c r="DH153" s="1826">
        <v>499.76249999999999</v>
      </c>
      <c r="DI153" s="1826">
        <v>447.93749999999994</v>
      </c>
      <c r="DJ153" s="1824">
        <v>1150.625</v>
      </c>
      <c r="DK153" s="1826">
        <v>1321.75</v>
      </c>
      <c r="DL153" s="1821">
        <v>165.3125</v>
      </c>
      <c r="DM153" s="1821">
        <v>141.125</v>
      </c>
      <c r="DN153" s="1821">
        <v>58.5625</v>
      </c>
      <c r="DO153" s="1821">
        <v>277.25</v>
      </c>
      <c r="DP153" s="1826">
        <v>909.75</v>
      </c>
      <c r="DQ153" s="1037"/>
      <c r="DR153" s="1047"/>
      <c r="DS153" s="1041"/>
      <c r="DT153" s="1041"/>
      <c r="DU153" s="1041"/>
      <c r="DV153" s="1044"/>
      <c r="DW153" s="1048">
        <f t="shared" si="53"/>
        <v>143907.39270238095</v>
      </c>
      <c r="DX153" s="1036" t="str">
        <f t="shared" si="65"/>
        <v>План Департамента Продаж на ближайшие 46-52 дней, кг</v>
      </c>
      <c r="DY153" s="659"/>
    </row>
    <row r="154" spans="1:129" ht="14.4" customHeight="1" outlineLevel="1" thickBot="1">
      <c r="A154" s="1036" t="s">
        <v>664</v>
      </c>
      <c r="B154" s="1821">
        <v>2746.3450000000003</v>
      </c>
      <c r="C154" s="1821">
        <v>203.67499999999998</v>
      </c>
      <c r="D154" s="1821">
        <v>2165.6574999999998</v>
      </c>
      <c r="E154" s="1821">
        <v>304.40999999999997</v>
      </c>
      <c r="F154" s="1821">
        <v>2620.6285714285709</v>
      </c>
      <c r="G154" s="1821">
        <v>114</v>
      </c>
      <c r="H154" s="1821">
        <v>500</v>
      </c>
      <c r="I154" s="1821">
        <v>660.05250000000001</v>
      </c>
      <c r="J154" s="1821">
        <v>1287.610666666666</v>
      </c>
      <c r="K154" s="1821">
        <v>254.35</v>
      </c>
      <c r="L154" s="1821">
        <v>68.703125</v>
      </c>
      <c r="M154" s="1821">
        <v>0</v>
      </c>
      <c r="N154" s="1822">
        <v>770.06250000000034</v>
      </c>
      <c r="O154" s="1822">
        <v>331.75124999999997</v>
      </c>
      <c r="P154" s="1823">
        <v>566.84000000000015</v>
      </c>
      <c r="Q154" s="1824">
        <v>767.76</v>
      </c>
      <c r="R154" s="1825">
        <v>1022.2800000000002</v>
      </c>
      <c r="S154" s="1821">
        <v>16855.291666666672</v>
      </c>
      <c r="T154" s="1821">
        <v>477.84910714285718</v>
      </c>
      <c r="U154" s="1821">
        <v>1780.7650000000003</v>
      </c>
      <c r="V154" s="1821">
        <v>1161.3300000000002</v>
      </c>
      <c r="W154" s="1821">
        <v>70</v>
      </c>
      <c r="X154" s="1821">
        <v>298.95</v>
      </c>
      <c r="Y154" s="1824">
        <v>1942.4537500000006</v>
      </c>
      <c r="Z154" s="1821">
        <v>203.12999999999991</v>
      </c>
      <c r="AA154" s="1821">
        <v>2496.4506666666675</v>
      </c>
      <c r="AB154" s="1826">
        <v>589.5999999999998</v>
      </c>
      <c r="AC154" s="1826">
        <v>167.04000000000002</v>
      </c>
      <c r="AD154" s="1826">
        <v>1707.15</v>
      </c>
      <c r="AE154" s="1826">
        <v>150</v>
      </c>
      <c r="AF154" s="1826">
        <v>500</v>
      </c>
      <c r="AG154" s="1826">
        <v>1224.962666666667</v>
      </c>
      <c r="AH154" s="1826">
        <v>187.0260000000001</v>
      </c>
      <c r="AI154" s="1826">
        <v>4525.0499999999993</v>
      </c>
      <c r="AJ154" s="1826">
        <v>0</v>
      </c>
      <c r="AK154" s="1826">
        <v>1915.2</v>
      </c>
      <c r="AL154" s="1826">
        <v>638.59500000000014</v>
      </c>
      <c r="AM154" s="1827">
        <v>10481.495714285713</v>
      </c>
      <c r="AN154" s="1827">
        <v>178.2</v>
      </c>
      <c r="AO154" s="1823">
        <v>2353.5</v>
      </c>
      <c r="AP154" s="1823">
        <v>55.949999999999996</v>
      </c>
      <c r="AQ154" s="1828">
        <v>1177.1750000000006</v>
      </c>
      <c r="AR154" s="1829">
        <v>292.09699999999998</v>
      </c>
      <c r="AS154" s="1827">
        <v>94.813750000000013</v>
      </c>
      <c r="AT154" s="1823">
        <v>104.26499999999999</v>
      </c>
      <c r="AU154" s="1823">
        <v>36.721249999999998</v>
      </c>
      <c r="AV154" s="1828">
        <v>0</v>
      </c>
      <c r="AW154" s="1829">
        <v>0</v>
      </c>
      <c r="AX154" s="1828">
        <v>0</v>
      </c>
      <c r="AY154" s="1829">
        <v>1232.3682857142858</v>
      </c>
      <c r="AZ154" s="1829">
        <v>356.87</v>
      </c>
      <c r="BA154" s="1826">
        <v>670.78125</v>
      </c>
      <c r="BB154" s="1826">
        <v>1246.1386904761905</v>
      </c>
      <c r="BC154" s="1821">
        <v>420</v>
      </c>
      <c r="BD154" s="1826">
        <v>800</v>
      </c>
      <c r="BE154" s="1826">
        <v>211.3125</v>
      </c>
      <c r="BF154" s="1826">
        <v>252.90000000000003</v>
      </c>
      <c r="BG154" s="1826">
        <v>274.2</v>
      </c>
      <c r="BH154" s="1826">
        <v>300</v>
      </c>
      <c r="BI154" s="1826">
        <v>170</v>
      </c>
      <c r="BJ154" s="1826">
        <v>861.75</v>
      </c>
      <c r="BK154" s="1826">
        <v>78.641249999999999</v>
      </c>
      <c r="BL154" s="1829">
        <v>414.74166666666667</v>
      </c>
      <c r="BM154" s="1829">
        <v>1426.3791666666666</v>
      </c>
      <c r="BN154" s="1829">
        <v>157.375</v>
      </c>
      <c r="BO154" s="1826">
        <v>5493.4934523809516</v>
      </c>
      <c r="BP154" s="1821">
        <v>156.19999999999999</v>
      </c>
      <c r="BQ154" s="1821">
        <v>175.65625</v>
      </c>
      <c r="BR154" s="1821">
        <v>350</v>
      </c>
      <c r="BS154" s="1821">
        <v>170</v>
      </c>
      <c r="BT154" s="1821">
        <v>475.90000000000009</v>
      </c>
      <c r="BU154" s="1821">
        <v>500</v>
      </c>
      <c r="BV154" s="1830">
        <v>1000</v>
      </c>
      <c r="BW154" s="1829">
        <v>1907.6937499999999</v>
      </c>
      <c r="BX154" s="1829">
        <v>234.07499999999999</v>
      </c>
      <c r="BY154" s="1829">
        <v>168</v>
      </c>
      <c r="BZ154" s="1826">
        <v>357.34178571428572</v>
      </c>
      <c r="CA154" s="1826">
        <v>102.79500000000016</v>
      </c>
      <c r="CB154" s="1826">
        <v>138.76607142857142</v>
      </c>
      <c r="CC154" s="1826">
        <v>0</v>
      </c>
      <c r="CD154" s="1823">
        <v>13313.8125</v>
      </c>
      <c r="CE154" s="1823">
        <v>3922.7857142857119</v>
      </c>
      <c r="CF154" s="1823">
        <v>258</v>
      </c>
      <c r="CG154" s="1823">
        <v>2426.355</v>
      </c>
      <c r="CH154" s="1823">
        <v>912.75</v>
      </c>
      <c r="CI154" s="1823">
        <v>250</v>
      </c>
      <c r="CJ154" s="1823">
        <v>200</v>
      </c>
      <c r="CK154" s="1826">
        <v>255</v>
      </c>
      <c r="CL154" s="1826">
        <v>370.36428571428581</v>
      </c>
      <c r="CM154" s="1826">
        <v>381.80500000000001</v>
      </c>
      <c r="CN154" s="1826">
        <v>442.50499999999988</v>
      </c>
      <c r="CO154" s="1826">
        <v>57.6</v>
      </c>
      <c r="CP154" s="1824">
        <v>426.6875</v>
      </c>
      <c r="CQ154" s="1824">
        <v>150</v>
      </c>
      <c r="CR154" s="1824">
        <v>480.4375</v>
      </c>
      <c r="CS154" s="1829">
        <v>150</v>
      </c>
      <c r="CT154" s="1829">
        <v>436.95000000000016</v>
      </c>
      <c r="CU154" s="1829">
        <v>2089.395</v>
      </c>
      <c r="CV154" s="1829">
        <v>113.85</v>
      </c>
      <c r="CW154" s="1826">
        <v>1768.9891428571427</v>
      </c>
      <c r="CX154" s="1829">
        <v>99.225000000000009</v>
      </c>
      <c r="CY154" s="1824">
        <v>715.28624999999977</v>
      </c>
      <c r="CZ154" s="1824">
        <v>298.10249999999991</v>
      </c>
      <c r="DA154" s="1824">
        <v>1352.8218750000001</v>
      </c>
      <c r="DB154" s="1829">
        <v>2183.4461309523808</v>
      </c>
      <c r="DC154" s="1829">
        <v>4449.4624999999996</v>
      </c>
      <c r="DD154" s="1829">
        <v>1100</v>
      </c>
      <c r="DE154" s="1829">
        <v>230</v>
      </c>
      <c r="DF154" s="1826">
        <v>1518</v>
      </c>
      <c r="DG154" s="1826">
        <v>47.1</v>
      </c>
      <c r="DH154" s="1826">
        <v>499.76249999999999</v>
      </c>
      <c r="DI154" s="1826">
        <v>447.93749999999994</v>
      </c>
      <c r="DJ154" s="1824">
        <v>1150.625</v>
      </c>
      <c r="DK154" s="1826">
        <v>1321.75</v>
      </c>
      <c r="DL154" s="1821">
        <v>165.3125</v>
      </c>
      <c r="DM154" s="1821">
        <v>141.125</v>
      </c>
      <c r="DN154" s="1821">
        <v>58.5625</v>
      </c>
      <c r="DO154" s="1821">
        <v>277.25</v>
      </c>
      <c r="DP154" s="1826">
        <v>909.75</v>
      </c>
      <c r="DQ154" s="1037"/>
      <c r="DR154" s="1047"/>
      <c r="DS154" s="1041"/>
      <c r="DT154" s="1041"/>
      <c r="DU154" s="1041"/>
      <c r="DV154" s="1044"/>
      <c r="DW154" s="1048">
        <f t="shared" si="53"/>
        <v>131525.37270238093</v>
      </c>
      <c r="DX154" s="1036" t="str">
        <f t="shared" si="65"/>
        <v>План Департамента Продаж на ближайшие 53-59 дней, кг</v>
      </c>
      <c r="DY154" s="659"/>
    </row>
    <row r="155" spans="1:129" ht="8.25" customHeight="1" thickTop="1" thickBot="1">
      <c r="A155" s="844"/>
      <c r="B155" s="1049"/>
      <c r="C155" s="1049"/>
      <c r="D155" s="1049"/>
      <c r="E155" s="1049"/>
      <c r="F155" s="1049"/>
      <c r="G155" s="1049"/>
      <c r="H155" s="1049"/>
      <c r="I155" s="1049"/>
      <c r="J155" s="1049"/>
      <c r="K155" s="1049"/>
      <c r="L155" s="1049"/>
      <c r="M155" s="1049"/>
      <c r="N155" s="1050"/>
      <c r="O155" s="1050"/>
      <c r="P155" s="1051"/>
      <c r="Q155" s="1052"/>
      <c r="R155" s="1052"/>
      <c r="S155" s="1052"/>
      <c r="T155" s="1049"/>
      <c r="U155" s="1052"/>
      <c r="V155" s="1049"/>
      <c r="W155" s="1049"/>
      <c r="X155" s="1049"/>
      <c r="Y155" s="1052"/>
      <c r="Z155" s="1052"/>
      <c r="AA155" s="1052"/>
      <c r="AB155" s="1052"/>
      <c r="AC155" s="1052"/>
      <c r="AD155" s="1052"/>
      <c r="AE155" s="1052"/>
      <c r="AF155" s="1052"/>
      <c r="AG155" s="1052"/>
      <c r="AH155" s="1052"/>
      <c r="AI155" s="1052"/>
      <c r="AJ155" s="1052"/>
      <c r="AK155" s="1052"/>
      <c r="AL155" s="1052"/>
      <c r="AM155" s="1052"/>
      <c r="AN155" s="1052"/>
      <c r="AO155" s="1051"/>
      <c r="AP155" s="1051"/>
      <c r="AQ155" s="1052"/>
      <c r="AR155" s="1052"/>
      <c r="AS155" s="1052"/>
      <c r="AT155" s="1051"/>
      <c r="AU155" s="1051"/>
      <c r="AV155" s="1052"/>
      <c r="AW155" s="1052"/>
      <c r="AX155" s="1052"/>
      <c r="AY155" s="1052"/>
      <c r="AZ155" s="1052"/>
      <c r="BA155" s="1052"/>
      <c r="BB155" s="1052"/>
      <c r="BC155" s="1052"/>
      <c r="BD155" s="1052"/>
      <c r="BE155" s="1052"/>
      <c r="BF155" s="1052"/>
      <c r="BG155" s="1052"/>
      <c r="BH155" s="1052"/>
      <c r="BI155" s="1052"/>
      <c r="BJ155" s="1052"/>
      <c r="BK155" s="1052"/>
      <c r="BL155" s="1052"/>
      <c r="BM155" s="1052"/>
      <c r="BN155" s="1052"/>
      <c r="BO155" s="1052"/>
      <c r="BP155" s="1052"/>
      <c r="BQ155" s="1052"/>
      <c r="BR155" s="1052"/>
      <c r="BS155" s="1052"/>
      <c r="BT155" s="1052"/>
      <c r="BU155" s="1052"/>
      <c r="BV155" s="1052"/>
      <c r="BW155" s="1052"/>
      <c r="BX155" s="1052"/>
      <c r="BY155" s="1052"/>
      <c r="BZ155" s="1052"/>
      <c r="CA155" s="1052"/>
      <c r="CB155" s="1052"/>
      <c r="CC155" s="1052"/>
      <c r="CD155" s="1051"/>
      <c r="CE155" s="1051"/>
      <c r="CF155" s="1051"/>
      <c r="CG155" s="1051"/>
      <c r="CH155" s="1051"/>
      <c r="CI155" s="1051"/>
      <c r="CJ155" s="1051"/>
      <c r="CK155" s="1052"/>
      <c r="CL155" s="1052"/>
      <c r="CM155" s="1052"/>
      <c r="CN155" s="1052"/>
      <c r="CO155" s="1052"/>
      <c r="CP155" s="1052"/>
      <c r="CQ155" s="1052"/>
      <c r="CR155" s="1052"/>
      <c r="CS155" s="1052"/>
      <c r="CT155" s="1052"/>
      <c r="CU155" s="1052"/>
      <c r="CV155" s="1052"/>
      <c r="CW155" s="1052"/>
      <c r="CX155" s="1052"/>
      <c r="CY155" s="1052"/>
      <c r="CZ155" s="1052"/>
      <c r="DA155" s="1052"/>
      <c r="DB155" s="1052"/>
      <c r="DC155" s="1052"/>
      <c r="DD155" s="1052"/>
      <c r="DE155" s="1052"/>
      <c r="DF155" s="1052"/>
      <c r="DG155" s="1052"/>
      <c r="DH155" s="1052"/>
      <c r="DI155" s="1052"/>
      <c r="DJ155" s="1052"/>
      <c r="DK155" s="1052"/>
      <c r="DL155" s="1052"/>
      <c r="DM155" s="1052"/>
      <c r="DN155" s="1052"/>
      <c r="DO155" s="1052"/>
      <c r="DP155" s="1052"/>
      <c r="DQ155" s="1052"/>
      <c r="DR155" s="1053"/>
      <c r="DS155" s="1052"/>
      <c r="DT155" s="1052"/>
      <c r="DU155" s="1052"/>
      <c r="DV155" s="1054"/>
      <c r="DW155" s="665"/>
      <c r="DX155" s="844"/>
      <c r="DY155" s="659"/>
    </row>
    <row r="156" spans="1:129" thickTop="1">
      <c r="A156" s="1055" t="s">
        <v>665</v>
      </c>
      <c r="B156" s="1056">
        <f t="shared" ref="B156:BW156" si="66">SUM(B157:B162)</f>
        <v>9050.907011904761</v>
      </c>
      <c r="C156" s="1056">
        <f t="shared" si="66"/>
        <v>273.76290476190474</v>
      </c>
      <c r="D156" s="1056">
        <f t="shared" si="66"/>
        <v>4390.2111190476189</v>
      </c>
      <c r="E156" s="1056">
        <f t="shared" si="66"/>
        <v>395.35990476190477</v>
      </c>
      <c r="F156" s="1056">
        <f t="shared" si="66"/>
        <v>6492.844761904762</v>
      </c>
      <c r="G156" s="1056">
        <f t="shared" si="66"/>
        <v>209.42857142857144</v>
      </c>
      <c r="H156" s="1056">
        <f>SUM(H157:H162)</f>
        <v>497.04</v>
      </c>
      <c r="I156" s="1057">
        <f t="shared" si="66"/>
        <v>1111.4931666666666</v>
      </c>
      <c r="J156" s="1056">
        <f t="shared" si="66"/>
        <v>2320.5173333333332</v>
      </c>
      <c r="K156" s="1056">
        <f t="shared" si="66"/>
        <v>374.06542857142858</v>
      </c>
      <c r="L156" s="1056">
        <f t="shared" si="66"/>
        <v>653.48522023809528</v>
      </c>
      <c r="M156" s="1056">
        <f t="shared" ref="M156" si="67">SUM(M157:M162)</f>
        <v>0</v>
      </c>
      <c r="N156" s="1058">
        <f t="shared" si="66"/>
        <v>1385.7910714285713</v>
      </c>
      <c r="O156" s="1058">
        <f t="shared" si="66"/>
        <v>707.21648809523811</v>
      </c>
      <c r="P156" s="1059">
        <f t="shared" si="66"/>
        <v>922.32190476190499</v>
      </c>
      <c r="Q156" s="1060">
        <f t="shared" si="66"/>
        <v>5091.0933333333342</v>
      </c>
      <c r="R156" s="1060">
        <f t="shared" si="66"/>
        <v>1350.1193904761906</v>
      </c>
      <c r="S156" s="1060">
        <f t="shared" ref="S156:T156" si="68">SUM(S157:S162)</f>
        <v>42685.138333333336</v>
      </c>
      <c r="T156" s="1061">
        <f t="shared" si="68"/>
        <v>461.03958333333338</v>
      </c>
      <c r="U156" s="1060">
        <f t="shared" si="66"/>
        <v>2697.5421428571426</v>
      </c>
      <c r="V156" s="1064">
        <f>SUM(V157:V162)</f>
        <v>2174.0728571428572</v>
      </c>
      <c r="W156" s="1064">
        <f>SUM(W157:W162)</f>
        <v>65.257142857142867</v>
      </c>
      <c r="X156" s="1064">
        <f>SUM(X157:X162)</f>
        <v>273.75</v>
      </c>
      <c r="Y156" s="1062">
        <f t="shared" ref="Y156:AA156" si="69">SUM(Y157:Y162)</f>
        <v>3048.7814880952383</v>
      </c>
      <c r="Z156" s="1063">
        <f t="shared" si="69"/>
        <v>345.42142857142846</v>
      </c>
      <c r="AA156" s="1064">
        <f t="shared" si="69"/>
        <v>7416.8144761904759</v>
      </c>
      <c r="AB156" s="1064">
        <f t="shared" si="66"/>
        <v>964.61142857142841</v>
      </c>
      <c r="AC156" s="1064">
        <f t="shared" ref="AC156" si="70">SUM(AC157:AC162)</f>
        <v>339.90523809523808</v>
      </c>
      <c r="AD156" s="1064">
        <f t="shared" si="66"/>
        <v>1654.8071428571429</v>
      </c>
      <c r="AE156" s="1064">
        <f>SUM(AE157:AE162)</f>
        <v>111.71428571428572</v>
      </c>
      <c r="AF156" s="1064">
        <f>SUM(AF157:AF162)</f>
        <v>489.01333333333332</v>
      </c>
      <c r="AG156" s="1064">
        <f t="shared" ref="AG156:AI156" si="71">SUM(AG157:AG162)</f>
        <v>2292.6293333333333</v>
      </c>
      <c r="AH156" s="1064">
        <f t="shared" si="71"/>
        <v>49.959333333333461</v>
      </c>
      <c r="AI156" s="1064">
        <f t="shared" si="71"/>
        <v>7962.307142857142</v>
      </c>
      <c r="AJ156" s="1064">
        <f>SUM(AJ157:AJ162)</f>
        <v>0</v>
      </c>
      <c r="AK156" s="1064">
        <f>SUM(AK157:AK162)</f>
        <v>2648.5523809523811</v>
      </c>
      <c r="AL156" s="1064">
        <f t="shared" ref="AL156:AN156" si="72">SUM(AL157:AL162)</f>
        <v>1702.8597619047621</v>
      </c>
      <c r="AM156" s="1059">
        <f t="shared" si="72"/>
        <v>10501.98857142857</v>
      </c>
      <c r="AN156" s="1059">
        <f t="shared" si="72"/>
        <v>250.19999999999996</v>
      </c>
      <c r="AO156" s="1059">
        <f t="shared" si="66"/>
        <v>3904.6428571428569</v>
      </c>
      <c r="AP156" s="1059">
        <f t="shared" si="66"/>
        <v>75.687142857142845</v>
      </c>
      <c r="AQ156" s="1064">
        <f t="shared" si="66"/>
        <v>2031.0492857142863</v>
      </c>
      <c r="AR156" s="1065">
        <f t="shared" ref="AR156" si="73">SUM(AR157:AR162)</f>
        <v>0</v>
      </c>
      <c r="AS156" s="1065">
        <f t="shared" si="66"/>
        <v>214.51392857142858</v>
      </c>
      <c r="AT156" s="1065">
        <f t="shared" si="66"/>
        <v>202.90142857142857</v>
      </c>
      <c r="AU156" s="1065">
        <f t="shared" si="66"/>
        <v>66.766964285714295</v>
      </c>
      <c r="AV156" s="1065">
        <f t="shared" si="66"/>
        <v>0</v>
      </c>
      <c r="AW156" s="1066">
        <f t="shared" si="66"/>
        <v>0</v>
      </c>
      <c r="AX156" s="1067">
        <f t="shared" si="66"/>
        <v>0</v>
      </c>
      <c r="AY156" s="1068">
        <f t="shared" ref="AY156:BB156" si="74">SUM(AY157:AY162)</f>
        <v>2765.4849523809521</v>
      </c>
      <c r="AZ156" s="1068">
        <f t="shared" si="74"/>
        <v>450.37</v>
      </c>
      <c r="BA156" s="1068">
        <f t="shared" si="74"/>
        <v>683.78125</v>
      </c>
      <c r="BB156" s="1068">
        <f t="shared" si="74"/>
        <v>1320.5386904761906</v>
      </c>
      <c r="BC156" s="1068">
        <f t="shared" si="66"/>
        <v>642</v>
      </c>
      <c r="BD156" s="1068">
        <f t="shared" si="66"/>
        <v>1041.5</v>
      </c>
      <c r="BE156" s="1068">
        <f t="shared" si="66"/>
        <v>202.3125</v>
      </c>
      <c r="BF156" s="1068">
        <f t="shared" si="66"/>
        <v>252.10000000000002</v>
      </c>
      <c r="BG156" s="1068">
        <f t="shared" si="66"/>
        <v>0</v>
      </c>
      <c r="BH156" s="1068">
        <f t="shared" si="66"/>
        <v>170.4</v>
      </c>
      <c r="BI156" s="1068">
        <f t="shared" si="66"/>
        <v>105</v>
      </c>
      <c r="BJ156" s="1068">
        <f t="shared" si="66"/>
        <v>463.75</v>
      </c>
      <c r="BK156" s="1068">
        <f t="shared" si="66"/>
        <v>91.641249999999999</v>
      </c>
      <c r="BL156" s="1068">
        <f t="shared" si="66"/>
        <v>293.3416666666667</v>
      </c>
      <c r="BM156" s="1068">
        <f t="shared" si="66"/>
        <v>5270.0791666666664</v>
      </c>
      <c r="BN156" s="1068">
        <f t="shared" si="66"/>
        <v>151.875</v>
      </c>
      <c r="BO156" s="1068">
        <f t="shared" si="66"/>
        <v>4419.6934523809541</v>
      </c>
      <c r="BP156" s="1068">
        <f t="shared" si="66"/>
        <v>0</v>
      </c>
      <c r="BQ156" s="1068">
        <f t="shared" si="66"/>
        <v>156.15625</v>
      </c>
      <c r="BR156" s="1068">
        <f>SUM(BR157:BR162)</f>
        <v>350</v>
      </c>
      <c r="BS156" s="1068">
        <f>SUM(BS157:BS162)</f>
        <v>56</v>
      </c>
      <c r="BT156" s="1068">
        <f t="shared" si="66"/>
        <v>115.10000000000008</v>
      </c>
      <c r="BU156" s="1068">
        <f t="shared" si="66"/>
        <v>740</v>
      </c>
      <c r="BV156" s="1068">
        <f t="shared" si="66"/>
        <v>886</v>
      </c>
      <c r="BW156" s="1068">
        <f t="shared" si="66"/>
        <v>4048.0151785714279</v>
      </c>
      <c r="BX156" s="1068">
        <f t="shared" ref="BX156:DO156" si="75">SUM(BX157:BX162)</f>
        <v>184.93214285714294</v>
      </c>
      <c r="BY156" s="1068">
        <f t="shared" si="75"/>
        <v>0</v>
      </c>
      <c r="BZ156" s="1069">
        <f t="shared" si="75"/>
        <v>1166.634642857143</v>
      </c>
      <c r="CA156" s="1069">
        <f t="shared" si="75"/>
        <v>5972.1350000000011</v>
      </c>
      <c r="CB156" s="1069">
        <f t="shared" si="75"/>
        <v>630.01250000000005</v>
      </c>
      <c r="CC156" s="1069">
        <f t="shared" si="75"/>
        <v>0</v>
      </c>
      <c r="CD156" s="1070">
        <f t="shared" si="75"/>
        <v>38110.52678571429</v>
      </c>
      <c r="CE156" s="1070">
        <f t="shared" si="75"/>
        <v>28161.828571428574</v>
      </c>
      <c r="CF156" s="1070">
        <f t="shared" si="75"/>
        <v>45.771428571428544</v>
      </c>
      <c r="CG156" s="1070">
        <f t="shared" si="75"/>
        <v>3986.0292857142858</v>
      </c>
      <c r="CH156" s="1070">
        <f t="shared" si="75"/>
        <v>1029.5357142857142</v>
      </c>
      <c r="CI156" s="1070">
        <f>SUM(CI157:CI162)</f>
        <v>136.17142857142858</v>
      </c>
      <c r="CJ156" s="1070">
        <f>SUM(CJ157:CJ162)</f>
        <v>179.77142857142857</v>
      </c>
      <c r="CK156" s="1070">
        <f t="shared" si="75"/>
        <v>0</v>
      </c>
      <c r="CL156" s="1070">
        <f t="shared" si="75"/>
        <v>937.95714285714291</v>
      </c>
      <c r="CM156" s="1070">
        <f t="shared" si="75"/>
        <v>727.43714285714293</v>
      </c>
      <c r="CN156" s="1070">
        <f t="shared" si="75"/>
        <v>1128.5478571428571</v>
      </c>
      <c r="CO156" s="1070">
        <f t="shared" si="75"/>
        <v>28.671428571428578</v>
      </c>
      <c r="CP156" s="1071">
        <f t="shared" si="75"/>
        <v>487.09226190476193</v>
      </c>
      <c r="CQ156" s="1071">
        <f>SUM(CQ157:CQ162)</f>
        <v>147.07142857142858</v>
      </c>
      <c r="CR156" s="1072">
        <f t="shared" si="75"/>
        <v>1038.9375</v>
      </c>
      <c r="CS156" s="1072">
        <f>SUM(CS157:CS162)</f>
        <v>126.17142857142858</v>
      </c>
      <c r="CT156" s="1073">
        <f t="shared" si="75"/>
        <v>951.92142857142881</v>
      </c>
      <c r="CU156" s="1074">
        <f t="shared" si="75"/>
        <v>3390.0749999999998</v>
      </c>
      <c r="CV156" s="1074">
        <f t="shared" si="75"/>
        <v>189.27857142857141</v>
      </c>
      <c r="CW156" s="1075">
        <f t="shared" si="75"/>
        <v>3229.0820000000003</v>
      </c>
      <c r="CX156" s="1075">
        <f t="shared" si="75"/>
        <v>156.92785714285714</v>
      </c>
      <c r="CY156" s="1071">
        <f t="shared" si="75"/>
        <v>1460.6183928571425</v>
      </c>
      <c r="CZ156" s="1071">
        <f t="shared" si="75"/>
        <v>660.27464285714279</v>
      </c>
      <c r="DA156" s="1062">
        <f t="shared" si="75"/>
        <v>12326.875446428572</v>
      </c>
      <c r="DB156" s="1064">
        <f t="shared" si="75"/>
        <v>7505.635416666667</v>
      </c>
      <c r="DC156" s="1064">
        <f t="shared" si="75"/>
        <v>9218.0696428571428</v>
      </c>
      <c r="DD156" s="1064">
        <f t="shared" si="75"/>
        <v>2454.0714285714284</v>
      </c>
      <c r="DE156" s="1064">
        <f>SUM(DE157:DE162)</f>
        <v>51.371428571428567</v>
      </c>
      <c r="DF156" s="1064">
        <f t="shared" si="75"/>
        <v>2319.4285714285716</v>
      </c>
      <c r="DG156" s="1064">
        <f t="shared" si="75"/>
        <v>44.314285714285717</v>
      </c>
      <c r="DH156" s="1064">
        <f t="shared" si="75"/>
        <v>1260.0482142857143</v>
      </c>
      <c r="DI156" s="1064">
        <f t="shared" si="75"/>
        <v>1060.8660714285713</v>
      </c>
      <c r="DJ156" s="1072">
        <f t="shared" si="75"/>
        <v>0</v>
      </c>
      <c r="DK156" s="1069">
        <f t="shared" si="75"/>
        <v>0</v>
      </c>
      <c r="DL156" s="1069">
        <f t="shared" si="75"/>
        <v>0</v>
      </c>
      <c r="DM156" s="1069">
        <f t="shared" si="75"/>
        <v>0</v>
      </c>
      <c r="DN156" s="1069">
        <f t="shared" si="75"/>
        <v>0</v>
      </c>
      <c r="DO156" s="1069">
        <f t="shared" si="75"/>
        <v>0</v>
      </c>
      <c r="DP156" s="1064">
        <f>SUM(DP157:DP162)</f>
        <v>429.46428571428578</v>
      </c>
      <c r="DQ156" s="1060">
        <f t="shared" ref="DQ156:DV156" si="76">SUM(DQ157:DQ166)</f>
        <v>0</v>
      </c>
      <c r="DR156" s="1076">
        <f t="shared" si="76"/>
        <v>0</v>
      </c>
      <c r="DS156" s="1076">
        <f t="shared" si="76"/>
        <v>0</v>
      </c>
      <c r="DT156" s="1060"/>
      <c r="DU156" s="1076">
        <f t="shared" ref="DU156" si="77">SUM(DU157:DU166)</f>
        <v>0</v>
      </c>
      <c r="DV156" s="1077">
        <f t="shared" si="76"/>
        <v>0</v>
      </c>
      <c r="DW156" s="1077">
        <f t="shared" ref="DW156:DW169" si="78">SUM(B156:DV156)</f>
        <v>285466.28178333328</v>
      </c>
      <c r="DX156" s="1055" t="s">
        <v>665</v>
      </c>
      <c r="DY156" s="659"/>
    </row>
    <row r="157" spans="1:129" ht="14.4">
      <c r="A157" s="1078" t="str">
        <f>A142</f>
        <v>на 22 января</v>
      </c>
      <c r="B157" s="1079">
        <f t="shared" ref="B157:BU157" si="79">IF((B142+B115-B81)&lt;0,0,(B142+B115-B81))</f>
        <v>390.31076190476199</v>
      </c>
      <c r="C157" s="1080">
        <f t="shared" si="79"/>
        <v>40.08790476190476</v>
      </c>
      <c r="D157" s="1080">
        <f t="shared" si="79"/>
        <v>544.55361904761901</v>
      </c>
      <c r="E157" s="1080">
        <f t="shared" si="79"/>
        <v>92.359904761904758</v>
      </c>
      <c r="F157" s="1080">
        <f t="shared" si="79"/>
        <v>398.29619047619059</v>
      </c>
      <c r="G157" s="1080">
        <f t="shared" si="79"/>
        <v>35.428571428571431</v>
      </c>
      <c r="H157" s="1080">
        <f>IF((H142+H115-H81)&lt;0,0,(H142+H115-H81))</f>
        <v>0</v>
      </c>
      <c r="I157" s="1079">
        <f t="shared" si="79"/>
        <v>198.44066666666671</v>
      </c>
      <c r="J157" s="1080">
        <f t="shared" si="79"/>
        <v>302.66666666666663</v>
      </c>
      <c r="K157" s="1080">
        <f t="shared" si="79"/>
        <v>83.715428571428575</v>
      </c>
      <c r="L157" s="1080">
        <f t="shared" si="79"/>
        <v>84.782095238095238</v>
      </c>
      <c r="M157" s="1080">
        <f t="shared" si="79"/>
        <v>0</v>
      </c>
      <c r="N157" s="1081">
        <f t="shared" si="79"/>
        <v>116.70857142857142</v>
      </c>
      <c r="O157" s="1081">
        <f t="shared" si="79"/>
        <v>162.83523809523808</v>
      </c>
      <c r="P157" s="1082">
        <f t="shared" si="79"/>
        <v>157.16190476190476</v>
      </c>
      <c r="Q157" s="1083">
        <f t="shared" si="79"/>
        <v>307.4133333333333</v>
      </c>
      <c r="R157" s="1083">
        <f t="shared" si="79"/>
        <v>327.83939047619049</v>
      </c>
      <c r="S157" s="1079">
        <f t="shared" si="79"/>
        <v>742.3066666666673</v>
      </c>
      <c r="T157" s="1084">
        <f t="shared" si="79"/>
        <v>0</v>
      </c>
      <c r="U157" s="1083">
        <f t="shared" si="79"/>
        <v>361.17714285714277</v>
      </c>
      <c r="V157" s="1083">
        <f>IF((V142+V115-V81)&lt;0,0,(V142+V115-V81))</f>
        <v>306.66285714285715</v>
      </c>
      <c r="W157" s="1083">
        <f>IF((W142+W115-W81)&lt;0,0,(W142+W115-W81))</f>
        <v>0</v>
      </c>
      <c r="X157" s="1083">
        <f>IF((X142+X115-X81)&lt;0,0,(X142+X115-X81))</f>
        <v>0</v>
      </c>
      <c r="Y157" s="1085">
        <f t="shared" ref="Y157:AD157" si="80">IF((Y142+Y115-Y81)&lt;0,0,(Y142+Y115-Y81))</f>
        <v>0</v>
      </c>
      <c r="Z157" s="1079">
        <f t="shared" si="80"/>
        <v>111.21142857142857</v>
      </c>
      <c r="AA157" s="1085">
        <f t="shared" si="80"/>
        <v>2188.7238095238099</v>
      </c>
      <c r="AB157" s="1083">
        <f t="shared" si="80"/>
        <v>136.09142857142854</v>
      </c>
      <c r="AC157" s="1083">
        <f t="shared" si="80"/>
        <v>83.715238095238092</v>
      </c>
      <c r="AD157" s="1083">
        <f t="shared" si="80"/>
        <v>0</v>
      </c>
      <c r="AE157" s="1083">
        <f>IF((AE142+AE115-AE81)&lt;0,0,(AE142+AE115-AE81))</f>
        <v>0</v>
      </c>
      <c r="AF157" s="1083">
        <f>IF((AF142+AF115-AF81)&lt;0,0,(AF142+AF115-AF81))</f>
        <v>0</v>
      </c>
      <c r="AG157" s="1080">
        <f t="shared" ref="AG157:AI157" si="81">IF((AG142+AG115-AG81)&lt;0,0,(AG142+AG115-AG81))</f>
        <v>970.90666666666652</v>
      </c>
      <c r="AH157" s="1080">
        <f t="shared" si="81"/>
        <v>0</v>
      </c>
      <c r="AI157" s="1080">
        <f t="shared" si="81"/>
        <v>2647.6571428571424</v>
      </c>
      <c r="AJ157" s="1080">
        <f>IF((AJ142+AJ115-AJ81)&lt;0,0,(AJ142+AJ115-AJ81))</f>
        <v>0</v>
      </c>
      <c r="AK157" s="1080">
        <f>IF((AK142+AK115-AK81)&lt;0,0,(AK142+AK115-AK81))</f>
        <v>733.35238095238083</v>
      </c>
      <c r="AL157" s="1080">
        <f t="shared" ref="AL157:AO157" si="82">IF((AL142+AL115-AL81)&lt;0,0,(AL142+AL115-AL81))</f>
        <v>596.90476190476193</v>
      </c>
      <c r="AM157" s="1086">
        <f t="shared" si="82"/>
        <v>4801.1428571428569</v>
      </c>
      <c r="AN157" s="1086">
        <f t="shared" si="82"/>
        <v>71.999999999999972</v>
      </c>
      <c r="AO157" s="1086">
        <f t="shared" si="82"/>
        <v>609.14285714285711</v>
      </c>
      <c r="AP157" s="1086">
        <f t="shared" si="79"/>
        <v>6.0571428571428587</v>
      </c>
      <c r="AQ157" s="1083">
        <f t="shared" si="79"/>
        <v>642.27428571428561</v>
      </c>
      <c r="AR157" s="1087">
        <f t="shared" si="79"/>
        <v>0</v>
      </c>
      <c r="AS157" s="1087">
        <f t="shared" si="79"/>
        <v>116.85017857142857</v>
      </c>
      <c r="AT157" s="1087">
        <f t="shared" si="79"/>
        <v>98.636428571428581</v>
      </c>
      <c r="AU157" s="1087">
        <f t="shared" si="79"/>
        <v>26.245714285714289</v>
      </c>
      <c r="AV157" s="1087">
        <f t="shared" si="79"/>
        <v>0</v>
      </c>
      <c r="AW157" s="1088">
        <f t="shared" si="79"/>
        <v>0</v>
      </c>
      <c r="AX157" s="1089">
        <f t="shared" si="79"/>
        <v>0</v>
      </c>
      <c r="AY157" s="1083">
        <f t="shared" si="79"/>
        <v>0</v>
      </c>
      <c r="AZ157" s="1080">
        <f t="shared" si="79"/>
        <v>0</v>
      </c>
      <c r="BA157" s="1080">
        <f t="shared" si="79"/>
        <v>0</v>
      </c>
      <c r="BB157" s="1080">
        <f t="shared" si="79"/>
        <v>0</v>
      </c>
      <c r="BC157" s="1080">
        <f t="shared" si="79"/>
        <v>0</v>
      </c>
      <c r="BD157" s="1080">
        <f t="shared" si="79"/>
        <v>0</v>
      </c>
      <c r="BE157" s="1083">
        <f t="shared" si="79"/>
        <v>0</v>
      </c>
      <c r="BF157" s="1083">
        <f>IF((BF142+BF115-BF81)&lt;0,0,(BF142+BF115-BF81))</f>
        <v>0</v>
      </c>
      <c r="BG157" s="1083">
        <f t="shared" ref="BG157" si="83">IF((BG142+BG115-BG81)&lt;0,0,(BG142+BG115-BG81))</f>
        <v>0</v>
      </c>
      <c r="BH157" s="1083">
        <f>IF((BH142+BH115-BH81)&lt;0,0,(BH142+BH115-BH81))</f>
        <v>0</v>
      </c>
      <c r="BI157" s="1083">
        <f>IF((BI142+BI115-BI81)&lt;0,0,(BI142+BI115-BI81))</f>
        <v>0</v>
      </c>
      <c r="BJ157" s="1083">
        <f t="shared" ref="BJ157:BO157" si="84">IF((BJ142+BJ115-BJ81)&lt;0,0,(BJ142+BJ115-BJ81))</f>
        <v>0</v>
      </c>
      <c r="BK157" s="1083">
        <f t="shared" si="84"/>
        <v>0</v>
      </c>
      <c r="BL157" s="1083">
        <f t="shared" si="84"/>
        <v>0</v>
      </c>
      <c r="BM157" s="1083">
        <f t="shared" si="84"/>
        <v>0</v>
      </c>
      <c r="BN157" s="1083">
        <f t="shared" si="84"/>
        <v>0</v>
      </c>
      <c r="BO157" s="1080">
        <f t="shared" si="84"/>
        <v>0</v>
      </c>
      <c r="BP157" s="1079"/>
      <c r="BQ157" s="1079">
        <f t="shared" si="79"/>
        <v>0</v>
      </c>
      <c r="BR157" s="1079">
        <f>IF((BR142+BR115-BR81)&lt;0,0,(BR142+BR115-BR81))</f>
        <v>0</v>
      </c>
      <c r="BS157" s="1079">
        <f>IF((BS142+BS115-BS81)&lt;0,0,(BS142+BS115-BS81))</f>
        <v>0</v>
      </c>
      <c r="BT157" s="1079">
        <f t="shared" ref="BT157" si="85">IF((BT142+BT115-BT81)&lt;0,0,(BT142+BT115-BT81))</f>
        <v>0</v>
      </c>
      <c r="BU157" s="1080">
        <f t="shared" si="79"/>
        <v>0</v>
      </c>
      <c r="BV157" s="1090">
        <f t="shared" ref="BV157:DV157" si="86">IF((BV142+BV115-BV81)&lt;0,0,(BV142+BV115-BV81))</f>
        <v>0</v>
      </c>
      <c r="BW157" s="1079">
        <f t="shared" si="86"/>
        <v>1666.3214285714284</v>
      </c>
      <c r="BX157" s="1091">
        <f t="shared" si="86"/>
        <v>0</v>
      </c>
      <c r="BY157" s="1091"/>
      <c r="BZ157" s="1091">
        <f t="shared" si="86"/>
        <v>432.19285714285718</v>
      </c>
      <c r="CA157" s="1091">
        <f t="shared" si="86"/>
        <v>5860.380000000001</v>
      </c>
      <c r="CB157" s="1091">
        <f t="shared" si="86"/>
        <v>0</v>
      </c>
      <c r="CC157" s="1091">
        <f t="shared" si="86"/>
        <v>0</v>
      </c>
      <c r="CD157" s="1082">
        <f t="shared" si="86"/>
        <v>20584.71428571429</v>
      </c>
      <c r="CE157" s="1082">
        <f t="shared" si="86"/>
        <v>11052.342857142858</v>
      </c>
      <c r="CF157" s="1082">
        <f t="shared" si="86"/>
        <v>0</v>
      </c>
      <c r="CG157" s="1082">
        <f t="shared" si="86"/>
        <v>544.47428571428554</v>
      </c>
      <c r="CH157" s="1082">
        <f t="shared" si="86"/>
        <v>0</v>
      </c>
      <c r="CI157" s="1082">
        <f>IF((CI142+CI115-CI81)&lt;0,0,(CI142+CI115-CI81))</f>
        <v>0</v>
      </c>
      <c r="CJ157" s="1082">
        <f>IF((CJ142+CJ115-CJ81)&lt;0,0,(CJ142+CJ115-CJ81))</f>
        <v>0</v>
      </c>
      <c r="CK157" s="1082">
        <f t="shared" ref="CK157:CN157" si="87">IF((CK142+CK115-CK81)&lt;0,0,(CK142+CK115-CK81))</f>
        <v>0</v>
      </c>
      <c r="CL157" s="1082">
        <f t="shared" si="87"/>
        <v>448.94285714285706</v>
      </c>
      <c r="CM157" s="1082">
        <f t="shared" si="87"/>
        <v>295.65714285714296</v>
      </c>
      <c r="CN157" s="1082">
        <f t="shared" si="87"/>
        <v>601.74285714285713</v>
      </c>
      <c r="CO157" s="1082">
        <f t="shared" si="86"/>
        <v>0</v>
      </c>
      <c r="CP157" s="1085">
        <f t="shared" si="86"/>
        <v>0</v>
      </c>
      <c r="CQ157" s="1085">
        <f>IF((CQ142+CQ115-CQ81)&lt;0,0,(CQ142+CQ115-CQ81))</f>
        <v>0</v>
      </c>
      <c r="CR157" s="1085">
        <f t="shared" si="86"/>
        <v>507.5</v>
      </c>
      <c r="CS157" s="1085">
        <f>IF((CS142+CS115-CS81)&lt;0,0,(CS142+CS115-CS81))</f>
        <v>0</v>
      </c>
      <c r="CT157" s="1083">
        <f t="shared" si="86"/>
        <v>421.77142857142854</v>
      </c>
      <c r="CU157" s="1083">
        <f t="shared" si="86"/>
        <v>544.68000000000018</v>
      </c>
      <c r="CV157" s="1083">
        <f t="shared" si="86"/>
        <v>75.428571428571431</v>
      </c>
      <c r="CW157" s="1083">
        <f t="shared" si="86"/>
        <v>1454.502857142857</v>
      </c>
      <c r="CX157" s="1083">
        <f t="shared" si="86"/>
        <v>57.702857142857141</v>
      </c>
      <c r="CY157" s="1085">
        <f t="shared" si="86"/>
        <v>596.41714285714284</v>
      </c>
      <c r="CZ157" s="1080">
        <f t="shared" si="86"/>
        <v>43.277142857142792</v>
      </c>
      <c r="DA157" s="1087">
        <f t="shared" si="86"/>
        <v>10229.428571428572</v>
      </c>
      <c r="DB157" s="1080">
        <f t="shared" si="86"/>
        <v>4422.4642857142862</v>
      </c>
      <c r="DC157" s="1079">
        <f t="shared" si="86"/>
        <v>3007.8571428571431</v>
      </c>
      <c r="DD157" s="1079">
        <f t="shared" si="86"/>
        <v>983.57142857142844</v>
      </c>
      <c r="DE157" s="1079">
        <f>IF((DE142+DE115-DE81)&lt;0,0,(DE142+DE115-DE81))</f>
        <v>0</v>
      </c>
      <c r="DF157" s="1080">
        <f t="shared" ref="DF157" si="88">IF((DF142+DF115-DF81)&lt;0,0,(DF142+DF115-DF81))</f>
        <v>411.42857142857156</v>
      </c>
      <c r="DG157" s="1080">
        <f t="shared" si="86"/>
        <v>0</v>
      </c>
      <c r="DH157" s="1080">
        <f t="shared" si="86"/>
        <v>685.28571428571422</v>
      </c>
      <c r="DI157" s="1080">
        <f t="shared" si="86"/>
        <v>376.22857142857146</v>
      </c>
      <c r="DJ157" s="1087">
        <f t="shared" si="86"/>
        <v>0</v>
      </c>
      <c r="DK157" s="1080">
        <f t="shared" si="86"/>
        <v>0</v>
      </c>
      <c r="DL157" s="1080"/>
      <c r="DM157" s="1080"/>
      <c r="DN157" s="1080"/>
      <c r="DO157" s="1080">
        <f t="shared" ref="DO157" si="89">IF((DO142+DO115-DO81)&lt;0,0,(DO142+DO115-DO81))</f>
        <v>0</v>
      </c>
      <c r="DP157" s="1083">
        <f t="shared" si="86"/>
        <v>0</v>
      </c>
      <c r="DQ157" s="1079">
        <f t="shared" si="86"/>
        <v>0</v>
      </c>
      <c r="DR157" s="1092">
        <f t="shared" si="86"/>
        <v>0</v>
      </c>
      <c r="DS157" s="1092">
        <f t="shared" si="86"/>
        <v>0</v>
      </c>
      <c r="DT157" s="1079"/>
      <c r="DU157" s="1092">
        <f t="shared" ref="DU157" si="90">IF((DU142+DU115-DU81)&lt;0,0,(DU142+DU115-DU81))</f>
        <v>0</v>
      </c>
      <c r="DV157" s="1089">
        <f t="shared" si="86"/>
        <v>0</v>
      </c>
      <c r="DW157" s="1089">
        <f t="shared" si="78"/>
        <v>83797.972092857162</v>
      </c>
      <c r="DX157" s="1093" t="str">
        <f>A157</f>
        <v>на 22 января</v>
      </c>
      <c r="DY157" s="659"/>
    </row>
    <row r="158" spans="1:129" ht="14.4">
      <c r="A158" s="1078" t="str">
        <f>A143</f>
        <v>на 23 января</v>
      </c>
      <c r="B158" s="1079">
        <f t="shared" ref="B158:BU158" si="91">IF((B142+B143+B115-B81)&lt;0,0,(B142+B143+B115-B81-B157))</f>
        <v>5474.7</v>
      </c>
      <c r="C158" s="1080">
        <f t="shared" si="91"/>
        <v>0</v>
      </c>
      <c r="D158" s="1080">
        <f t="shared" si="91"/>
        <v>1620</v>
      </c>
      <c r="E158" s="1080">
        <f t="shared" si="91"/>
        <v>0</v>
      </c>
      <c r="F158" s="1080">
        <f t="shared" si="91"/>
        <v>1240.2400000000002</v>
      </c>
      <c r="G158" s="1080">
        <f t="shared" si="91"/>
        <v>0</v>
      </c>
      <c r="H158" s="1080">
        <f>IF((H142+H143+H115-H81)&lt;0,0,(H142+H143+H115-H81-H157))</f>
        <v>0</v>
      </c>
      <c r="I158" s="1079">
        <f t="shared" si="91"/>
        <v>0</v>
      </c>
      <c r="J158" s="1080">
        <f t="shared" si="91"/>
        <v>159.04000000000008</v>
      </c>
      <c r="K158" s="1080">
        <f t="shared" si="91"/>
        <v>0</v>
      </c>
      <c r="L158" s="1080">
        <f t="shared" si="91"/>
        <v>0</v>
      </c>
      <c r="M158" s="1080">
        <f t="shared" si="91"/>
        <v>0</v>
      </c>
      <c r="N158" s="1081">
        <f t="shared" si="91"/>
        <v>26.640000000000015</v>
      </c>
      <c r="O158" s="1081">
        <f t="shared" si="91"/>
        <v>20.72</v>
      </c>
      <c r="P158" s="1082">
        <f t="shared" si="91"/>
        <v>14.800000000000011</v>
      </c>
      <c r="Q158" s="1083">
        <f t="shared" si="91"/>
        <v>0</v>
      </c>
      <c r="R158" s="1083">
        <f t="shared" si="91"/>
        <v>0</v>
      </c>
      <c r="S158" s="1079">
        <f t="shared" si="91"/>
        <v>2873.9199999999992</v>
      </c>
      <c r="T158" s="1084">
        <f t="shared" si="91"/>
        <v>0</v>
      </c>
      <c r="U158" s="1083">
        <f t="shared" si="91"/>
        <v>121.20000000000005</v>
      </c>
      <c r="V158" s="1083">
        <f>IF((V142+V143+V115-V81)&lt;0,0,(V142+V143+V115-V81-V157))</f>
        <v>15.600000000000023</v>
      </c>
      <c r="W158" s="1083">
        <f>IF((W142+W143+W115-W81)&lt;0,0,(W142+W143+W115-W81-W157))</f>
        <v>0</v>
      </c>
      <c r="X158" s="1083">
        <f>IF((X142+X143+X115-X81)&lt;0,0,(X142+X143+X115-X81-X157))</f>
        <v>0</v>
      </c>
      <c r="Y158" s="1085">
        <f t="shared" ref="Y158:AA158" si="92">IF((Y142+Y143+Y115-Y81)&lt;0,0,(Y142+Y143+Y115-Y81-Y157))</f>
        <v>0</v>
      </c>
      <c r="Z158" s="1083">
        <f t="shared" si="92"/>
        <v>0</v>
      </c>
      <c r="AA158" s="1085">
        <f t="shared" si="92"/>
        <v>415.84000000000015</v>
      </c>
      <c r="AB158" s="1083">
        <f>IF((AB142+AB143+AB115-AB81)&lt;0,0,(AB142+AB143+AB115-AB81-AB157))</f>
        <v>91.32000000000005</v>
      </c>
      <c r="AC158" s="1083">
        <f>IF((AC142+AC143+AC115-AC81)&lt;0,0,(AC142+AC143+AC115-AC81-AC157))</f>
        <v>0</v>
      </c>
      <c r="AD158" s="1083">
        <f>IF((AD142+AD143+AD115-AD81)&lt;0,0,(AD142+AD143+AD115-AD81-AD157))</f>
        <v>0</v>
      </c>
      <c r="AE158" s="1083">
        <f>IF((AE142+AE143+AE115-AE81)&lt;0,0,(AE142+AE143+AE115-AE81-AE157))</f>
        <v>0</v>
      </c>
      <c r="AF158" s="1083">
        <f>IF((AF142+AF143+AF115-AF81)&lt;0,0,(AF142+AF143+AF115-AF81-AF157))</f>
        <v>0</v>
      </c>
      <c r="AG158" s="1080">
        <f t="shared" ref="AG158:AI158" si="93">IF((AG142+AG143+AG115-AG81)&lt;0,0,(AG142+AG143+AG115-AG81-AG157))</f>
        <v>170.51999999999998</v>
      </c>
      <c r="AH158" s="1080">
        <f t="shared" si="93"/>
        <v>0</v>
      </c>
      <c r="AI158" s="1080">
        <f t="shared" si="93"/>
        <v>0</v>
      </c>
      <c r="AJ158" s="1080">
        <f>IF((AJ142+AJ143+AJ115-AJ81)&lt;0,0,(AJ142+AJ143+AJ115-AJ81-AJ157))</f>
        <v>0</v>
      </c>
      <c r="AK158" s="1080">
        <f>IF((AK142+AK143+AK115-AK81)&lt;0,0,(AK142+AK143+AK115-AK81-AK157))</f>
        <v>0</v>
      </c>
      <c r="AL158" s="1080">
        <f t="shared" ref="AL158:AO158" si="94">IF((AL142+AL143+AL115-AL81)&lt;0,0,(AL142+AL143+AL115-AL81-AL157))</f>
        <v>184</v>
      </c>
      <c r="AM158" s="1086">
        <f t="shared" si="94"/>
        <v>325.80000000000018</v>
      </c>
      <c r="AN158" s="1086">
        <f t="shared" si="94"/>
        <v>0</v>
      </c>
      <c r="AO158" s="1086">
        <f t="shared" si="94"/>
        <v>6</v>
      </c>
      <c r="AP158" s="1086">
        <f t="shared" si="91"/>
        <v>7.1999999999999993</v>
      </c>
      <c r="AQ158" s="1083">
        <f t="shared" si="91"/>
        <v>0</v>
      </c>
      <c r="AR158" s="1087">
        <f t="shared" si="91"/>
        <v>0</v>
      </c>
      <c r="AS158" s="1087">
        <f t="shared" si="91"/>
        <v>2.8500000000000085</v>
      </c>
      <c r="AT158" s="1087">
        <f t="shared" si="91"/>
        <v>0</v>
      </c>
      <c r="AU158" s="1087">
        <f t="shared" si="91"/>
        <v>0</v>
      </c>
      <c r="AV158" s="1087">
        <f t="shared" si="91"/>
        <v>0</v>
      </c>
      <c r="AW158" s="1088">
        <f t="shared" si="91"/>
        <v>0</v>
      </c>
      <c r="AX158" s="1089">
        <f t="shared" si="91"/>
        <v>0</v>
      </c>
      <c r="AY158" s="1083">
        <f t="shared" si="91"/>
        <v>0</v>
      </c>
      <c r="AZ158" s="1080">
        <f t="shared" si="91"/>
        <v>21</v>
      </c>
      <c r="BA158" s="1080">
        <f t="shared" si="91"/>
        <v>0</v>
      </c>
      <c r="BB158" s="1080">
        <f t="shared" si="91"/>
        <v>0</v>
      </c>
      <c r="BC158" s="1083">
        <f t="shared" si="91"/>
        <v>0</v>
      </c>
      <c r="BD158" s="1080">
        <f t="shared" si="91"/>
        <v>0</v>
      </c>
      <c r="BE158" s="1083">
        <f t="shared" si="91"/>
        <v>0</v>
      </c>
      <c r="BF158" s="1083">
        <f>IF((BF142+BF143+BF115-BF81)&lt;0,0,(BF142+BF143+BF115-BF81-BF157))</f>
        <v>0</v>
      </c>
      <c r="BG158" s="1083">
        <f t="shared" ref="BG158" si="95">IF((BG142+BG143+BG115-BG81)&lt;0,0,(BG142+BG143+BG115-BG81-BG157))</f>
        <v>0</v>
      </c>
      <c r="BH158" s="1083">
        <f>IF((BH142+BH143+BH115-BH81)&lt;0,0,(BH142+BH143+BH115-BH81-BH157))</f>
        <v>0</v>
      </c>
      <c r="BI158" s="1083">
        <f>IF((BI142+BI143+BI115-BI81)&lt;0,0,(BI142+BI143+BI115-BI81-BI157))</f>
        <v>0</v>
      </c>
      <c r="BJ158" s="1083">
        <f t="shared" ref="BJ158:BO158" si="96">IF((BJ142+BJ143+BJ115-BJ81)&lt;0,0,(BJ142+BJ143+BJ115-BJ81-BJ157))</f>
        <v>0</v>
      </c>
      <c r="BK158" s="1083">
        <f t="shared" si="96"/>
        <v>0</v>
      </c>
      <c r="BL158" s="1083">
        <f t="shared" si="96"/>
        <v>0</v>
      </c>
      <c r="BM158" s="1083">
        <f t="shared" si="96"/>
        <v>0</v>
      </c>
      <c r="BN158" s="1083">
        <f t="shared" si="96"/>
        <v>0</v>
      </c>
      <c r="BO158" s="1080">
        <f t="shared" si="96"/>
        <v>0</v>
      </c>
      <c r="BP158" s="1079"/>
      <c r="BQ158" s="1079">
        <f t="shared" si="91"/>
        <v>0</v>
      </c>
      <c r="BR158" s="1079">
        <f>IF((BR142+BR143+BR115-BR81)&lt;0,0,(BR142+BR143+BR115-BR81-BR157))</f>
        <v>0</v>
      </c>
      <c r="BS158" s="1079">
        <f>IF((BS142+BS143+BS115-BS81)&lt;0,0,(BS142+BS143+BS115-BS81-BS157))</f>
        <v>0</v>
      </c>
      <c r="BT158" s="1079">
        <f t="shared" ref="BT158" si="97">IF((BT142+BT143+BT115-BT81)&lt;0,0,(BT142+BT143+BT115-BT81-BT157))</f>
        <v>0</v>
      </c>
      <c r="BU158" s="1080">
        <f t="shared" si="91"/>
        <v>0</v>
      </c>
      <c r="BV158" s="1090">
        <f t="shared" ref="BV158:DV158" si="98">IF((BV142+BV143+BV115-BV81)&lt;0,0,(BV142+BV143+BV115-BV81-BV157))</f>
        <v>0</v>
      </c>
      <c r="BW158" s="1079">
        <f t="shared" si="98"/>
        <v>49.75</v>
      </c>
      <c r="BX158" s="1091">
        <f t="shared" si="98"/>
        <v>0</v>
      </c>
      <c r="BY158" s="1091"/>
      <c r="BZ158" s="1091">
        <f t="shared" si="98"/>
        <v>108.17999999999995</v>
      </c>
      <c r="CA158" s="1091">
        <f t="shared" si="98"/>
        <v>1.680000000000291</v>
      </c>
      <c r="CB158" s="1091">
        <f t="shared" si="98"/>
        <v>0</v>
      </c>
      <c r="CC158" s="1091">
        <f t="shared" si="98"/>
        <v>0</v>
      </c>
      <c r="CD158" s="1082">
        <f t="shared" si="98"/>
        <v>1035</v>
      </c>
      <c r="CE158" s="1082">
        <f t="shared" si="98"/>
        <v>1299.6000000000004</v>
      </c>
      <c r="CF158" s="1082">
        <f t="shared" si="98"/>
        <v>0</v>
      </c>
      <c r="CG158" s="1082">
        <f t="shared" si="98"/>
        <v>75.599999999999909</v>
      </c>
      <c r="CH158" s="1082">
        <f t="shared" si="98"/>
        <v>0</v>
      </c>
      <c r="CI158" s="1082">
        <f>IF((CI142+CI143+CI115-CI81)&lt;0,0,(CI142+CI143+CI115-CI81-CI157))</f>
        <v>0</v>
      </c>
      <c r="CJ158" s="1082">
        <f>IF((CJ142+CJ143+CJ115-CJ81)&lt;0,0,(CJ142+CJ143+CJ115-CJ81-CJ157))</f>
        <v>0</v>
      </c>
      <c r="CK158" s="1082">
        <f t="shared" ref="CK158:CN158" si="99">IF((CK142+CK143+CK115-CK81)&lt;0,0,(CK142+CK143+CK115-CK81-CK157))</f>
        <v>0</v>
      </c>
      <c r="CL158" s="1082">
        <f t="shared" si="99"/>
        <v>0</v>
      </c>
      <c r="CM158" s="1082">
        <f t="shared" si="99"/>
        <v>0</v>
      </c>
      <c r="CN158" s="1082">
        <f t="shared" si="99"/>
        <v>0</v>
      </c>
      <c r="CO158" s="1082">
        <f t="shared" si="98"/>
        <v>0</v>
      </c>
      <c r="CP158" s="1085">
        <f t="shared" si="98"/>
        <v>12.404761904761898</v>
      </c>
      <c r="CQ158" s="1085">
        <f>IF((CQ142+CQ143+CQ115-CQ81)&lt;0,0,(CQ142+CQ143+CQ115-CQ81-CQ157))</f>
        <v>0</v>
      </c>
      <c r="CR158" s="1085">
        <f t="shared" si="98"/>
        <v>15</v>
      </c>
      <c r="CS158" s="1085">
        <f>IF((CS142+CS143+CS115-CS81)&lt;0,0,(CS142+CS143+CS115-CS81-CS157))</f>
        <v>0</v>
      </c>
      <c r="CT158" s="1083">
        <f t="shared" si="98"/>
        <v>1.1999999999999886</v>
      </c>
      <c r="CU158" s="1083">
        <f t="shared" si="98"/>
        <v>43.200000000000045</v>
      </c>
      <c r="CV158" s="1083">
        <f t="shared" si="98"/>
        <v>0</v>
      </c>
      <c r="CW158" s="1083">
        <f t="shared" si="98"/>
        <v>164.16000000000008</v>
      </c>
      <c r="CX158" s="1083">
        <f t="shared" si="98"/>
        <v>0</v>
      </c>
      <c r="CY158" s="1085">
        <f t="shared" si="98"/>
        <v>31.32000000000005</v>
      </c>
      <c r="CZ158" s="1080">
        <f t="shared" si="98"/>
        <v>5.5799999999999841</v>
      </c>
      <c r="DA158" s="1087">
        <f t="shared" si="98"/>
        <v>18.25</v>
      </c>
      <c r="DB158" s="1080">
        <f>IF((DB142+DB143+DB115-DB81)&lt;0,0,(DB142+DB143+DB115-DB81-DB157))</f>
        <v>30</v>
      </c>
      <c r="DC158" s="1079">
        <f t="shared" si="98"/>
        <v>114</v>
      </c>
      <c r="DD158" s="1079">
        <f>IF((DD142+DD143+DD115-DD81)&lt;0,0,(DD142+DD143+DD115-DD81-DD157))</f>
        <v>22.5</v>
      </c>
      <c r="DE158" s="1079">
        <f>IF((DE142+DE143+DE115-DE81)&lt;0,0,(DE142+DE143+DE115-DE81-DE157))</f>
        <v>0</v>
      </c>
      <c r="DF158" s="1080">
        <f t="shared" ref="DF158" si="100">IF((DF142+DF143+DF115-DF81)&lt;0,0,(DF142+DF143+DF115-DF81-DF157))</f>
        <v>22.5</v>
      </c>
      <c r="DG158" s="1080">
        <f t="shared" si="98"/>
        <v>0</v>
      </c>
      <c r="DH158" s="1080">
        <f t="shared" si="98"/>
        <v>48</v>
      </c>
      <c r="DI158" s="1080">
        <f t="shared" si="98"/>
        <v>0</v>
      </c>
      <c r="DJ158" s="1087">
        <f t="shared" si="98"/>
        <v>0</v>
      </c>
      <c r="DK158" s="1080">
        <f t="shared" si="98"/>
        <v>0</v>
      </c>
      <c r="DL158" s="1080"/>
      <c r="DM158" s="1080"/>
      <c r="DN158" s="1080"/>
      <c r="DO158" s="1080">
        <f t="shared" ref="DO158" si="101">IF((DO142+DO143+DO115-DO81)&lt;0,0,(DO142+DO143+DO115-DO81-DO157))</f>
        <v>0</v>
      </c>
      <c r="DP158" s="1083">
        <f t="shared" si="98"/>
        <v>0</v>
      </c>
      <c r="DQ158" s="1079">
        <f t="shared" si="98"/>
        <v>0</v>
      </c>
      <c r="DR158" s="1092">
        <f t="shared" si="98"/>
        <v>0</v>
      </c>
      <c r="DS158" s="1092">
        <f t="shared" si="98"/>
        <v>0</v>
      </c>
      <c r="DT158" s="1079"/>
      <c r="DU158" s="1092">
        <f t="shared" ref="DU158" si="102">IF((DU142+DU143+DU115-DU81)&lt;0,0,(DU142+DU143+DU115-DU81-DU157))</f>
        <v>0</v>
      </c>
      <c r="DV158" s="1089">
        <f t="shared" si="98"/>
        <v>0</v>
      </c>
      <c r="DW158" s="1089">
        <f t="shared" si="78"/>
        <v>15889.314761904765</v>
      </c>
      <c r="DX158" s="1093" t="str">
        <f>A158</f>
        <v>на 23 января</v>
      </c>
      <c r="DY158" s="659"/>
    </row>
    <row r="159" spans="1:129" ht="14.4">
      <c r="A159" s="1078" t="str">
        <f>A144</f>
        <v>на 24 января</v>
      </c>
      <c r="B159" s="1079">
        <f t="shared" ref="B159:BU159" si="103">IF((B142+B143+B144+B115-B81)&lt;0,0,(B142+B143+B144+B115-B81-B157-B158))</f>
        <v>82.5</v>
      </c>
      <c r="C159" s="1080">
        <f t="shared" si="103"/>
        <v>29.999999999999993</v>
      </c>
      <c r="D159" s="1080">
        <f t="shared" si="103"/>
        <v>60</v>
      </c>
      <c r="E159" s="1080">
        <f t="shared" si="103"/>
        <v>33</v>
      </c>
      <c r="F159" s="1080">
        <f t="shared" si="103"/>
        <v>1133.6799999999998</v>
      </c>
      <c r="G159" s="1080">
        <f t="shared" si="103"/>
        <v>60</v>
      </c>
      <c r="H159" s="1080">
        <f>IF((H142+H143+H144+H115-H81)&lt;0,0,(H142+H143+H144+H115-H81-H157-H158))</f>
        <v>0</v>
      </c>
      <c r="I159" s="1079">
        <f t="shared" si="103"/>
        <v>253.00000000000003</v>
      </c>
      <c r="J159" s="1080">
        <f t="shared" si="103"/>
        <v>571.20000000000005</v>
      </c>
      <c r="K159" s="1080">
        <f t="shared" si="103"/>
        <v>35.999999999999986</v>
      </c>
      <c r="L159" s="1080">
        <f t="shared" si="103"/>
        <v>0</v>
      </c>
      <c r="M159" s="1080">
        <f t="shared" si="103"/>
        <v>0</v>
      </c>
      <c r="N159" s="1081">
        <f t="shared" si="103"/>
        <v>245.68000000000004</v>
      </c>
      <c r="O159" s="1081">
        <f t="shared" si="103"/>
        <v>59.199999999999989</v>
      </c>
      <c r="P159" s="1082">
        <f t="shared" si="103"/>
        <v>183.52</v>
      </c>
      <c r="Q159" s="1083">
        <f t="shared" si="103"/>
        <v>183.68</v>
      </c>
      <c r="R159" s="1083">
        <f t="shared" si="103"/>
        <v>0</v>
      </c>
      <c r="S159" s="1079">
        <f t="shared" si="103"/>
        <v>5270.72</v>
      </c>
      <c r="T159" s="1084">
        <f t="shared" si="103"/>
        <v>0</v>
      </c>
      <c r="U159" s="1083">
        <f t="shared" si="103"/>
        <v>434.39999999999986</v>
      </c>
      <c r="V159" s="1083">
        <f>IF((V142+V143+V144+V115-V81)&lt;0,0,(V142+V143+V144+V115-V81-V157-V158))</f>
        <v>690.4799999999999</v>
      </c>
      <c r="W159" s="1083">
        <f>IF((W142+W143+W144+W115-W81)&lt;0,0,(W142+W143+W144+W115-W81-W157-W158))</f>
        <v>0</v>
      </c>
      <c r="X159" s="1083">
        <f>IF((X142+X143+X144+X115-X81)&lt;0,0,(X142+X143+X144+X115-X81-X157-X158))</f>
        <v>0</v>
      </c>
      <c r="Y159" s="1085">
        <f t="shared" ref="Y159:AD159" si="104">IF((Y142+Y143+Y144+Y115-Y81)&lt;0,0,(Y142+Y143+Y144+Y115-Y81-Y157-Y158))</f>
        <v>368.925238095238</v>
      </c>
      <c r="Z159" s="1079">
        <f t="shared" si="104"/>
        <v>31.080000000000013</v>
      </c>
      <c r="AA159" s="1085">
        <f t="shared" si="104"/>
        <v>1527.1999999999998</v>
      </c>
      <c r="AB159" s="1083">
        <f t="shared" si="104"/>
        <v>147.59999999999991</v>
      </c>
      <c r="AC159" s="1083">
        <f t="shared" si="104"/>
        <v>0</v>
      </c>
      <c r="AD159" s="1083">
        <f t="shared" si="104"/>
        <v>0</v>
      </c>
      <c r="AE159" s="1083">
        <f>IF((AE142+AE143+AE144+AE115-AE81)&lt;0,0,(AE142+AE143+AE144+AE115-AE81-AE157-AE158))</f>
        <v>0</v>
      </c>
      <c r="AF159" s="1083">
        <f>IF((AF142+AF143+AF144+AF115-AF81)&lt;0,0,(AF142+AF143+AF144+AF115-AF81-AF157-AF158))</f>
        <v>0</v>
      </c>
      <c r="AG159" s="1080">
        <f t="shared" ref="AG159:AI159" si="105">IF((AG142+AG143+AG144+AG115-AG81)&lt;0,0,(AG142+AG143+AG144+AG115-AG81-AG157-AG158))</f>
        <v>226.24</v>
      </c>
      <c r="AH159" s="1080">
        <f t="shared" si="105"/>
        <v>0</v>
      </c>
      <c r="AI159" s="1080">
        <f t="shared" si="105"/>
        <v>789.59999999999991</v>
      </c>
      <c r="AJ159" s="1080">
        <f>IF((AJ142+AJ143+AJ144+AJ115-AJ81)&lt;0,0,(AJ142+AJ143+AJ144+AJ115-AJ81-AJ157-AJ158))</f>
        <v>0</v>
      </c>
      <c r="AK159" s="1080">
        <f>IF((AK142+AK143+AK144+AK115-AK81)&lt;0,0,(AK142+AK143+AK144+AK115-AK81-AK157-AK158))</f>
        <v>0</v>
      </c>
      <c r="AL159" s="1080">
        <f t="shared" ref="AL159:AO159" si="106">IF((AL142+AL143+AL144+AL115-AL81)&lt;0,0,(AL142+AL143+AL144+AL115-AL81-AL157-AL158))</f>
        <v>283.36000000000013</v>
      </c>
      <c r="AM159" s="1086">
        <f t="shared" si="106"/>
        <v>617.39999999999964</v>
      </c>
      <c r="AN159" s="1086">
        <f t="shared" si="106"/>
        <v>0</v>
      </c>
      <c r="AO159" s="1086">
        <f t="shared" si="106"/>
        <v>936</v>
      </c>
      <c r="AP159" s="1086">
        <f t="shared" si="103"/>
        <v>6.4799999999999986</v>
      </c>
      <c r="AQ159" s="1083">
        <f t="shared" si="103"/>
        <v>211.60000000000002</v>
      </c>
      <c r="AR159" s="1087">
        <f t="shared" si="103"/>
        <v>0</v>
      </c>
      <c r="AS159" s="1087">
        <f t="shared" si="103"/>
        <v>0</v>
      </c>
      <c r="AT159" s="1087">
        <f t="shared" si="103"/>
        <v>0</v>
      </c>
      <c r="AU159" s="1087">
        <f t="shared" si="103"/>
        <v>3.8000000000000007</v>
      </c>
      <c r="AV159" s="1087">
        <f t="shared" si="103"/>
        <v>0</v>
      </c>
      <c r="AW159" s="1088">
        <f t="shared" si="103"/>
        <v>0</v>
      </c>
      <c r="AX159" s="1089">
        <f t="shared" si="103"/>
        <v>0</v>
      </c>
      <c r="AY159" s="1083">
        <f t="shared" si="103"/>
        <v>0</v>
      </c>
      <c r="AZ159" s="1080">
        <f t="shared" si="103"/>
        <v>72.5</v>
      </c>
      <c r="BA159" s="1080">
        <f t="shared" si="103"/>
        <v>13</v>
      </c>
      <c r="BB159" s="1080">
        <f t="shared" si="103"/>
        <v>74.400000000000034</v>
      </c>
      <c r="BC159" s="1083">
        <f t="shared" si="103"/>
        <v>222</v>
      </c>
      <c r="BD159" s="1080">
        <f t="shared" si="103"/>
        <v>241.5</v>
      </c>
      <c r="BE159" s="1083">
        <f t="shared" si="103"/>
        <v>0</v>
      </c>
      <c r="BF159" s="1083">
        <f>IF((BF142+BF143+BF144+BF115-BF81)&lt;0,0,(BF142+BF143+BF144+BF115-BF81-BF157-BF158))</f>
        <v>0</v>
      </c>
      <c r="BG159" s="1083">
        <f t="shared" ref="BG159" si="107">IF((BG142+BG143+BG144+BG115-BG81)&lt;0,0,(BG142+BG143+BG144+BG115-BG81-BG157-BG158))</f>
        <v>0</v>
      </c>
      <c r="BH159" s="1083">
        <f>IF((BH142+BH143+BH144+BH115-BH81)&lt;0,0,(BH142+BH143+BH144+BH115-BH81-BH157-BH158))</f>
        <v>0</v>
      </c>
      <c r="BI159" s="1083">
        <f>IF((BI142+BI143+BI144+BI115-BI81)&lt;0,0,(BI142+BI143+BI144+BI115-BI81-BI157-BI158))</f>
        <v>0</v>
      </c>
      <c r="BJ159" s="1083">
        <f t="shared" ref="BJ159:BO159" si="108">IF((BJ142+BJ143+BJ144+BJ115-BJ81)&lt;0,0,(BJ142+BJ143+BJ144+BJ115-BJ81-BJ157-BJ158))</f>
        <v>0</v>
      </c>
      <c r="BK159" s="1083">
        <f t="shared" si="108"/>
        <v>13</v>
      </c>
      <c r="BL159" s="1083">
        <f t="shared" si="108"/>
        <v>0</v>
      </c>
      <c r="BM159" s="1083">
        <f t="shared" si="108"/>
        <v>79.5</v>
      </c>
      <c r="BN159" s="1083">
        <f t="shared" si="108"/>
        <v>0</v>
      </c>
      <c r="BO159" s="1080">
        <f t="shared" si="108"/>
        <v>518.40000000000009</v>
      </c>
      <c r="BP159" s="1079"/>
      <c r="BQ159" s="1079">
        <f t="shared" si="103"/>
        <v>0</v>
      </c>
      <c r="BR159" s="1079">
        <f>IF((BR142+BR143+BR144+BR115-BR81)&lt;0,0,(BR142+BR143+BR144+BR115-BR81-BR157-BR158))</f>
        <v>0</v>
      </c>
      <c r="BS159" s="1079">
        <f>IF((BS142+BS143+BS144+BS115-BS81)&lt;0,0,(BS142+BS143+BS144+BS115-BS81-BS157-BS158))</f>
        <v>0</v>
      </c>
      <c r="BT159" s="1079">
        <f t="shared" ref="BT159" si="109">IF((BT142+BT143+BT144+BT115-BT81)&lt;0,0,(BT142+BT143+BT144+BT115-BT81-BT157-BT158))</f>
        <v>0</v>
      </c>
      <c r="BU159" s="1080">
        <f t="shared" si="103"/>
        <v>240</v>
      </c>
      <c r="BV159" s="1090">
        <f t="shared" ref="BV159:DV159" si="110">IF((BV142+BV143+BV144+BV115-BV81)&lt;0,0,(BV142+BV143+BV144+BV115-BV81-BV157-BV158))</f>
        <v>0</v>
      </c>
      <c r="BW159" s="1079">
        <f t="shared" si="110"/>
        <v>361</v>
      </c>
      <c r="BX159" s="1091">
        <f t="shared" si="110"/>
        <v>0</v>
      </c>
      <c r="BY159" s="1091"/>
      <c r="BZ159" s="1091">
        <f t="shared" si="110"/>
        <v>268.92000000000007</v>
      </c>
      <c r="CA159" s="1091">
        <f t="shared" si="110"/>
        <v>7.2799999999997453</v>
      </c>
      <c r="CB159" s="1091">
        <f t="shared" si="110"/>
        <v>0</v>
      </c>
      <c r="CC159" s="1091">
        <f t="shared" si="110"/>
        <v>0</v>
      </c>
      <c r="CD159" s="1082">
        <f t="shared" si="110"/>
        <v>3177</v>
      </c>
      <c r="CE159" s="1082">
        <f t="shared" si="110"/>
        <v>2138.3999999999996</v>
      </c>
      <c r="CF159" s="1082">
        <f t="shared" si="110"/>
        <v>0</v>
      </c>
      <c r="CG159" s="1082">
        <f t="shared" si="110"/>
        <v>939.59999999999991</v>
      </c>
      <c r="CH159" s="1082">
        <f t="shared" si="110"/>
        <v>116.78571428571422</v>
      </c>
      <c r="CI159" s="1082">
        <f>IF((CI142+CI143+CI144+CI115-CI81)&lt;0,0,(CI142+CI143+CI144+CI115-CI81-CI157-CI158))</f>
        <v>0</v>
      </c>
      <c r="CJ159" s="1082">
        <f>IF((CJ142+CJ143+CJ144+CJ115-CJ81)&lt;0,0,(CJ142+CJ143+CJ144+CJ115-CJ81-CJ157-CJ158))</f>
        <v>0</v>
      </c>
      <c r="CK159" s="1082">
        <f t="shared" ref="CK159:CN159" si="111">IF((CK142+CK143+CK144+CK115-CK81)&lt;0,0,(CK142+CK143+CK144+CK115-CK81-CK157-CK158))</f>
        <v>0</v>
      </c>
      <c r="CL159" s="1082">
        <f t="shared" si="111"/>
        <v>0</v>
      </c>
      <c r="CM159" s="1082">
        <f t="shared" si="111"/>
        <v>0</v>
      </c>
      <c r="CN159" s="1082">
        <f t="shared" si="111"/>
        <v>0</v>
      </c>
      <c r="CO159" s="1082">
        <f t="shared" si="110"/>
        <v>0</v>
      </c>
      <c r="CP159" s="1085">
        <f t="shared" si="110"/>
        <v>48</v>
      </c>
      <c r="CQ159" s="1085">
        <f>IF((CQ142+CQ143+CQ144+CQ115-CQ81)&lt;0,0,(CQ142+CQ143+CQ144+CQ115-CQ81-CQ157-CQ158))</f>
        <v>0</v>
      </c>
      <c r="CR159" s="1085">
        <f t="shared" si="110"/>
        <v>36</v>
      </c>
      <c r="CS159" s="1085">
        <f>IF((CS142+CS143+CS144+CS115-CS81)&lt;0,0,(CS142+CS143+CS144+CS115-CS81-CS157-CS158))</f>
        <v>0</v>
      </c>
      <c r="CT159" s="1083">
        <f t="shared" si="110"/>
        <v>92</v>
      </c>
      <c r="CU159" s="1083">
        <f t="shared" si="110"/>
        <v>712.80000000000007</v>
      </c>
      <c r="CV159" s="1083">
        <f t="shared" si="110"/>
        <v>0</v>
      </c>
      <c r="CW159" s="1083">
        <f t="shared" si="110"/>
        <v>273.23999999999978</v>
      </c>
      <c r="CX159" s="1083">
        <f t="shared" si="110"/>
        <v>0</v>
      </c>
      <c r="CY159" s="1085">
        <f t="shared" si="110"/>
        <v>127.43999999999994</v>
      </c>
      <c r="CZ159" s="1080">
        <f t="shared" si="110"/>
        <v>100.44</v>
      </c>
      <c r="DA159" s="1087">
        <f t="shared" si="110"/>
        <v>493.5</v>
      </c>
      <c r="DB159" s="1080">
        <f t="shared" si="110"/>
        <v>523.5</v>
      </c>
      <c r="DC159" s="1079">
        <f t="shared" si="110"/>
        <v>612</v>
      </c>
      <c r="DD159" s="1079">
        <f>IF((DD142+DD143+DD144+DD115-DD81)&lt;0,0,(DD142+DD143+DD144+DD115-DD81-DD157-DD158))</f>
        <v>348</v>
      </c>
      <c r="DE159" s="1079">
        <f>IF((DE142+DE143+DE144+DE115-DE81)&lt;0,0,(DE142+DE143+DE144+DE115-DE81-DE157-DE158))</f>
        <v>0</v>
      </c>
      <c r="DF159" s="1080">
        <f t="shared" ref="DF159" si="112">IF((DF142+DF143+DF144+DF115-DF81)&lt;0,0,(DF142+DF143+DF144+DF115-DF81-DF157-DF158))</f>
        <v>367.5</v>
      </c>
      <c r="DG159" s="1080">
        <f t="shared" si="110"/>
        <v>0</v>
      </c>
      <c r="DH159" s="1080">
        <f t="shared" si="110"/>
        <v>27</v>
      </c>
      <c r="DI159" s="1080">
        <f t="shared" si="110"/>
        <v>0</v>
      </c>
      <c r="DJ159" s="1087">
        <f t="shared" si="110"/>
        <v>0</v>
      </c>
      <c r="DK159" s="1080">
        <f t="shared" si="110"/>
        <v>0</v>
      </c>
      <c r="DL159" s="1080"/>
      <c r="DM159" s="1080"/>
      <c r="DN159" s="1080"/>
      <c r="DO159" s="1080">
        <f t="shared" ref="DO159" si="113">IF((DO142+DO143+DO144+DO115-DO81)&lt;0,0,(DO142+DO143+DO144+DO115-DO81-DO157-DO158))</f>
        <v>0</v>
      </c>
      <c r="DP159" s="1083">
        <f t="shared" si="110"/>
        <v>0</v>
      </c>
      <c r="DQ159" s="1079">
        <f t="shared" si="110"/>
        <v>0</v>
      </c>
      <c r="DR159" s="1092">
        <f t="shared" si="110"/>
        <v>0</v>
      </c>
      <c r="DS159" s="1092">
        <f t="shared" si="110"/>
        <v>0</v>
      </c>
      <c r="DT159" s="1079"/>
      <c r="DU159" s="1092">
        <f t="shared" ref="DU159" si="114">IF((DU142+DU143+DU144+DU115-DU81)&lt;0,0,(DU142+DU143+DU144+DU115-DU81-DU157-DU158))</f>
        <v>0</v>
      </c>
      <c r="DV159" s="1089">
        <f t="shared" si="110"/>
        <v>0</v>
      </c>
      <c r="DW159" s="1089">
        <f t="shared" si="78"/>
        <v>26721.050952380945</v>
      </c>
      <c r="DX159" s="1093" t="str">
        <f>A159</f>
        <v>на 24 января</v>
      </c>
      <c r="DY159" s="659"/>
    </row>
    <row r="160" spans="1:129" ht="14.4" customHeight="1" outlineLevel="1">
      <c r="A160" s="1078"/>
      <c r="B160" s="1079">
        <f t="shared" ref="B160:BU160" si="115">IF((B142+B143+B144+B145+B115-B81)&lt;0,0,(B142+B143+B144+B145+B115-B81-B157-B158-B159))</f>
        <v>0</v>
      </c>
      <c r="C160" s="1080">
        <f t="shared" si="115"/>
        <v>0</v>
      </c>
      <c r="D160" s="1080">
        <f t="shared" si="115"/>
        <v>0</v>
      </c>
      <c r="E160" s="1080">
        <f t="shared" si="115"/>
        <v>0</v>
      </c>
      <c r="F160" s="1080">
        <f t="shared" si="115"/>
        <v>0</v>
      </c>
      <c r="G160" s="1080">
        <f t="shared" si="115"/>
        <v>0</v>
      </c>
      <c r="H160" s="1080">
        <f>IF((H142+H143+H144+H145+H115-H81)&lt;0,0,(H142+H143+H144+H145+H115-H81-H157-H158-H159))</f>
        <v>0</v>
      </c>
      <c r="I160" s="1079">
        <f t="shared" si="115"/>
        <v>0</v>
      </c>
      <c r="J160" s="1080">
        <f t="shared" si="115"/>
        <v>0</v>
      </c>
      <c r="K160" s="1080">
        <f t="shared" si="115"/>
        <v>0</v>
      </c>
      <c r="L160" s="1080">
        <f t="shared" si="115"/>
        <v>0</v>
      </c>
      <c r="M160" s="1080">
        <f t="shared" si="115"/>
        <v>0</v>
      </c>
      <c r="N160" s="1081">
        <f t="shared" si="115"/>
        <v>0</v>
      </c>
      <c r="O160" s="1081">
        <f t="shared" si="115"/>
        <v>0</v>
      </c>
      <c r="P160" s="1082">
        <f t="shared" si="115"/>
        <v>0</v>
      </c>
      <c r="Q160" s="1083">
        <f t="shared" si="115"/>
        <v>0</v>
      </c>
      <c r="R160" s="1083">
        <f t="shared" si="115"/>
        <v>0</v>
      </c>
      <c r="S160" s="1079">
        <f t="shared" si="115"/>
        <v>0</v>
      </c>
      <c r="T160" s="1084">
        <f t="shared" si="115"/>
        <v>0</v>
      </c>
      <c r="U160" s="1083">
        <f t="shared" si="115"/>
        <v>0</v>
      </c>
      <c r="V160" s="1083">
        <f>IF((V142+V143+V144+V145+V115-V81)&lt;0,0,(V142+V143+V144+V145+V115-V81-V157-V158-V159))</f>
        <v>0</v>
      </c>
      <c r="W160" s="1083">
        <f>IF((W142+W143+W144+W145+W115-W81)&lt;0,0,(W142+W143+W144+W145+W115-W81-W157-W158-W159))</f>
        <v>0</v>
      </c>
      <c r="X160" s="1083">
        <f>IF((X142+X143+X144+X145+X115-X81)&lt;0,0,(X142+X143+X144+X145+X115-X81-X157-X158-X159))</f>
        <v>0</v>
      </c>
      <c r="Y160" s="1085">
        <f t="shared" ref="Y160:AD160" si="116">IF((Y142+Y143+Y144+Y145+Y115-Y81)&lt;0,0,(Y142+Y143+Y144+Y145+Y115-Y81-Y157-Y158-Y159))</f>
        <v>0</v>
      </c>
      <c r="Z160" s="1083">
        <f t="shared" si="116"/>
        <v>0</v>
      </c>
      <c r="AA160" s="1085">
        <f t="shared" si="116"/>
        <v>0</v>
      </c>
      <c r="AB160" s="1083">
        <f t="shared" si="116"/>
        <v>0</v>
      </c>
      <c r="AC160" s="1083">
        <f t="shared" si="116"/>
        <v>0</v>
      </c>
      <c r="AD160" s="1083">
        <f t="shared" si="116"/>
        <v>0</v>
      </c>
      <c r="AE160" s="1083">
        <f>IF((AE142+AE143+AE144+AE145+AE115-AE81)&lt;0,0,(AE142+AE143+AE144+AE145+AE115-AE81-AE157-AE158-AE159))</f>
        <v>0</v>
      </c>
      <c r="AF160" s="1083">
        <f>IF((AF142+AF143+AF144+AF145+AF115-AF81)&lt;0,0,(AF142+AF143+AF144+AF145+AF115-AF81-AF157-AF158-AF159))</f>
        <v>0</v>
      </c>
      <c r="AG160" s="1080">
        <f t="shared" ref="AG160:AH160" si="117">IF((AG142+AG143+AG144+AG145+AG115-AG81)&lt;0,0,(AG142+AG143+AG144+AG145+AG115-AG81-AG157-AG158-AG159))</f>
        <v>0</v>
      </c>
      <c r="AH160" s="1080">
        <f t="shared" si="117"/>
        <v>0</v>
      </c>
      <c r="AI160" s="1080"/>
      <c r="AJ160" s="1080"/>
      <c r="AK160" s="1080"/>
      <c r="AL160" s="1080">
        <f t="shared" ref="AL160:AO160" si="118">IF((AL142+AL143+AL144+AL145+AL115-AL81)&lt;0,0,(AL142+AL143+AL144+AL145+AL115-AL81-AL157-AL158-AL159))</f>
        <v>0</v>
      </c>
      <c r="AM160" s="1086">
        <f t="shared" si="118"/>
        <v>0</v>
      </c>
      <c r="AN160" s="1086">
        <f t="shared" si="118"/>
        <v>0</v>
      </c>
      <c r="AO160" s="1086">
        <f t="shared" si="118"/>
        <v>0</v>
      </c>
      <c r="AP160" s="1086">
        <f t="shared" si="115"/>
        <v>0</v>
      </c>
      <c r="AQ160" s="1083">
        <f t="shared" si="115"/>
        <v>0</v>
      </c>
      <c r="AR160" s="1087">
        <f t="shared" si="115"/>
        <v>0</v>
      </c>
      <c r="AS160" s="1087">
        <f t="shared" si="115"/>
        <v>0</v>
      </c>
      <c r="AT160" s="1087">
        <f t="shared" si="115"/>
        <v>0</v>
      </c>
      <c r="AU160" s="1087">
        <f t="shared" si="115"/>
        <v>0</v>
      </c>
      <c r="AV160" s="1087">
        <f t="shared" si="115"/>
        <v>0</v>
      </c>
      <c r="AW160" s="1088">
        <f t="shared" si="115"/>
        <v>0</v>
      </c>
      <c r="AX160" s="1089">
        <f t="shared" si="115"/>
        <v>0</v>
      </c>
      <c r="AY160" s="1083">
        <f t="shared" si="115"/>
        <v>0</v>
      </c>
      <c r="AZ160" s="1080">
        <f t="shared" si="115"/>
        <v>0</v>
      </c>
      <c r="BA160" s="1080">
        <f t="shared" si="115"/>
        <v>0</v>
      </c>
      <c r="BB160" s="1080">
        <f t="shared" si="115"/>
        <v>0</v>
      </c>
      <c r="BC160" s="1083">
        <f t="shared" si="115"/>
        <v>0</v>
      </c>
      <c r="BD160" s="1080">
        <f t="shared" si="115"/>
        <v>0</v>
      </c>
      <c r="BE160" s="1083">
        <f t="shared" si="115"/>
        <v>0</v>
      </c>
      <c r="BF160" s="1083">
        <f>IF((BF142+BF143+BF144+BF145+BF115-BF81)&lt;0,0,(BF142+BF143+BF144+BF145+BF115-BF81-BF157-BF158-BF159))</f>
        <v>0</v>
      </c>
      <c r="BG160" s="1083">
        <f t="shared" ref="BG160" si="119">IF((BG142+BG143+BG144+BG145+BG115-BG81)&lt;0,0,(BG142+BG143+BG144+BG145+BG115-BG81-BG157-BG158-BG159))</f>
        <v>0</v>
      </c>
      <c r="BH160" s="1083">
        <f>IF((BH142+BH143+BH144+BH145+BH115-BH81)&lt;0,0,(BH142+BH143+BH144+BH145+BH115-BH81-BH157-BH158-BH159))</f>
        <v>0</v>
      </c>
      <c r="BI160" s="1083">
        <f>IF((BI142+BI143+BI144+BI145+BI115-BI81)&lt;0,0,(BI142+BI143+BI144+BI145+BI115-BI81-BI157-BI158-BI159))</f>
        <v>0</v>
      </c>
      <c r="BJ160" s="1083">
        <f t="shared" ref="BJ160:BO160" si="120">IF((BJ142+BJ143+BJ144+BJ145+BJ115-BJ81)&lt;0,0,(BJ142+BJ143+BJ144+BJ145+BJ115-BJ81-BJ157-BJ158-BJ159))</f>
        <v>0</v>
      </c>
      <c r="BK160" s="1083">
        <f t="shared" si="120"/>
        <v>0</v>
      </c>
      <c r="BL160" s="1083">
        <f t="shared" si="120"/>
        <v>0</v>
      </c>
      <c r="BM160" s="1083">
        <f t="shared" si="120"/>
        <v>0</v>
      </c>
      <c r="BN160" s="1083">
        <f t="shared" si="120"/>
        <v>0</v>
      </c>
      <c r="BO160" s="1080">
        <f t="shared" si="120"/>
        <v>0</v>
      </c>
      <c r="BP160" s="1079"/>
      <c r="BQ160" s="1079">
        <f t="shared" si="115"/>
        <v>0</v>
      </c>
      <c r="BR160" s="1079">
        <f>IF((BR142+BR143+BR144+BR145+BR115-BR81)&lt;0,0,(BR142+BR143+BR144+BR145+BR115-BR81-BR157-BR158-BR159))</f>
        <v>0</v>
      </c>
      <c r="BS160" s="1079">
        <f>IF((BS142+BS143+BS144+BS145+BS115-BS81)&lt;0,0,(BS142+BS143+BS144+BS145+BS115-BS81-BS157-BS158-BS159))</f>
        <v>0</v>
      </c>
      <c r="BT160" s="1079">
        <f t="shared" ref="BT160" si="121">IF((BT142+BT143+BT144+BT145+BT115-BT81)&lt;0,0,(BT142+BT143+BT144+BT145+BT115-BT81-BT157-BT158-BT159))</f>
        <v>0</v>
      </c>
      <c r="BU160" s="1080">
        <f t="shared" si="115"/>
        <v>0</v>
      </c>
      <c r="BV160" s="1090">
        <f t="shared" ref="BV160:DV160" si="122">IF((BV142+BV143+BV144+BV145+BV115-BV81)&lt;0,0,(BV142+BV143+BV144+BV145+BV115-BV81-BV157-BV158-BV159))</f>
        <v>0</v>
      </c>
      <c r="BW160" s="1079">
        <f t="shared" si="122"/>
        <v>0</v>
      </c>
      <c r="BX160" s="1091">
        <f t="shared" si="122"/>
        <v>0</v>
      </c>
      <c r="BY160" s="1091"/>
      <c r="BZ160" s="1091">
        <f t="shared" si="122"/>
        <v>0</v>
      </c>
      <c r="CA160" s="1091">
        <f t="shared" si="122"/>
        <v>0</v>
      </c>
      <c r="CB160" s="1091">
        <f t="shared" si="122"/>
        <v>0</v>
      </c>
      <c r="CC160" s="1091">
        <f t="shared" si="122"/>
        <v>0</v>
      </c>
      <c r="CD160" s="1082">
        <f t="shared" si="122"/>
        <v>0</v>
      </c>
      <c r="CE160" s="1082">
        <f t="shared" si="122"/>
        <v>0</v>
      </c>
      <c r="CF160" s="1082">
        <f t="shared" si="122"/>
        <v>0</v>
      </c>
      <c r="CG160" s="1082">
        <f t="shared" si="122"/>
        <v>0</v>
      </c>
      <c r="CH160" s="1082">
        <f t="shared" si="122"/>
        <v>0</v>
      </c>
      <c r="CI160" s="1082">
        <f>IF((CI142+CI143+CI144+CI145+CI115-CI81)&lt;0,0,(CI142+CI143+CI144+CI145+CI115-CI81-CI157-CI158-CI159))</f>
        <v>0</v>
      </c>
      <c r="CJ160" s="1082">
        <f>IF((CJ142+CJ143+CJ144+CJ145+CJ115-CJ81)&lt;0,0,(CJ142+CJ143+CJ144+CJ145+CJ115-CJ81-CJ157-CJ158-CJ159))</f>
        <v>0</v>
      </c>
      <c r="CK160" s="1082">
        <f t="shared" ref="CK160:CN160" si="123">IF((CK142+CK143+CK144+CK145+CK115-CK81)&lt;0,0,(CK142+CK143+CK144+CK145+CK115-CK81-CK157-CK158-CK159))</f>
        <v>0</v>
      </c>
      <c r="CL160" s="1082">
        <f t="shared" si="123"/>
        <v>0</v>
      </c>
      <c r="CM160" s="1082">
        <f t="shared" si="123"/>
        <v>0</v>
      </c>
      <c r="CN160" s="1082">
        <f t="shared" si="123"/>
        <v>0</v>
      </c>
      <c r="CO160" s="1082">
        <f t="shared" si="122"/>
        <v>0</v>
      </c>
      <c r="CP160" s="1085">
        <f t="shared" si="122"/>
        <v>0</v>
      </c>
      <c r="CQ160" s="1085">
        <f>IF((CQ142+CQ143+CQ144+CQ145+CQ115-CQ81)&lt;0,0,(CQ142+CQ143+CQ144+CQ145+CQ115-CQ81-CQ157-CQ158-CQ159))</f>
        <v>0</v>
      </c>
      <c r="CR160" s="1085">
        <f t="shared" si="122"/>
        <v>0</v>
      </c>
      <c r="CS160" s="1085">
        <f>IF((CS142+CS143+CS144+CS145+CS115-CS81)&lt;0,0,(CS142+CS143+CS144+CS145+CS115-CS81-CS157-CS158-CS159))</f>
        <v>0</v>
      </c>
      <c r="CT160" s="1083">
        <f t="shared" si="122"/>
        <v>0</v>
      </c>
      <c r="CU160" s="1083">
        <f t="shared" si="122"/>
        <v>0</v>
      </c>
      <c r="CV160" s="1083">
        <f t="shared" si="122"/>
        <v>0</v>
      </c>
      <c r="CW160" s="1083">
        <f t="shared" si="122"/>
        <v>0</v>
      </c>
      <c r="CX160" s="1083">
        <f t="shared" si="122"/>
        <v>0</v>
      </c>
      <c r="CY160" s="1085">
        <f t="shared" si="122"/>
        <v>0</v>
      </c>
      <c r="CZ160" s="1080">
        <f t="shared" si="122"/>
        <v>0</v>
      </c>
      <c r="DA160" s="1087">
        <f t="shared" si="122"/>
        <v>0</v>
      </c>
      <c r="DB160" s="1080">
        <f t="shared" si="122"/>
        <v>0</v>
      </c>
      <c r="DC160" s="1079">
        <f t="shared" si="122"/>
        <v>0</v>
      </c>
      <c r="DD160" s="1079">
        <f>IF((DD142+DD143+DD144+DD145+DD115-DD81)&lt;0,0,(DD142+DD143+DD144+DD145+DD115-DD81-DD157-DD158-DD159))</f>
        <v>0</v>
      </c>
      <c r="DE160" s="1079">
        <f>IF((DE142+DE143+DE144+DE145+DE115-DE81)&lt;0,0,(DE142+DE143+DE144+DE145+DE115-DE81-DE157-DE158-DE159))</f>
        <v>0</v>
      </c>
      <c r="DF160" s="1080">
        <f t="shared" ref="DF160" si="124">IF((DF142+DF143+DF144+DF145+DF115-DF81)&lt;0,0,(DF142+DF143+DF144+DF145+DF115-DF81-DF157-DF158-DF159))</f>
        <v>0</v>
      </c>
      <c r="DG160" s="1080">
        <f t="shared" si="122"/>
        <v>0</v>
      </c>
      <c r="DH160" s="1080">
        <f t="shared" si="122"/>
        <v>0</v>
      </c>
      <c r="DI160" s="1080">
        <f t="shared" si="122"/>
        <v>0</v>
      </c>
      <c r="DJ160" s="1087">
        <f t="shared" si="122"/>
        <v>0</v>
      </c>
      <c r="DK160" s="1080">
        <f t="shared" si="122"/>
        <v>0</v>
      </c>
      <c r="DL160" s="1080"/>
      <c r="DM160" s="1080"/>
      <c r="DN160" s="1080"/>
      <c r="DO160" s="1080">
        <f t="shared" ref="DO160" si="125">IF((DO142+DO143+DO144+DO145+DO115-DO81)&lt;0,0,(DO142+DO143+DO144+DO145+DO115-DO81-DO157-DO158-DO159))</f>
        <v>0</v>
      </c>
      <c r="DP160" s="1083">
        <f t="shared" si="122"/>
        <v>0</v>
      </c>
      <c r="DQ160" s="1079">
        <f t="shared" si="122"/>
        <v>0</v>
      </c>
      <c r="DR160" s="1092">
        <f t="shared" si="122"/>
        <v>0</v>
      </c>
      <c r="DS160" s="1092">
        <f t="shared" si="122"/>
        <v>0</v>
      </c>
      <c r="DT160" s="1079"/>
      <c r="DU160" s="1092">
        <f t="shared" ref="DU160" si="126">IF((DU142+DU143+DU144+DU145+DU115-DU81)&lt;0,0,(DU142+DU143+DU144+DU145+DU115-DU81-DU157-DU158-DU159))</f>
        <v>0</v>
      </c>
      <c r="DV160" s="1089">
        <f t="shared" si="122"/>
        <v>0</v>
      </c>
      <c r="DW160" s="1089">
        <f t="shared" si="78"/>
        <v>0</v>
      </c>
      <c r="DX160" s="1093"/>
      <c r="DY160" s="659"/>
    </row>
    <row r="161" spans="1:129" ht="14.1" customHeight="1" outlineLevel="1">
      <c r="A161" s="1078"/>
      <c r="B161" s="1079">
        <f t="shared" ref="B161:BU161" si="127">IF((B142+B143+B144+B145+B146+B115-B81)&lt;0,0,(B142+B143+B144+B145+B146+B115-B81-B157-B158-B159-B160))</f>
        <v>0</v>
      </c>
      <c r="C161" s="1080">
        <f t="shared" si="127"/>
        <v>0</v>
      </c>
      <c r="D161" s="1080">
        <f t="shared" si="127"/>
        <v>0</v>
      </c>
      <c r="E161" s="1080">
        <f t="shared" si="127"/>
        <v>0</v>
      </c>
      <c r="F161" s="1080">
        <f t="shared" si="127"/>
        <v>0</v>
      </c>
      <c r="G161" s="1080">
        <f t="shared" si="127"/>
        <v>0</v>
      </c>
      <c r="H161" s="1080">
        <f>IF((H142+H143+H144+H145+H146+H115-H81)&lt;0,0,(H142+H143+H144+H145+H146+H115-H81-H157-H158-H159-H160))</f>
        <v>0</v>
      </c>
      <c r="I161" s="1079">
        <f t="shared" si="127"/>
        <v>0</v>
      </c>
      <c r="J161" s="1080">
        <f t="shared" si="127"/>
        <v>0</v>
      </c>
      <c r="K161" s="1080">
        <f t="shared" si="127"/>
        <v>0</v>
      </c>
      <c r="L161" s="1080">
        <f t="shared" si="127"/>
        <v>0</v>
      </c>
      <c r="M161" s="1080">
        <f t="shared" si="127"/>
        <v>0</v>
      </c>
      <c r="N161" s="1081">
        <f t="shared" si="127"/>
        <v>0</v>
      </c>
      <c r="O161" s="1081">
        <f t="shared" si="127"/>
        <v>0</v>
      </c>
      <c r="P161" s="1082">
        <f t="shared" si="127"/>
        <v>0</v>
      </c>
      <c r="Q161" s="1083">
        <f t="shared" si="127"/>
        <v>0</v>
      </c>
      <c r="R161" s="1083">
        <f t="shared" si="127"/>
        <v>0</v>
      </c>
      <c r="S161" s="1079">
        <f t="shared" si="127"/>
        <v>0</v>
      </c>
      <c r="T161" s="1084">
        <f t="shared" si="127"/>
        <v>0</v>
      </c>
      <c r="U161" s="1083">
        <f t="shared" si="127"/>
        <v>0</v>
      </c>
      <c r="V161" s="1083">
        <f>IF((V142+V143+V144+V145+V146+V115-V81)&lt;0,0,(V142+V143+V144+V145+V146+V115-V81-V157-V158-V159-V160))</f>
        <v>0</v>
      </c>
      <c r="W161" s="1083">
        <f>IF((W142+W143+W144+W145+W146+W115-W81)&lt;0,0,(W142+W143+W144+W145+W146+W115-W81-W157-W158-W159-W160))</f>
        <v>0</v>
      </c>
      <c r="X161" s="1083">
        <f>IF((X142+X143+X144+X145+X146+X115-X81)&lt;0,0,(X142+X143+X144+X145+X146+X115-X81-X157-X158-X159-X160))</f>
        <v>0</v>
      </c>
      <c r="Y161" s="1085">
        <f t="shared" ref="Y161:AD161" si="128">IF((Y142+Y143+Y144+Y145+Y146+Y115-Y81)&lt;0,0,(Y142+Y143+Y144+Y145+Y146+Y115-Y81-Y157-Y158-Y159-Y160))</f>
        <v>0</v>
      </c>
      <c r="Z161" s="1083">
        <f t="shared" si="128"/>
        <v>0</v>
      </c>
      <c r="AA161" s="1085">
        <f t="shared" si="128"/>
        <v>0</v>
      </c>
      <c r="AB161" s="1083">
        <f t="shared" si="128"/>
        <v>0</v>
      </c>
      <c r="AC161" s="1083">
        <f t="shared" si="128"/>
        <v>0</v>
      </c>
      <c r="AD161" s="1083">
        <f t="shared" si="128"/>
        <v>0</v>
      </c>
      <c r="AE161" s="1083">
        <f>IF((AE142+AE143+AE144+AE145+AE146+AE115-AE81)&lt;0,0,(AE142+AE143+AE144+AE145+AE146+AE115-AE81-AE157-AE158-AE159-AE160))</f>
        <v>0</v>
      </c>
      <c r="AF161" s="1083">
        <f>IF((AF142+AF143+AF144+AF145+AF146+AF115-AF81)&lt;0,0,(AF142+AF143+AF144+AF145+AF146+AF115-AF81-AF157-AF158-AF159-AF160))</f>
        <v>0</v>
      </c>
      <c r="AG161" s="1080">
        <f t="shared" ref="AG161:AH161" si="129">IF((AG142+AG143+AG144+AG145+AG146+AG115-AG81)&lt;0,0,(AG142+AG143+AG144+AG145+AG146+AG115-AG81-AG157-AG158-AG159-AG160))</f>
        <v>0</v>
      </c>
      <c r="AH161" s="1080">
        <f t="shared" si="129"/>
        <v>0</v>
      </c>
      <c r="AI161" s="1080"/>
      <c r="AJ161" s="1080"/>
      <c r="AK161" s="1080"/>
      <c r="AL161" s="1080">
        <f t="shared" ref="AL161:AO161" si="130">IF((AL142+AL143+AL144+AL145+AL146+AL115-AL81)&lt;0,0,(AL142+AL143+AL144+AL145+AL146+AL115-AL81-AL157-AL158-AL159-AL160))</f>
        <v>0</v>
      </c>
      <c r="AM161" s="1086">
        <f t="shared" si="130"/>
        <v>0</v>
      </c>
      <c r="AN161" s="1086">
        <f t="shared" si="130"/>
        <v>0</v>
      </c>
      <c r="AO161" s="1086">
        <f t="shared" si="130"/>
        <v>0</v>
      </c>
      <c r="AP161" s="1086">
        <f t="shared" si="127"/>
        <v>0</v>
      </c>
      <c r="AQ161" s="1083">
        <f t="shared" si="127"/>
        <v>0</v>
      </c>
      <c r="AR161" s="1087">
        <f t="shared" si="127"/>
        <v>0</v>
      </c>
      <c r="AS161" s="1087">
        <f t="shared" si="127"/>
        <v>0</v>
      </c>
      <c r="AT161" s="1087">
        <f t="shared" si="127"/>
        <v>0</v>
      </c>
      <c r="AU161" s="1087">
        <f t="shared" si="127"/>
        <v>0</v>
      </c>
      <c r="AV161" s="1087">
        <f t="shared" si="127"/>
        <v>0</v>
      </c>
      <c r="AW161" s="1088">
        <f t="shared" si="127"/>
        <v>0</v>
      </c>
      <c r="AX161" s="1089">
        <f t="shared" si="127"/>
        <v>0</v>
      </c>
      <c r="AY161" s="1083">
        <f t="shared" si="127"/>
        <v>0</v>
      </c>
      <c r="AZ161" s="1080">
        <f t="shared" si="127"/>
        <v>0</v>
      </c>
      <c r="BA161" s="1080">
        <f t="shared" si="127"/>
        <v>0</v>
      </c>
      <c r="BB161" s="1080">
        <f t="shared" si="127"/>
        <v>0</v>
      </c>
      <c r="BC161" s="1083">
        <f t="shared" si="127"/>
        <v>0</v>
      </c>
      <c r="BD161" s="1080">
        <f t="shared" si="127"/>
        <v>0</v>
      </c>
      <c r="BE161" s="1083">
        <f t="shared" si="127"/>
        <v>0</v>
      </c>
      <c r="BF161" s="1083">
        <f>IF((BF142+BF143+BF144+BF145+BF146+BF115-BF81)&lt;0,0,(BF142+BF143+BF144+BF145+BF146+BF115-BF81-BF157-BF158-BF159-BF160))</f>
        <v>0</v>
      </c>
      <c r="BG161" s="1083">
        <f t="shared" ref="BG161" si="131">IF((BG142+BG143+BG144+BG145+BG146+BG115-BG81)&lt;0,0,(BG142+BG143+BG144+BG145+BG146+BG115-BG81-BG157-BG158-BG159-BG160))</f>
        <v>0</v>
      </c>
      <c r="BH161" s="1083">
        <f>IF((BH142+BH143+BH144+BH145+BH146+BH115-BH81)&lt;0,0,(BH142+BH143+BH144+BH145+BH146+BH115-BH81-BH157-BH158-BH159-BH160))</f>
        <v>0</v>
      </c>
      <c r="BI161" s="1083">
        <f>IF((BI142+BI143+BI144+BI145+BI146+BI115-BI81)&lt;0,0,(BI142+BI143+BI144+BI145+BI146+BI115-BI81-BI157-BI158-BI159-BI160))</f>
        <v>0</v>
      </c>
      <c r="BJ161" s="1083">
        <f t="shared" ref="BJ161:BO161" si="132">IF((BJ142+BJ143+BJ144+BJ145+BJ146+BJ115-BJ81)&lt;0,0,(BJ142+BJ143+BJ144+BJ145+BJ146+BJ115-BJ81-BJ157-BJ158-BJ159-BJ160))</f>
        <v>0</v>
      </c>
      <c r="BK161" s="1083">
        <f t="shared" si="132"/>
        <v>0</v>
      </c>
      <c r="BL161" s="1083">
        <f t="shared" si="132"/>
        <v>0</v>
      </c>
      <c r="BM161" s="1083">
        <f t="shared" si="132"/>
        <v>0</v>
      </c>
      <c r="BN161" s="1083">
        <f t="shared" si="132"/>
        <v>0</v>
      </c>
      <c r="BO161" s="1080">
        <f t="shared" si="132"/>
        <v>0</v>
      </c>
      <c r="BP161" s="1079"/>
      <c r="BQ161" s="1079">
        <f t="shared" si="127"/>
        <v>0</v>
      </c>
      <c r="BR161" s="1079">
        <f>IF((BR142+BR143+BR144+BR145+BR146+BR115-BR81)&lt;0,0,(BR142+BR143+BR144+BR145+BR146+BR115-BR81-BR157-BR158-BR159-BR160))</f>
        <v>0</v>
      </c>
      <c r="BS161" s="1079">
        <f>IF((BS142+BS143+BS144+BS145+BS146+BS115-BS81)&lt;0,0,(BS142+BS143+BS144+BS145+BS146+BS115-BS81-BS157-BS158-BS159-BS160))</f>
        <v>0</v>
      </c>
      <c r="BT161" s="1079">
        <f t="shared" ref="BT161" si="133">IF((BT142+BT143+BT144+BT145+BT146+BT115-BT81)&lt;0,0,(BT142+BT143+BT144+BT145+BT146+BT115-BT81-BT157-BT158-BT159-BT160))</f>
        <v>0</v>
      </c>
      <c r="BU161" s="1080">
        <f t="shared" si="127"/>
        <v>0</v>
      </c>
      <c r="BV161" s="1090">
        <f t="shared" ref="BV161:DV161" si="134">IF((BV142+BV143+BV144+BV145+BV146+BV115-BV81)&lt;0,0,(BV142+BV143+BV144+BV145+BV146+BV115-BV81-BV157-BV158-BV159-BV160))</f>
        <v>0</v>
      </c>
      <c r="BW161" s="1079">
        <f t="shared" si="134"/>
        <v>0</v>
      </c>
      <c r="BX161" s="1091">
        <f t="shared" si="134"/>
        <v>0</v>
      </c>
      <c r="BY161" s="1091"/>
      <c r="BZ161" s="1091">
        <f t="shared" si="134"/>
        <v>0</v>
      </c>
      <c r="CA161" s="1091">
        <f t="shared" si="134"/>
        <v>0</v>
      </c>
      <c r="CB161" s="1091">
        <f t="shared" si="134"/>
        <v>0</v>
      </c>
      <c r="CC161" s="1091">
        <f t="shared" si="134"/>
        <v>0</v>
      </c>
      <c r="CD161" s="1082">
        <f t="shared" si="134"/>
        <v>0</v>
      </c>
      <c r="CE161" s="1082">
        <f t="shared" si="134"/>
        <v>0</v>
      </c>
      <c r="CF161" s="1082">
        <f t="shared" si="134"/>
        <v>0</v>
      </c>
      <c r="CG161" s="1082">
        <f t="shared" si="134"/>
        <v>0</v>
      </c>
      <c r="CH161" s="1082">
        <f t="shared" si="134"/>
        <v>0</v>
      </c>
      <c r="CI161" s="1082">
        <f>IF((CI142+CI143+CI144+CI145+CI146+CI115-CI81)&lt;0,0,(CI142+CI143+CI144+CI145+CI146+CI115-CI81-CI157-CI158-CI159-CI160))</f>
        <v>0</v>
      </c>
      <c r="CJ161" s="1082">
        <f>IF((CJ142+CJ143+CJ144+CJ145+CJ146+CJ115-CJ81)&lt;0,0,(CJ142+CJ143+CJ144+CJ145+CJ146+CJ115-CJ81-CJ157-CJ158-CJ159-CJ160))</f>
        <v>0</v>
      </c>
      <c r="CK161" s="1082">
        <f t="shared" ref="CK161:CN161" si="135">IF((CK142+CK143+CK144+CK145+CK146+CK115-CK81)&lt;0,0,(CK142+CK143+CK144+CK145+CK146+CK115-CK81-CK157-CK158-CK159-CK160))</f>
        <v>0</v>
      </c>
      <c r="CL161" s="1082">
        <f t="shared" si="135"/>
        <v>0</v>
      </c>
      <c r="CM161" s="1082">
        <f t="shared" si="135"/>
        <v>0</v>
      </c>
      <c r="CN161" s="1082">
        <f t="shared" si="135"/>
        <v>0</v>
      </c>
      <c r="CO161" s="1082">
        <f t="shared" si="134"/>
        <v>0</v>
      </c>
      <c r="CP161" s="1085">
        <f t="shared" si="134"/>
        <v>0</v>
      </c>
      <c r="CQ161" s="1085">
        <f>IF((CQ142+CQ143+CQ144+CQ145+CQ146+CQ115-CQ81)&lt;0,0,(CQ142+CQ143+CQ144+CQ145+CQ146+CQ115-CQ81-CQ157-CQ158-CQ159-CQ160))</f>
        <v>0</v>
      </c>
      <c r="CR161" s="1085">
        <f t="shared" si="134"/>
        <v>0</v>
      </c>
      <c r="CS161" s="1085">
        <f>IF((CS142+CS143+CS144+CS145+CS146+CS115-CS81)&lt;0,0,(CS142+CS143+CS144+CS145+CS146+CS115-CS81-CS157-CS158-CS159-CS160))</f>
        <v>0</v>
      </c>
      <c r="CT161" s="1083">
        <f t="shared" si="134"/>
        <v>0</v>
      </c>
      <c r="CU161" s="1083">
        <f t="shared" si="134"/>
        <v>0</v>
      </c>
      <c r="CV161" s="1083">
        <f t="shared" si="134"/>
        <v>0</v>
      </c>
      <c r="CW161" s="1083">
        <f t="shared" si="134"/>
        <v>0</v>
      </c>
      <c r="CX161" s="1083">
        <f t="shared" si="134"/>
        <v>0</v>
      </c>
      <c r="CY161" s="1085">
        <f t="shared" si="134"/>
        <v>0</v>
      </c>
      <c r="CZ161" s="1080">
        <f t="shared" si="134"/>
        <v>0</v>
      </c>
      <c r="DA161" s="1087">
        <f t="shared" si="134"/>
        <v>0</v>
      </c>
      <c r="DB161" s="1080">
        <f t="shared" si="134"/>
        <v>0</v>
      </c>
      <c r="DC161" s="1079">
        <f t="shared" si="134"/>
        <v>0</v>
      </c>
      <c r="DD161" s="1079">
        <f>IF((DD142+DD143+DD144+DD145+DD146+DD115-DD81)&lt;0,0,(DD142+DD143+DD144+DD145+DD146+DD115-DD81-DD157-DD158-DD159-DD160))</f>
        <v>0</v>
      </c>
      <c r="DE161" s="1079">
        <f>IF((DE142+DE143+DE144+DE145+DE146+DE115-DE81)&lt;0,0,(DE142+DE143+DE144+DE145+DE146+DE115-DE81-DE157-DE158-DE159-DE160))</f>
        <v>0</v>
      </c>
      <c r="DF161" s="1080">
        <f t="shared" ref="DF161" si="136">IF((DF142+DF143+DF144+DF145+DF146+DF115-DF81)&lt;0,0,(DF142+DF143+DF144+DF145+DF146+DF115-DF81-DF157-DF158-DF159-DF160))</f>
        <v>0</v>
      </c>
      <c r="DG161" s="1080">
        <f t="shared" si="134"/>
        <v>0</v>
      </c>
      <c r="DH161" s="1080">
        <f t="shared" si="134"/>
        <v>0</v>
      </c>
      <c r="DI161" s="1080">
        <f t="shared" si="134"/>
        <v>0</v>
      </c>
      <c r="DJ161" s="1087">
        <f t="shared" si="134"/>
        <v>0</v>
      </c>
      <c r="DK161" s="1080">
        <f t="shared" si="134"/>
        <v>0</v>
      </c>
      <c r="DL161" s="1080"/>
      <c r="DM161" s="1080"/>
      <c r="DN161" s="1080"/>
      <c r="DO161" s="1080">
        <f t="shared" ref="DO161" si="137">IF((DO142+DO143+DO144+DO145+DO146+DO115-DO81)&lt;0,0,(DO142+DO143+DO144+DO145+DO146+DO115-DO81-DO157-DO158-DO159-DO160))</f>
        <v>0</v>
      </c>
      <c r="DP161" s="1083">
        <f t="shared" si="134"/>
        <v>0</v>
      </c>
      <c r="DQ161" s="1079">
        <f t="shared" si="134"/>
        <v>0</v>
      </c>
      <c r="DR161" s="1092">
        <f t="shared" si="134"/>
        <v>0</v>
      </c>
      <c r="DS161" s="1092">
        <f t="shared" si="134"/>
        <v>0</v>
      </c>
      <c r="DT161" s="1079"/>
      <c r="DU161" s="1092">
        <f t="shared" ref="DU161" si="138">IF((DU142+DU143+DU144+DU145+DU146+DU115-DU81)&lt;0,0,(DU142+DU143+DU144+DU145+DU146+DU115-DU81-DU157-DU158-DU159-DU160))</f>
        <v>0</v>
      </c>
      <c r="DV161" s="1089">
        <f t="shared" si="134"/>
        <v>0</v>
      </c>
      <c r="DW161" s="1089">
        <f t="shared" si="78"/>
        <v>0</v>
      </c>
      <c r="DX161" s="1093"/>
      <c r="DY161" s="659"/>
    </row>
    <row r="162" spans="1:129" ht="14.1" customHeight="1" collapsed="1">
      <c r="A162" s="1078" t="s">
        <v>666</v>
      </c>
      <c r="B162" s="1079">
        <f t="shared" ref="B162:BU162" si="139">IF((B142+B143+B144+B145+B146+B147+B115-B81)&lt;0,0,(B142+B143+B144+B145+B146+B147+B115-B81-B157-B158-B159-B160-B161))</f>
        <v>3103.3962499999989</v>
      </c>
      <c r="C162" s="1080">
        <f t="shared" si="139"/>
        <v>203.67499999999998</v>
      </c>
      <c r="D162" s="1080">
        <f t="shared" si="139"/>
        <v>2165.6574999999998</v>
      </c>
      <c r="E162" s="1080">
        <f t="shared" si="139"/>
        <v>270</v>
      </c>
      <c r="F162" s="1080">
        <f t="shared" si="139"/>
        <v>3720.6285714285718</v>
      </c>
      <c r="G162" s="1080">
        <f t="shared" si="139"/>
        <v>114</v>
      </c>
      <c r="H162" s="1080">
        <f>IF((H142+H143+H144+H145+H146+H147+H115-H81)&lt;0,0,(H142+H143+H144+H145+H146+H147+H115-H81-H157-H158-H159-H160-H161))</f>
        <v>497.04</v>
      </c>
      <c r="I162" s="1079">
        <f t="shared" si="139"/>
        <v>660.0524999999999</v>
      </c>
      <c r="J162" s="1080">
        <f t="shared" si="139"/>
        <v>1287.6106666666662</v>
      </c>
      <c r="K162" s="1080">
        <f t="shared" si="139"/>
        <v>254.35000000000002</v>
      </c>
      <c r="L162" s="1080">
        <f t="shared" si="139"/>
        <v>568.703125</v>
      </c>
      <c r="M162" s="1080">
        <f t="shared" si="139"/>
        <v>0</v>
      </c>
      <c r="N162" s="1081">
        <f t="shared" si="139"/>
        <v>996.76249999999982</v>
      </c>
      <c r="O162" s="1081">
        <f t="shared" si="139"/>
        <v>464.46125000000001</v>
      </c>
      <c r="P162" s="1082">
        <f t="shared" si="139"/>
        <v>566.84000000000015</v>
      </c>
      <c r="Q162" s="1083">
        <f t="shared" si="139"/>
        <v>4600.0000000000009</v>
      </c>
      <c r="R162" s="1083">
        <f t="shared" si="139"/>
        <v>1022.2800000000001</v>
      </c>
      <c r="S162" s="1079">
        <f t="shared" si="139"/>
        <v>33798.191666666666</v>
      </c>
      <c r="T162" s="1084">
        <f t="shared" si="139"/>
        <v>461.03958333333338</v>
      </c>
      <c r="U162" s="1083">
        <f t="shared" si="139"/>
        <v>1780.7650000000001</v>
      </c>
      <c r="V162" s="1083">
        <f>IF((V142+V143+V144+V145+V146+V147+V115-V81)&lt;0,0,(V142+V143+V144+V145+V146+V147+V115-V81-V157-V158-V159-V160-V161))</f>
        <v>1161.3300000000004</v>
      </c>
      <c r="W162" s="1083">
        <f>IF((W142+W143+W144+W145+W146+W147+W115-W81)&lt;0,0,(W142+W143+W144+W145+W146+W147+W115-W81-W157-W158-W159-W160-W161))</f>
        <v>65.257142857142867</v>
      </c>
      <c r="X162" s="1083">
        <f>IF((X142+X143+X144+X145+X146+X147+X115-X81)&lt;0,0,(X142+X143+X144+X145+X146+X147+X115-X81-X157-X158-X159-X160-X161))</f>
        <v>273.75</v>
      </c>
      <c r="Y162" s="1085">
        <f t="shared" ref="Y162:AD162" si="140">IF((Y142+Y143+Y144+Y145+Y146+Y147+Y115-Y81)&lt;0,0,(Y142+Y143+Y144+Y145+Y146+Y147+Y115-Y81-Y157-Y158-Y159-Y160-Y161))</f>
        <v>2679.8562500000003</v>
      </c>
      <c r="Z162" s="1083">
        <f t="shared" si="140"/>
        <v>203.12999999999988</v>
      </c>
      <c r="AA162" s="1085">
        <f t="shared" si="140"/>
        <v>3285.0506666666661</v>
      </c>
      <c r="AB162" s="1083">
        <f t="shared" si="140"/>
        <v>589.59999999999991</v>
      </c>
      <c r="AC162" s="1083">
        <f t="shared" si="140"/>
        <v>256.19</v>
      </c>
      <c r="AD162" s="1083">
        <f t="shared" si="140"/>
        <v>1654.8071428571429</v>
      </c>
      <c r="AE162" s="1083">
        <f>IF((AE142+AE143+AE144+AE145+AE146+AE147+AE115-AE81)&lt;0,0,(AE142+AE143+AE144+AE145+AE146+AE147+AE115-AE81-AE157-AE158-AE159-AE160-AE161))</f>
        <v>111.71428571428572</v>
      </c>
      <c r="AF162" s="1083">
        <f>IF((AF142+AF143+AF144+AF145+AF146+AF147+AF115-AF81)&lt;0,0,(AF142+AF143+AF144+AF145+AF146+AF147+AF115-AF81-AF157-AF158-AF159-AF160-AF161))</f>
        <v>489.01333333333332</v>
      </c>
      <c r="AG162" s="1080">
        <f t="shared" ref="AG162:AI162" si="141">IF((AG142+AG143+AG144+AG145+AG146+AG147+AG115-AG81)&lt;0,0,(AG142+AG143+AG144+AG145+AG146+AG147+AG115-AG81-AG157-AG158-AG159-AG160-AG161))</f>
        <v>924.96266666666679</v>
      </c>
      <c r="AH162" s="1080">
        <f t="shared" si="141"/>
        <v>49.959333333333461</v>
      </c>
      <c r="AI162" s="1080">
        <f t="shared" si="141"/>
        <v>4525.0499999999993</v>
      </c>
      <c r="AJ162" s="1080">
        <f>IF((AJ142+AJ143+AJ144+AJ145+AJ146+AJ147+AJ115-AJ81)&lt;0,0,(AJ142+AJ143+AJ144+AJ145+AJ146+AJ147+AJ115-AJ81-AJ157-AJ158-AJ159-AJ160-AJ161))</f>
        <v>0</v>
      </c>
      <c r="AK162" s="1080">
        <f>IF((AK142+AK143+AK144+AK145+AK146+AK147+AK115-AK81)&lt;0,0,(AK142+AK143+AK144+AK145+AK146+AK147+AK115-AK81-AK157-AK158-AK159-AK160-AK161))</f>
        <v>1915.2000000000003</v>
      </c>
      <c r="AL162" s="1080">
        <f t="shared" ref="AL162:AO162" si="142">IF((AL142+AL143+AL144+AL145+AL146+AL147+AL115-AL81)&lt;0,0,(AL142+AL143+AL144+AL145+AL146+AL147+AL115-AL81-AL157-AL158-AL159-AL160-AL161))</f>
        <v>638.59500000000003</v>
      </c>
      <c r="AM162" s="1086">
        <f t="shared" si="142"/>
        <v>4757.6457142857134</v>
      </c>
      <c r="AN162" s="1086">
        <f t="shared" si="142"/>
        <v>178.2</v>
      </c>
      <c r="AO162" s="1086">
        <f t="shared" si="142"/>
        <v>2353.5</v>
      </c>
      <c r="AP162" s="1086">
        <f t="shared" si="139"/>
        <v>55.949999999999982</v>
      </c>
      <c r="AQ162" s="1083">
        <f t="shared" si="139"/>
        <v>1177.1750000000006</v>
      </c>
      <c r="AR162" s="1087">
        <f t="shared" si="139"/>
        <v>0</v>
      </c>
      <c r="AS162" s="1087">
        <f t="shared" si="139"/>
        <v>94.813749999999999</v>
      </c>
      <c r="AT162" s="1087">
        <f t="shared" si="139"/>
        <v>104.26499999999999</v>
      </c>
      <c r="AU162" s="1087">
        <f t="shared" si="139"/>
        <v>36.721249999999998</v>
      </c>
      <c r="AV162" s="1087">
        <f t="shared" si="139"/>
        <v>0</v>
      </c>
      <c r="AW162" s="1088">
        <f t="shared" si="139"/>
        <v>0</v>
      </c>
      <c r="AX162" s="1089">
        <f t="shared" si="139"/>
        <v>0</v>
      </c>
      <c r="AY162" s="1083">
        <f t="shared" si="139"/>
        <v>2765.4849523809521</v>
      </c>
      <c r="AZ162" s="1080">
        <f t="shared" si="139"/>
        <v>356.87</v>
      </c>
      <c r="BA162" s="1080">
        <f t="shared" si="139"/>
        <v>670.78125</v>
      </c>
      <c r="BB162" s="1080">
        <f t="shared" si="139"/>
        <v>1246.1386904761905</v>
      </c>
      <c r="BC162" s="1083">
        <f t="shared" si="139"/>
        <v>420</v>
      </c>
      <c r="BD162" s="1080">
        <f t="shared" si="139"/>
        <v>800</v>
      </c>
      <c r="BE162" s="1083">
        <f t="shared" si="139"/>
        <v>202.3125</v>
      </c>
      <c r="BF162" s="1083">
        <f>IF((BF142+BF143+BF144+BF145+BF146+BF147+BF115-BF81)&lt;0,0,(BF142+BF143+BF144+BF145+BF146+BF147+BF115-BF81-BF157-BF158-BF159-BF160-BF161))</f>
        <v>252.10000000000002</v>
      </c>
      <c r="BG162" s="1083">
        <f t="shared" ref="BG162" si="143">IF((BG142+BG143+BG144+BG145+BG146+BG147+BG115-BG81)&lt;0,0,(BG142+BG143+BG144+BG145+BG146+BG147+BG115-BG81-BG157-BG158-BG159-BG160-BG161))</f>
        <v>0</v>
      </c>
      <c r="BH162" s="1083">
        <f>IF((BH142+BH143+BH144+BH145+BH146+BH147+BH115-BH81)&lt;0,0,(BH142+BH143+BH144+BH145+BH146+BH147+BH115-BH81-BH157-BH158-BH159-BH160-BH161))</f>
        <v>170.4</v>
      </c>
      <c r="BI162" s="1083">
        <f>IF((BI142+BI143+BI144+BI145+BI146+BI147+BI115-BI81)&lt;0,0,(BI142+BI143+BI144+BI145+BI146+BI147+BI115-BI81-BI157-BI158-BI159-BI160-BI161))</f>
        <v>105</v>
      </c>
      <c r="BJ162" s="1083">
        <f t="shared" ref="BJ162:BO162" si="144">IF((BJ142+BJ143+BJ144+BJ145+BJ146+BJ147+BJ115-BJ81)&lt;0,0,(BJ142+BJ143+BJ144+BJ145+BJ146+BJ147+BJ115-BJ81-BJ157-BJ158-BJ159-BJ160-BJ161))</f>
        <v>463.75</v>
      </c>
      <c r="BK162" s="1083">
        <f t="shared" si="144"/>
        <v>78.641249999999999</v>
      </c>
      <c r="BL162" s="1083">
        <f t="shared" si="144"/>
        <v>293.3416666666667</v>
      </c>
      <c r="BM162" s="1083">
        <f t="shared" si="144"/>
        <v>5190.5791666666664</v>
      </c>
      <c r="BN162" s="1083">
        <f t="shared" si="144"/>
        <v>151.875</v>
      </c>
      <c r="BO162" s="1080">
        <f t="shared" si="144"/>
        <v>3901.293452380954</v>
      </c>
      <c r="BP162" s="1079"/>
      <c r="BQ162" s="1079">
        <f t="shared" si="139"/>
        <v>156.15625</v>
      </c>
      <c r="BR162" s="1079">
        <f>IF((BR142+BR143+BR144+BR145+BR146+BR147+BR115-BR81)&lt;0,0,(BR142+BR143+BR144+BR145+BR146+BR147+BR115-BR81-BR157-BR158-BR159-BR160-BR161))</f>
        <v>350</v>
      </c>
      <c r="BS162" s="1079">
        <f>IF((BS142+BS143+BS144+BS145+BS146+BS147+BS115-BS81)&lt;0,0,(BS142+BS143+BS144+BS145+BS146+BS147+BS115-BS81-BS157-BS158-BS159-BS160-BS161))</f>
        <v>56</v>
      </c>
      <c r="BT162" s="1079">
        <f t="shared" ref="BT162" si="145">IF((BT142+BT143+BT144+BT145+BT146+BT147+BT115-BT81)&lt;0,0,(BT142+BT143+BT144+BT145+BT146+BT147+BT115-BT81-BT157-BT158-BT159-BT160-BT161))</f>
        <v>115.10000000000008</v>
      </c>
      <c r="BU162" s="1080">
        <f t="shared" si="139"/>
        <v>500</v>
      </c>
      <c r="BV162" s="1090">
        <f t="shared" ref="BV162:DV162" si="146">IF((BV142+BV143+BV144+BV145+BV146+BV147+BV115-BV81)&lt;0,0,(BV142+BV143+BV144+BV145+BV146+BV147+BV115-BV81-BV157-BV158-BV159-BV160-BV161))</f>
        <v>886</v>
      </c>
      <c r="BW162" s="1079">
        <f t="shared" si="146"/>
        <v>1970.9437499999995</v>
      </c>
      <c r="BX162" s="1091">
        <f t="shared" si="146"/>
        <v>184.93214285714294</v>
      </c>
      <c r="BY162" s="1091"/>
      <c r="BZ162" s="1091">
        <f t="shared" si="146"/>
        <v>357.34178571428583</v>
      </c>
      <c r="CA162" s="1091">
        <f t="shared" si="146"/>
        <v>102.79500000000007</v>
      </c>
      <c r="CB162" s="1091">
        <f t="shared" si="146"/>
        <v>630.01250000000005</v>
      </c>
      <c r="CC162" s="1091">
        <f t="shared" si="146"/>
        <v>0</v>
      </c>
      <c r="CD162" s="1082">
        <f t="shared" si="146"/>
        <v>13313.8125</v>
      </c>
      <c r="CE162" s="1082">
        <f t="shared" si="146"/>
        <v>13671.485714285714</v>
      </c>
      <c r="CF162" s="1082">
        <f t="shared" si="146"/>
        <v>45.771428571428544</v>
      </c>
      <c r="CG162" s="1082">
        <f t="shared" si="146"/>
        <v>2426.3550000000005</v>
      </c>
      <c r="CH162" s="1082">
        <f t="shared" si="146"/>
        <v>912.75</v>
      </c>
      <c r="CI162" s="1082">
        <f>IF((CI142+CI143+CI144+CI145+CI146+CI147+CI115-CI81)&lt;0,0,(CI142+CI143+CI144+CI145+CI146+CI147+CI115-CI81-CI157-CI158-CI159-CI160-CI161))</f>
        <v>136.17142857142858</v>
      </c>
      <c r="CJ162" s="1082">
        <f>IF((CJ142+CJ143+CJ144+CJ145+CJ146+CJ147+CJ115-CJ81)&lt;0,0,(CJ142+CJ143+CJ144+CJ145+CJ146+CJ147+CJ115-CJ81-CJ157-CJ158-CJ159-CJ160-CJ161))</f>
        <v>179.77142857142857</v>
      </c>
      <c r="CK162" s="1082">
        <f>IF((CK142+CK143+CK144+CK145+CK146+CK147+CK115-CK81)&lt;0,0,(CK142+CK143+CK144+CK145+CK146+CK147+CK115-CK81-CK157-CK158-CK159-CK160-CK161))</f>
        <v>0</v>
      </c>
      <c r="CL162" s="1082">
        <f t="shared" ref="CL162:CN162" si="147">IF((CL142+CL143+CL144+CL145+CL146+CL147+CL115-CL81)&lt;0,0,(CL142+CL143+CL144+CL145+CL146+CL147+CL115-CL81-CL157-CL158-CL159-CL160-CL161))</f>
        <v>489.01428571428585</v>
      </c>
      <c r="CM162" s="1082">
        <f t="shared" si="147"/>
        <v>431.78</v>
      </c>
      <c r="CN162" s="1082">
        <f t="shared" si="147"/>
        <v>526.80499999999995</v>
      </c>
      <c r="CO162" s="1082">
        <f t="shared" si="146"/>
        <v>28.671428571428578</v>
      </c>
      <c r="CP162" s="1085">
        <f t="shared" si="146"/>
        <v>426.6875</v>
      </c>
      <c r="CQ162" s="1085">
        <f>IF((CQ142+CQ143+CQ144+CQ145+CQ146+CQ147+CQ115-CQ81)&lt;0,0,(CQ142+CQ143+CQ144+CQ145+CQ146+CQ147+CQ115-CQ81-CQ157-CQ158-CQ159-CQ160-CQ161))</f>
        <v>147.07142857142858</v>
      </c>
      <c r="CR162" s="1085">
        <f t="shared" si="146"/>
        <v>480.4375</v>
      </c>
      <c r="CS162" s="1085">
        <f>IF((CS142+CS143+CS144+CS145+CS146+CS147+CS115-CS81)&lt;0,0,(CS142+CS143+CS144+CS145+CS146+CS147+CS115-CS81-CS157-CS158-CS159-CS160-CS161))</f>
        <v>126.17142857142858</v>
      </c>
      <c r="CT162" s="1083">
        <f t="shared" si="146"/>
        <v>436.95000000000027</v>
      </c>
      <c r="CU162" s="1083">
        <f t="shared" si="146"/>
        <v>2089.3949999999995</v>
      </c>
      <c r="CV162" s="1083">
        <f t="shared" si="146"/>
        <v>113.84999999999998</v>
      </c>
      <c r="CW162" s="1083">
        <f t="shared" si="146"/>
        <v>1337.1791428571435</v>
      </c>
      <c r="CX162" s="1083">
        <f t="shared" si="146"/>
        <v>99.224999999999994</v>
      </c>
      <c r="CY162" s="1085">
        <f t="shared" si="146"/>
        <v>705.44124999999963</v>
      </c>
      <c r="CZ162" s="1080">
        <f t="shared" si="146"/>
        <v>510.97750000000002</v>
      </c>
      <c r="DA162" s="1087">
        <f t="shared" si="146"/>
        <v>1585.6968749999996</v>
      </c>
      <c r="DB162" s="1080">
        <f t="shared" si="146"/>
        <v>2529.6711309523807</v>
      </c>
      <c r="DC162" s="1079">
        <f t="shared" si="146"/>
        <v>5484.2124999999996</v>
      </c>
      <c r="DD162" s="1079">
        <f>IF((DD142+DD143+DD144+DD145+DD146+DD147+DD115-DD81)&lt;0,0,(DD142+DD143+DD144+DD145+DD146+DD147+DD115-DD81-DD157-DD158-DD159-DD160-DD161))</f>
        <v>1100</v>
      </c>
      <c r="DE162" s="1079">
        <f>IF((DE142+DE143+DE144+DE145+DE146+DE147+DE115-DE81)&lt;0,0,(DE142+DE143+DE144+DE145+DE146+DE147+DE115-DE81-DE157-DE158-DE159-DE160-DE161))</f>
        <v>51.371428571428567</v>
      </c>
      <c r="DF162" s="1080">
        <f t="shared" ref="DF162" si="148">IF((DF142+DF143+DF144+DF145+DF146+DF147+DF115-DF81)&lt;0,0,(DF142+DF143+DF144+DF145+DF146+DF147+DF115-DF81-DF157-DF158-DF159-DF160-DF161))</f>
        <v>1518</v>
      </c>
      <c r="DG162" s="1080">
        <f t="shared" si="146"/>
        <v>44.314285714285717</v>
      </c>
      <c r="DH162" s="1080">
        <f t="shared" si="146"/>
        <v>499.76250000000005</v>
      </c>
      <c r="DI162" s="1080">
        <f t="shared" si="146"/>
        <v>684.63749999999982</v>
      </c>
      <c r="DJ162" s="1087">
        <f t="shared" si="146"/>
        <v>0</v>
      </c>
      <c r="DK162" s="1080">
        <f t="shared" si="146"/>
        <v>0</v>
      </c>
      <c r="DL162" s="1080"/>
      <c r="DM162" s="1080"/>
      <c r="DN162" s="1080"/>
      <c r="DO162" s="1080">
        <f t="shared" ref="DO162" si="149">IF((DO142+DO143+DO144+DO145+DO146+DO147+DO115-DO81)&lt;0,0,(DO142+DO143+DO144+DO145+DO146+DO147+DO115-DO81-DO157-DO158-DO159-DO160-DO161))</f>
        <v>0</v>
      </c>
      <c r="DP162" s="1083">
        <f t="shared" si="146"/>
        <v>429.46428571428578</v>
      </c>
      <c r="DQ162" s="1079">
        <f t="shared" si="146"/>
        <v>0</v>
      </c>
      <c r="DR162" s="1092">
        <f t="shared" si="146"/>
        <v>0</v>
      </c>
      <c r="DS162" s="1092">
        <f t="shared" si="146"/>
        <v>0</v>
      </c>
      <c r="DT162" s="1079"/>
      <c r="DU162" s="1092">
        <f t="shared" ref="DU162" si="150">IF((DU142+DU143+DU144+DU145+DU146+DU147+DU115-DU81)&lt;0,0,(DU142+DU143+DU144+DU145+DU146+DU147+DU115-DU81-DU157-DU158-DU159-DU160-DU161))</f>
        <v>0</v>
      </c>
      <c r="DV162" s="1089">
        <f t="shared" si="146"/>
        <v>0</v>
      </c>
      <c r="DW162" s="1089">
        <f t="shared" si="78"/>
        <v>159057.94397619052</v>
      </c>
      <c r="DX162" s="1093" t="str">
        <f t="shared" ref="DX162:DX169" si="151">A162</f>
        <v>Заявка на Производство на ближайшие 04-10 дней, кг</v>
      </c>
      <c r="DY162" s="659"/>
    </row>
    <row r="163" spans="1:129" ht="14.1" customHeight="1">
      <c r="A163" s="1078" t="s">
        <v>667</v>
      </c>
      <c r="B163" s="1079">
        <f t="shared" ref="B163:BU163" si="152">IF((B142+B143+B144+B145+B146+B147+B148+B115-B81)&lt;0,0,(B142+B143+B144+B145+B146+B147+B148+B115-B81-B157-B158-B159-B160-B161-B162))</f>
        <v>2746.3450000000012</v>
      </c>
      <c r="C163" s="1080">
        <f t="shared" si="152"/>
        <v>203.67499999999998</v>
      </c>
      <c r="D163" s="1080">
        <f t="shared" si="152"/>
        <v>2165.6574999999998</v>
      </c>
      <c r="E163" s="1080">
        <f t="shared" si="152"/>
        <v>270</v>
      </c>
      <c r="F163" s="1080">
        <f t="shared" si="152"/>
        <v>3720.6285714285709</v>
      </c>
      <c r="G163" s="1080">
        <f t="shared" si="152"/>
        <v>114</v>
      </c>
      <c r="H163" s="1080">
        <f>IF((H142+H143+H144+H145+H146+H147+H148+H115-H81)&lt;0,0,(H142+H143+H144+H145+H146+H147+H148+H115-H81-H157-H158-H159-H160-H161-H162))</f>
        <v>499.99999999999994</v>
      </c>
      <c r="I163" s="1079">
        <f t="shared" si="152"/>
        <v>660.05250000000012</v>
      </c>
      <c r="J163" s="1080">
        <f t="shared" si="152"/>
        <v>1287.6106666666658</v>
      </c>
      <c r="K163" s="1080">
        <f t="shared" si="152"/>
        <v>254.35000000000002</v>
      </c>
      <c r="L163" s="1080">
        <f t="shared" si="152"/>
        <v>568.703125</v>
      </c>
      <c r="M163" s="1080">
        <f t="shared" si="152"/>
        <v>0</v>
      </c>
      <c r="N163" s="1081">
        <f t="shared" si="152"/>
        <v>1643.1825000000008</v>
      </c>
      <c r="O163" s="1081">
        <f t="shared" si="152"/>
        <v>331.75124999999986</v>
      </c>
      <c r="P163" s="1082">
        <f t="shared" si="152"/>
        <v>566.84000000000037</v>
      </c>
      <c r="Q163" s="1083">
        <f t="shared" si="152"/>
        <v>1400</v>
      </c>
      <c r="R163" s="1083">
        <f t="shared" si="152"/>
        <v>1022.2800000000003</v>
      </c>
      <c r="S163" s="1079">
        <f t="shared" si="152"/>
        <v>13947.19166666668</v>
      </c>
      <c r="T163" s="1084">
        <f t="shared" si="152"/>
        <v>477.84910714285712</v>
      </c>
      <c r="U163" s="1083">
        <f t="shared" si="152"/>
        <v>1950.7650000000015</v>
      </c>
      <c r="V163" s="1083">
        <f>IF((V142+V143+V144+V145+V146+V147+V148+V115-V81)&lt;0,0,(V142+V143+V144+V145+V146+V147+V148+V115-V81-V157-V158-V159-V160-V161-V162))</f>
        <v>1161.3300000000004</v>
      </c>
      <c r="W163" s="1083">
        <f>IF((W142+W143+W144+W145+W146+W147+W148+W115-W81)&lt;0,0,(W142+W143+W144+W145+W146+W147+W148+W115-W81-W157-W158-W159-W160-W161-W162))</f>
        <v>69.999999999999972</v>
      </c>
      <c r="X163" s="1083">
        <f>IF((X142+X143+X144+X145+X146+X147+X148+X115-X81)&lt;0,0,(X142+X143+X144+X145+X146+X147+X148+X115-X81-X157-X158-X159-X160-X161-X162))</f>
        <v>298.94999999999993</v>
      </c>
      <c r="Y163" s="1085">
        <f t="shared" ref="Y163:AD163" si="153">IF((Y142+Y143+Y144+Y145+Y146+Y147+Y148+Y115-Y81)&lt;0,0,(Y142+Y143+Y144+Y145+Y146+Y147+Y148+Y115-Y81-Y157-Y158-Y159-Y160-Y161-Y162))</f>
        <v>1611.318749999999</v>
      </c>
      <c r="Z163" s="1079">
        <f t="shared" si="153"/>
        <v>203.12999999999988</v>
      </c>
      <c r="AA163" s="1085">
        <f t="shared" si="153"/>
        <v>2414.4106666666694</v>
      </c>
      <c r="AB163" s="1083">
        <f t="shared" si="153"/>
        <v>589.59999999999945</v>
      </c>
      <c r="AC163" s="1083">
        <f t="shared" si="153"/>
        <v>167.04000000000002</v>
      </c>
      <c r="AD163" s="1083">
        <f t="shared" si="153"/>
        <v>1707.15</v>
      </c>
      <c r="AE163" s="1083">
        <f>IF((AE142+AE143+AE144+AE145+AE146+AE147+AE148+AE115-AE81)&lt;0,0,(AE142+AE143+AE144+AE145+AE146+AE147+AE148+AE115-AE81-AE157-AE158-AE159-AE160-AE161-AE162))</f>
        <v>150</v>
      </c>
      <c r="AF163" s="1083">
        <f>IF((AF142+AF143+AF144+AF145+AF146+AF147+AF148+AF115-AF81)&lt;0,0,(AF142+AF143+AF144+AF145+AF146+AF147+AF148+AF115-AF81-AF157-AF158-AF159-AF160-AF161-AF162))</f>
        <v>500</v>
      </c>
      <c r="AG163" s="1080">
        <f t="shared" ref="AG163:AI163" si="154">IF((AG142+AG143+AG144+AG145+AG146+AG147+AG148+AG115-AG81)&lt;0,0,(AG142+AG143+AG144+AG145+AG146+AG147+AG148+AG115-AG81-AG157-AG158-AG159-AG160-AG161-AG162))</f>
        <v>1304.9626666666668</v>
      </c>
      <c r="AH163" s="1080">
        <f t="shared" si="154"/>
        <v>187.02600000000007</v>
      </c>
      <c r="AI163" s="1080">
        <f t="shared" si="154"/>
        <v>4525.0499999999993</v>
      </c>
      <c r="AJ163" s="1080">
        <f>IF((AJ142+AJ143+AJ144+AJ145+AJ146+AJ147+AJ148+AJ115-AJ81)&lt;0,0,(AJ142+AJ143+AJ144+AJ145+AJ146+AJ147+AJ148+AJ115-AJ81-AJ157-AJ158-AJ159-AJ160-AJ161-AJ162))</f>
        <v>0</v>
      </c>
      <c r="AK163" s="1080">
        <f>IF((AK142+AK143+AK144+AK145+AK146+AK147+AK148+AK115-AK81)&lt;0,0,(AK142+AK143+AK144+AK145+AK146+AK147+AK148+AK115-AK81-AK157-AK158-AK159-AK160-AK161-AK162))</f>
        <v>1915.1999999999998</v>
      </c>
      <c r="AL163" s="1080">
        <f t="shared" ref="AL163:AO163" si="155">IF((AL142+AL143+AL144+AL145+AL146+AL147+AL148+AL115-AL81)&lt;0,0,(AL142+AL143+AL144+AL145+AL146+AL147+AL148+AL115-AL81-AL157-AL158-AL159-AL160-AL161-AL162))</f>
        <v>638.59500000000003</v>
      </c>
      <c r="AM163" s="1086">
        <f t="shared" si="155"/>
        <v>8579.8957142857107</v>
      </c>
      <c r="AN163" s="1086">
        <f t="shared" si="155"/>
        <v>178.2</v>
      </c>
      <c r="AO163" s="1086">
        <f t="shared" si="155"/>
        <v>2353.5</v>
      </c>
      <c r="AP163" s="1086">
        <f t="shared" si="152"/>
        <v>55.949999999999982</v>
      </c>
      <c r="AQ163" s="1083">
        <f t="shared" si="152"/>
        <v>1177.1750000000002</v>
      </c>
      <c r="AR163" s="1087">
        <f t="shared" si="152"/>
        <v>91.20828571428558</v>
      </c>
      <c r="AS163" s="1087">
        <f t="shared" si="152"/>
        <v>94.813749999999999</v>
      </c>
      <c r="AT163" s="1087">
        <f t="shared" si="152"/>
        <v>104.26500000000001</v>
      </c>
      <c r="AU163" s="1087">
        <f t="shared" si="152"/>
        <v>36.721249999999998</v>
      </c>
      <c r="AV163" s="1087">
        <f t="shared" si="152"/>
        <v>0</v>
      </c>
      <c r="AW163" s="1088">
        <f t="shared" si="152"/>
        <v>0</v>
      </c>
      <c r="AX163" s="1089">
        <f t="shared" si="152"/>
        <v>0</v>
      </c>
      <c r="AY163" s="1083">
        <f t="shared" si="152"/>
        <v>2203.654</v>
      </c>
      <c r="AZ163" s="1080">
        <f t="shared" si="152"/>
        <v>356.87</v>
      </c>
      <c r="BA163" s="1080">
        <f t="shared" si="152"/>
        <v>670.78125</v>
      </c>
      <c r="BB163" s="1080">
        <f t="shared" si="152"/>
        <v>2719.9386904761914</v>
      </c>
      <c r="BC163" s="1080">
        <f t="shared" si="152"/>
        <v>420</v>
      </c>
      <c r="BD163" s="1080">
        <f t="shared" si="152"/>
        <v>800</v>
      </c>
      <c r="BE163" s="1083">
        <f t="shared" si="152"/>
        <v>211.3125</v>
      </c>
      <c r="BF163" s="1083">
        <f>IF((BF142+BF143+BF144+BF145+BF146+BF147+BF148+BF115-BF81)&lt;0,0,(BF142+BF143+BF144+BF145+BF146+BF147+BF148+BF115-BF81-BF157-BF158-BF159-BF160-BF161-BF162))</f>
        <v>252.90000000000003</v>
      </c>
      <c r="BG163" s="1083">
        <f t="shared" ref="BG163" si="156">IF((BG142+BG143+BG144+BG145+BG146+BG147+BG148+BG115-BG81)&lt;0,0,(BG142+BG143+BG144+BG145+BG146+BG147+BG148+BG115-BG81-BG157-BG158-BG159-BG160-BG161-BG162))</f>
        <v>258</v>
      </c>
      <c r="BH163" s="1083">
        <f>IF((BH142+BH143+BH144+BH145+BH146+BH147+BH148+BH115-BH81)&lt;0,0,(BH142+BH143+BH144+BH145+BH146+BH147+BH148+BH115-BH81-BH157-BH158-BH159-BH160-BH161-BH162))</f>
        <v>300</v>
      </c>
      <c r="BI163" s="1083">
        <f>IF((BI142+BI143+BI144+BI145+BI146+BI147+BI148+BI115-BI81)&lt;0,0,(BI142+BI143+BI144+BI145+BI146+BI147+BI148+BI115-BI81-BI157-BI158-BI159-BI160-BI161-BI162))</f>
        <v>170</v>
      </c>
      <c r="BJ163" s="1083">
        <f t="shared" ref="BJ163:BO163" si="157">IF((BJ142+BJ143+BJ144+BJ145+BJ146+BJ147+BJ148+BJ115-BJ81)&lt;0,0,(BJ142+BJ143+BJ144+BJ145+BJ146+BJ147+BJ148+BJ115-BJ81-BJ157-BJ158-BJ159-BJ160-BJ161-BJ162))</f>
        <v>861.75</v>
      </c>
      <c r="BK163" s="1083">
        <f t="shared" si="157"/>
        <v>78.641249999999999</v>
      </c>
      <c r="BL163" s="1083">
        <f t="shared" si="157"/>
        <v>414.74166666666656</v>
      </c>
      <c r="BM163" s="1083">
        <f t="shared" si="157"/>
        <v>4613.7124999999996</v>
      </c>
      <c r="BN163" s="1083">
        <f t="shared" si="157"/>
        <v>313.625</v>
      </c>
      <c r="BO163" s="1080">
        <f t="shared" si="157"/>
        <v>4978.5184523809512</v>
      </c>
      <c r="BP163" s="1079"/>
      <c r="BQ163" s="1079">
        <f t="shared" si="152"/>
        <v>175.65625</v>
      </c>
      <c r="BR163" s="1079">
        <f>IF((BR142+BR143+BR144+BR145+BR146+BR147+BR148+BR115-BR81)&lt;0,0,(BR142+BR143+BR144+BR145+BR146+BR147+BR148+BR115-BR81-BR157-BR158-BR159-BR160-BR161-BR162))</f>
        <v>350</v>
      </c>
      <c r="BS163" s="1079">
        <f>IF((BS142+BS143+BS144+BS145+BS146+BS147+BS148+BS115-BS81)&lt;0,0,(BS142+BS143+BS144+BS145+BS146+BS147+BS148+BS115-BS81-BS157-BS158-BS159-BS160-BS161-BS162))</f>
        <v>170</v>
      </c>
      <c r="BT163" s="1079">
        <f t="shared" ref="BT163" si="158">IF((BT142+BT143+BT144+BT145+BT146+BT147+BT148+BT115-BT81)&lt;0,0,(BT142+BT143+BT144+BT145+BT146+BT147+BT148+BT115-BT81-BT157-BT158-BT159-BT160-BT161-BT162))</f>
        <v>475.90000000000015</v>
      </c>
      <c r="BU163" s="1080">
        <f t="shared" si="152"/>
        <v>500</v>
      </c>
      <c r="BV163" s="1090">
        <f t="shared" ref="BV163:DV163" si="159">IF((BV142+BV143+BV144+BV145+BV146+BV147+BV148+BV115-BV81)&lt;0,0,(BV142+BV143+BV144+BV145+BV146+BV147+BV148+BV115-BV81-BV157-BV158-BV159-BV160-BV161-BV162))</f>
        <v>1000</v>
      </c>
      <c r="BW163" s="1079">
        <f t="shared" si="159"/>
        <v>2181.8187500000004</v>
      </c>
      <c r="BX163" s="1091">
        <f t="shared" si="159"/>
        <v>234.07499999999993</v>
      </c>
      <c r="BY163" s="1091"/>
      <c r="BZ163" s="1091">
        <f t="shared" si="159"/>
        <v>357.34178571428572</v>
      </c>
      <c r="CA163" s="1091">
        <f>IF((CA142+CA143+CA144+CA145+CA146+CA147+CA148+CA115-CA81)&lt;0,0,(CA142+CA143+CA144+CA145+CA146+CA147+CA148+CA115-CA81-CA157-CA158-CA159-CA160-CA161-CA162))</f>
        <v>102.79500000000007</v>
      </c>
      <c r="CB163" s="1091">
        <f t="shared" ref="CB163:CC163" si="160">IF((CB142+CB143+CB144+CB145+CB146+CB147+CB148+CB115-CB81)&lt;0,0,(CB142+CB143+CB144+CB145+CB146+CB147+CB148+CB115-CB81-CB157-CB158-CB159-CB160-CB161-CB162))</f>
        <v>176.73750000000007</v>
      </c>
      <c r="CC163" s="1091">
        <f t="shared" si="160"/>
        <v>0</v>
      </c>
      <c r="CD163" s="1082">
        <f t="shared" si="159"/>
        <v>13463.8125</v>
      </c>
      <c r="CE163" s="1082">
        <f t="shared" si="159"/>
        <v>6059.5982142857101</v>
      </c>
      <c r="CF163" s="1082">
        <f t="shared" si="159"/>
        <v>258</v>
      </c>
      <c r="CG163" s="1082">
        <f t="shared" si="159"/>
        <v>2426.3549999999987</v>
      </c>
      <c r="CH163" s="1082">
        <f t="shared" si="159"/>
        <v>912.75</v>
      </c>
      <c r="CI163" s="1082">
        <f>IF((CI142+CI143+CI144+CI145+CI146+CI147+CI148+CI115-CI81)&lt;0,0,(CI142+CI143+CI144+CI145+CI146+CI147+CI148+CI115-CI81-CI157-CI158-CI159-CI160-CI161-CI162))</f>
        <v>250</v>
      </c>
      <c r="CJ163" s="1082">
        <f>IF((CJ142+CJ143+CJ144+CJ145+CJ146+CJ147+CJ148+CJ115-CJ81)&lt;0,0,(CJ142+CJ143+CJ144+CJ145+CJ146+CJ147+CJ148+CJ115-CJ81-CJ157-CJ158-CJ159-CJ160-CJ161-CJ162))</f>
        <v>200.00000000000003</v>
      </c>
      <c r="CK163" s="1082">
        <f t="shared" ref="CK163:CN163" si="161">IF((CK142+CK143+CK144+CK145+CK146+CK147+CK148+CK115-CK81)&lt;0,0,(CK142+CK143+CK144+CK145+CK146+CK147+CK148+CK115-CK81-CK157-CK158-CK159-CK160-CK161-CK162))</f>
        <v>45.771428571428601</v>
      </c>
      <c r="CL163" s="1082">
        <f t="shared" si="161"/>
        <v>370.36428571428576</v>
      </c>
      <c r="CM163" s="1082">
        <f t="shared" si="161"/>
        <v>431.78000000000031</v>
      </c>
      <c r="CN163" s="1082">
        <f t="shared" si="161"/>
        <v>1276.8049999999998</v>
      </c>
      <c r="CO163" s="1082">
        <f t="shared" si="159"/>
        <v>57.599999999999966</v>
      </c>
      <c r="CP163" s="1085">
        <f t="shared" si="159"/>
        <v>426.6875</v>
      </c>
      <c r="CQ163" s="1085">
        <f>IF((CQ142+CQ143+CQ144+CQ145+CQ146+CQ147+CQ148+CQ115-CQ81)&lt;0,0,(CQ142+CQ143+CQ144+CQ145+CQ146+CQ147+CQ148+CQ115-CQ81-CQ157-CQ158-CQ159-CQ160-CQ161-CQ162))</f>
        <v>149.99999999999997</v>
      </c>
      <c r="CR163" s="1085">
        <f t="shared" si="159"/>
        <v>480.4375</v>
      </c>
      <c r="CS163" s="1085">
        <f>IF((CS142+CS143+CS144+CS145+CS146+CS147+CS148+CS115-CS81)&lt;0,0,(CS142+CS143+CS144+CS145+CS146+CS147+CS148+CS115-CS81-CS157-CS158-CS159-CS160-CS161-CS162))</f>
        <v>150</v>
      </c>
      <c r="CT163" s="1083">
        <f t="shared" si="159"/>
        <v>586.95000000000005</v>
      </c>
      <c r="CU163" s="1083">
        <f t="shared" si="159"/>
        <v>2089.3950000000004</v>
      </c>
      <c r="CV163" s="1083">
        <f t="shared" si="159"/>
        <v>113.85000000000001</v>
      </c>
      <c r="CW163" s="1083">
        <f t="shared" si="159"/>
        <v>1025.3319999999992</v>
      </c>
      <c r="CX163" s="1083">
        <f t="shared" si="159"/>
        <v>99.225000000000023</v>
      </c>
      <c r="CY163" s="1085">
        <f t="shared" si="159"/>
        <v>1695.2862499999994</v>
      </c>
      <c r="CZ163" s="1080">
        <f t="shared" si="159"/>
        <v>298.10249999999991</v>
      </c>
      <c r="DA163" s="1087">
        <f t="shared" si="159"/>
        <v>1633.1968749999996</v>
      </c>
      <c r="DB163" s="1080">
        <f t="shared" si="159"/>
        <v>3233.4461309523804</v>
      </c>
      <c r="DC163" s="1079">
        <f t="shared" si="159"/>
        <v>5484.2124999999996</v>
      </c>
      <c r="DD163" s="1079">
        <f>IF((DD142+DD143+DD144+DD145+DD146+DD147+DD148+DD115-DD81)&lt;0,0,(DD142+DD143+DD144+DD145+DD146+DD147+DD148+DD115-DD81-DD157-DD158-DD159-DD160-DD161-DD162))</f>
        <v>1100</v>
      </c>
      <c r="DE163" s="1079">
        <f>IF((DE142+DE143+DE144+DE145+DE146+DE147+DE148+DE115-DE81)&lt;0,0,(DE142+DE143+DE144+DE145+DE146+DE147+DE148+DE115-DE81-DE157-DE158-DE159-DE160-DE161-DE162))</f>
        <v>230</v>
      </c>
      <c r="DF163" s="1080">
        <f t="shared" ref="DF163" si="162">IF((DF142+DF143+DF144+DF145+DF146+DF147+DF148+DF115-DF81)&lt;0,0,(DF142+DF143+DF144+DF145+DF146+DF147+DF148+DF115-DF81-DF157-DF158-DF159-DF160-DF161-DF162))</f>
        <v>1518</v>
      </c>
      <c r="DG163" s="1080">
        <f t="shared" si="159"/>
        <v>47.099999999999994</v>
      </c>
      <c r="DH163" s="1080">
        <f t="shared" si="159"/>
        <v>499.76250000000005</v>
      </c>
      <c r="DI163" s="1080">
        <f t="shared" si="159"/>
        <v>597.9375</v>
      </c>
      <c r="DJ163" s="1087">
        <f t="shared" si="159"/>
        <v>0</v>
      </c>
      <c r="DK163" s="1080">
        <f t="shared" si="159"/>
        <v>1031.5</v>
      </c>
      <c r="DL163" s="1080"/>
      <c r="DM163" s="1080"/>
      <c r="DN163" s="1080"/>
      <c r="DO163" s="1080">
        <f t="shared" ref="DO163" si="163">IF((DO142+DO143+DO144+DO145+DO146+DO147+DO148+DO115-DO81)&lt;0,0,(DO142+DO143+DO144+DO145+DO146+DO147+DO148+DO115-DO81-DO157-DO158-DO159-DO160-DO161-DO162))</f>
        <v>71.880952380952408</v>
      </c>
      <c r="DP163" s="1083">
        <f t="shared" si="159"/>
        <v>909.75</v>
      </c>
      <c r="DQ163" s="1079">
        <f t="shared" si="159"/>
        <v>0</v>
      </c>
      <c r="DR163" s="1092">
        <f t="shared" si="159"/>
        <v>0</v>
      </c>
      <c r="DS163" s="1092">
        <f t="shared" si="159"/>
        <v>0</v>
      </c>
      <c r="DT163" s="1079"/>
      <c r="DU163" s="1092">
        <f t="shared" ref="DU163" si="164">IF((DU142+DU143+DU144+DU145+DU146+DU147+DU148+DU115-DU81)&lt;0,0,(DU142+DU143+DU144+DU145+DU146+DU147+DU148+DU115-DU81-DU157-DU158-DU159-DU160-DU161-DU162))</f>
        <v>0</v>
      </c>
      <c r="DV163" s="1089">
        <f t="shared" si="159"/>
        <v>0</v>
      </c>
      <c r="DW163" s="1089">
        <f t="shared" si="78"/>
        <v>138520.03220238094</v>
      </c>
      <c r="DX163" s="1093" t="str">
        <f t="shared" si="151"/>
        <v>Заявка на Производство на ближайшие 11-17 дней, кг</v>
      </c>
      <c r="DY163" s="659"/>
    </row>
    <row r="164" spans="1:129" ht="14.1" customHeight="1">
      <c r="A164" s="1078" t="s">
        <v>668</v>
      </c>
      <c r="B164" s="1079">
        <f t="shared" ref="B164:BU164" si="165">IF((B142+B143+B144+B145+B146+B147+B148+B149+B115-B81)&lt;0,0,(B142+B143+B144+B145+B146+B147+B149+B148+B115-B81-B157-B158-B159-B160-B161-B162-B163))</f>
        <v>2746.3450000000003</v>
      </c>
      <c r="C164" s="1080">
        <f t="shared" si="165"/>
        <v>203.67500000000004</v>
      </c>
      <c r="D164" s="1080">
        <f t="shared" si="165"/>
        <v>2165.6575000000007</v>
      </c>
      <c r="E164" s="1080">
        <f t="shared" si="165"/>
        <v>270</v>
      </c>
      <c r="F164" s="1080">
        <f t="shared" si="165"/>
        <v>3720.6285714285718</v>
      </c>
      <c r="G164" s="1080">
        <f t="shared" si="165"/>
        <v>114</v>
      </c>
      <c r="H164" s="1080">
        <f>IF((H142+H143+H144+H145+H146+H147+H148+H149+H115-H81)&lt;0,0,(H142+H143+H144+H145+H146+H147+H149+H148+H115-H81-H157-H158-H159-H160-H161-H162-H163))</f>
        <v>500.00000000000006</v>
      </c>
      <c r="I164" s="1079">
        <f t="shared" si="165"/>
        <v>660.05250000000035</v>
      </c>
      <c r="J164" s="1080">
        <f t="shared" si="165"/>
        <v>1387.6106666666662</v>
      </c>
      <c r="K164" s="1080">
        <f t="shared" si="165"/>
        <v>254.35000000000002</v>
      </c>
      <c r="L164" s="1080">
        <f t="shared" si="165"/>
        <v>568.703125</v>
      </c>
      <c r="M164" s="1080">
        <f t="shared" si="165"/>
        <v>0</v>
      </c>
      <c r="N164" s="1081">
        <f t="shared" si="165"/>
        <v>1643.1824999999999</v>
      </c>
      <c r="O164" s="1081">
        <f t="shared" si="165"/>
        <v>331.75124999999997</v>
      </c>
      <c r="P164" s="1082">
        <f t="shared" si="165"/>
        <v>566.84000000000015</v>
      </c>
      <c r="Q164" s="1083">
        <f t="shared" si="165"/>
        <v>767.76000000000022</v>
      </c>
      <c r="R164" s="1083">
        <f t="shared" si="165"/>
        <v>1022.2800000000001</v>
      </c>
      <c r="S164" s="1079">
        <f t="shared" si="165"/>
        <v>19849.591666666674</v>
      </c>
      <c r="T164" s="1084">
        <f t="shared" si="165"/>
        <v>477.84910714285701</v>
      </c>
      <c r="U164" s="1083">
        <f t="shared" si="165"/>
        <v>1950.7650000000001</v>
      </c>
      <c r="V164" s="1083">
        <f>IF((V142+V143+V144+V145+V146+V147+V148+V149+V115-V81)&lt;0,0,(V142+V143+V144+V145+V146+V147+V149+V148+V115-V81-V157-V158-V159-V160-V161-V162-V163))</f>
        <v>1161.3299999999995</v>
      </c>
      <c r="W164" s="1083">
        <f>IF((W142+W143+W144+W145+W146+W147+W148+W149+W115-W81)&lt;0,0,(W142+W143+W144+W145+W146+W147+W149+W148+W115-W81-W157-W158-W159-W160-W161-W162-W163))</f>
        <v>70</v>
      </c>
      <c r="X164" s="1083">
        <f>IF((X142+X143+X144+X145+X146+X147+X148+X149+X115-X81)&lt;0,0,(X142+X143+X144+X145+X146+X147+X149+X148+X115-X81-X157-X158-X159-X160-X161-X162-X163))</f>
        <v>298.94999999999993</v>
      </c>
      <c r="Y164" s="1085">
        <f t="shared" ref="Y164:AD164" si="166">IF((Y142+Y143+Y144+Y145+Y146+Y147+Y148+Y149+Y115-Y81)&lt;0,0,(Y142+Y143+Y144+Y145+Y146+Y147+Y149+Y148+Y115-Y81-Y157-Y158-Y159-Y160-Y161-Y162-Y163))</f>
        <v>2442.4537500000006</v>
      </c>
      <c r="Z164" s="1083">
        <f t="shared" si="166"/>
        <v>203.12999999999988</v>
      </c>
      <c r="AA164" s="1085">
        <f t="shared" si="166"/>
        <v>2414.0773333333327</v>
      </c>
      <c r="AB164" s="1083">
        <f t="shared" si="166"/>
        <v>589.59999999999991</v>
      </c>
      <c r="AC164" s="1083">
        <f t="shared" si="166"/>
        <v>167.03999999999996</v>
      </c>
      <c r="AD164" s="1083">
        <f t="shared" si="166"/>
        <v>1707.15</v>
      </c>
      <c r="AE164" s="1083">
        <f>IF((AE142+AE143+AE144+AE145+AE146+AE147+AE148+AE149+AE115-AE81)&lt;0,0,(AE142+AE143+AE144+AE145+AE146+AE147+AE149+AE148+AE115-AE81-AE157-AE158-AE159-AE160-AE161-AE162-AE163))</f>
        <v>150</v>
      </c>
      <c r="AF164" s="1083">
        <f>IF((AF142+AF143+AF144+AF145+AF146+AF147+AF148+AF149+AF115-AF81)&lt;0,0,(AF142+AF143+AF144+AF145+AF146+AF147+AF149+AF148+AF115-AF81-AF157-AF158-AF159-AF160-AF161-AF162-AF163))</f>
        <v>500</v>
      </c>
      <c r="AG164" s="1080">
        <f t="shared" ref="AG164:AI164" si="167">IF((AG142+AG143+AG144+AG145+AG146+AG147+AG148+AG149+AG115-AG81)&lt;0,0,(AG142+AG143+AG144+AG145+AG146+AG147+AG149+AG148+AG115-AG81-AG157-AG158-AG159-AG160-AG161-AG162-AG163))</f>
        <v>1304.9626666666672</v>
      </c>
      <c r="AH164" s="1080">
        <f t="shared" si="167"/>
        <v>337.02600000000007</v>
      </c>
      <c r="AI164" s="1080">
        <f t="shared" si="167"/>
        <v>4525.0499999999993</v>
      </c>
      <c r="AJ164" s="1080">
        <f>IF((AJ142+AJ143+AJ144+AJ145+AJ146+AJ147+AJ148+AJ149+AJ115-AJ81)&lt;0,0,(AJ142+AJ143+AJ144+AJ145+AJ146+AJ147+AJ149+AJ148+AJ115-AJ81-AJ157-AJ158-AJ159-AJ160-AJ161-AJ162-AJ163))</f>
        <v>0</v>
      </c>
      <c r="AK164" s="1080">
        <f>IF((AK142+AK143+AK144+AK145+AK146+AK147+AK148+AK149+AK115-AK81)&lt;0,0,(AK142+AK143+AK144+AK145+AK146+AK147+AK149+AK148+AK115-AK81-AK157-AK158-AK159-AK160-AK161-AK162-AK163))</f>
        <v>1915.2000000000003</v>
      </c>
      <c r="AL164" s="1080">
        <f t="shared" ref="AL164:AO164" si="168">IF((AL142+AL143+AL144+AL145+AL146+AL147+AL148+AL149+AL115-AL81)&lt;0,0,(AL142+AL143+AL144+AL145+AL146+AL147+AL149+AL148+AL115-AL81-AL157-AL158-AL159-AL160-AL161-AL162-AL163))</f>
        <v>638.59500000000025</v>
      </c>
      <c r="AM164" s="1086">
        <f t="shared" si="168"/>
        <v>4781.4957142857202</v>
      </c>
      <c r="AN164" s="1086">
        <f t="shared" si="168"/>
        <v>178.19999999999993</v>
      </c>
      <c r="AO164" s="1086">
        <f t="shared" si="168"/>
        <v>2353.5</v>
      </c>
      <c r="AP164" s="1086">
        <f t="shared" si="165"/>
        <v>55.950000000000024</v>
      </c>
      <c r="AQ164" s="1083">
        <f t="shared" si="165"/>
        <v>1177.1750000000011</v>
      </c>
      <c r="AR164" s="1087">
        <f t="shared" si="165"/>
        <v>292.09700000000009</v>
      </c>
      <c r="AS164" s="1087">
        <f t="shared" si="165"/>
        <v>94.813750000000027</v>
      </c>
      <c r="AT164" s="1087">
        <f t="shared" si="165"/>
        <v>104.26499999999996</v>
      </c>
      <c r="AU164" s="1087">
        <f t="shared" si="165"/>
        <v>36.721250000000012</v>
      </c>
      <c r="AV164" s="1087">
        <f t="shared" si="165"/>
        <v>0</v>
      </c>
      <c r="AW164" s="1088">
        <f t="shared" si="165"/>
        <v>0</v>
      </c>
      <c r="AX164" s="1089">
        <f t="shared" si="165"/>
        <v>0</v>
      </c>
      <c r="AY164" s="1083">
        <f t="shared" si="165"/>
        <v>4677.8206666666665</v>
      </c>
      <c r="AZ164" s="1080">
        <f t="shared" si="165"/>
        <v>356.87000000000012</v>
      </c>
      <c r="BA164" s="1080">
        <f t="shared" si="165"/>
        <v>670.78125</v>
      </c>
      <c r="BB164" s="1080">
        <f t="shared" si="165"/>
        <v>2719.9386904761905</v>
      </c>
      <c r="BC164" s="1083">
        <f t="shared" si="165"/>
        <v>420</v>
      </c>
      <c r="BD164" s="1080">
        <f t="shared" si="165"/>
        <v>800</v>
      </c>
      <c r="BE164" s="1083">
        <f t="shared" si="165"/>
        <v>211.3125</v>
      </c>
      <c r="BF164" s="1083">
        <f>IF((BF142+BF143+BF144+BF145+BF146+BF147+BF148+BF149+BF115-BF81)&lt;0,0,(BF142+BF143+BF144+BF145+BF146+BF147+BF149+BF148+BF115-BF81-BF157-BF158-BF159-BF160-BF161-BF162-BF163))</f>
        <v>252.90000000000003</v>
      </c>
      <c r="BG164" s="1083">
        <f t="shared" ref="BG164" si="169">IF((BG142+BG143+BG144+BG145+BG146+BG147+BG148+BG149+BG115-BG81)&lt;0,0,(BG142+BG143+BG144+BG145+BG146+BG147+BG149+BG148+BG115-BG81-BG157-BG158-BG159-BG160-BG161-BG162-BG163))</f>
        <v>274.19999999999993</v>
      </c>
      <c r="BH164" s="1083">
        <f>IF((BH142+BH143+BH144+BH145+BH146+BH147+BH148+BH149+BH115-BH81)&lt;0,0,(BH142+BH143+BH144+BH145+BH146+BH147+BH149+BH148+BH115-BH81-BH157-BH158-BH159-BH160-BH161-BH162-BH163))</f>
        <v>300</v>
      </c>
      <c r="BI164" s="1083">
        <f>IF((BI142+BI143+BI144+BI145+BI146+BI147+BI148+BI149+BI115-BI81)&lt;0,0,(BI142+BI143+BI144+BI145+BI146+BI147+BI149+BI148+BI115-BI81-BI157-BI158-BI159-BI160-BI161-BI162-BI163))</f>
        <v>170</v>
      </c>
      <c r="BJ164" s="1083">
        <f t="shared" ref="BJ164:BO164" si="170">IF((BJ142+BJ143+BJ144+BJ145+BJ146+BJ147+BJ148+BJ149+BJ115-BJ81)&lt;0,0,(BJ142+BJ143+BJ144+BJ145+BJ146+BJ147+BJ149+BJ148+BJ115-BJ81-BJ157-BJ158-BJ159-BJ160-BJ161-BJ162-BJ163))</f>
        <v>861.75</v>
      </c>
      <c r="BK164" s="1083">
        <f t="shared" si="170"/>
        <v>78.641249999999971</v>
      </c>
      <c r="BL164" s="1083">
        <f t="shared" si="170"/>
        <v>414.74166666666679</v>
      </c>
      <c r="BM164" s="1083">
        <f t="shared" si="170"/>
        <v>3113.7124999999996</v>
      </c>
      <c r="BN164" s="1083">
        <f t="shared" si="170"/>
        <v>313.625</v>
      </c>
      <c r="BO164" s="1080">
        <f t="shared" si="170"/>
        <v>5727.9184523809508</v>
      </c>
      <c r="BP164" s="1079"/>
      <c r="BQ164" s="1079">
        <f t="shared" si="165"/>
        <v>175.65625</v>
      </c>
      <c r="BR164" s="1079">
        <f>IF((BR142+BR143+BR144+BR145+BR146+BR147+BR148+BR149+BR115-BR81)&lt;0,0,(BR142+BR143+BR144+BR145+BR146+BR147+BR149+BR148+BR115-BR81-BR157-BR158-BR159-BR160-BR161-BR162-BR163))</f>
        <v>350</v>
      </c>
      <c r="BS164" s="1079">
        <f>IF((BS142+BS143+BS144+BS145+BS146+BS147+BS148+BS149+BS115-BS81)&lt;0,0,(BS142+BS143+BS144+BS145+BS146+BS147+BS149+BS148+BS115-BS81-BS157-BS158-BS159-BS160-BS161-BS162-BS163))</f>
        <v>170</v>
      </c>
      <c r="BT164" s="1079">
        <f t="shared" ref="BT164" si="171">IF((BT142+BT143+BT144+BT145+BT146+BT147+BT148+BT149+BT115-BT81)&lt;0,0,(BT142+BT143+BT144+BT145+BT146+BT147+BT149+BT148+BT115-BT81-BT157-BT158-BT159-BT160-BT161-BT162-BT163))</f>
        <v>475.90000000000003</v>
      </c>
      <c r="BU164" s="1080">
        <f t="shared" si="165"/>
        <v>500</v>
      </c>
      <c r="BV164" s="1090">
        <f t="shared" ref="BV164:DV164" si="172">IF((BV142+BV143+BV144+BV145+BV146+BV147+BV148+BV149+BV115-BV81)&lt;0,0,(BV142+BV143+BV144+BV145+BV146+BV147+BV149+BV148+BV115-BV81-BV157-BV158-BV159-BV160-BV161-BV162-BV163))</f>
        <v>1000</v>
      </c>
      <c r="BW164" s="1079">
        <f t="shared" si="172"/>
        <v>2181.8187499999985</v>
      </c>
      <c r="BX164" s="1091">
        <f t="shared" si="172"/>
        <v>234.07499999999993</v>
      </c>
      <c r="BY164" s="1091"/>
      <c r="BZ164" s="1091">
        <f t="shared" si="172"/>
        <v>357.34178571428595</v>
      </c>
      <c r="CA164" s="1091">
        <f>IF((CA142+CA143+CA144+CA145+CA146+CA147+CA148+CA149+CA115-CA81)&lt;0,0,(CA142+CA143+CA144+CA145+CA146+CA147+CA149+CA148+CA115-CA81-CA157-CA158-CA159-CA160-CA161-CA162-CA163))</f>
        <v>102.79500000000007</v>
      </c>
      <c r="CB164" s="1091">
        <f t="shared" ref="CB164:CC164" si="173">IF((CB142+CB143+CB144+CB145+CB146+CB147+CB148+CB149+CB115-CB81)&lt;0,0,(CB142+CB143+CB144+CB145+CB146+CB147+CB149+CB148+CB115-CB81-CB157-CB158-CB159-CB160-CB161-CB162-CB163))</f>
        <v>566.73749999999984</v>
      </c>
      <c r="CC164" s="1091">
        <f t="shared" si="173"/>
        <v>0</v>
      </c>
      <c r="CD164" s="1082">
        <f t="shared" si="172"/>
        <v>13463.8125</v>
      </c>
      <c r="CE164" s="1082">
        <f t="shared" si="172"/>
        <v>8059.9315476190459</v>
      </c>
      <c r="CF164" s="1082">
        <f t="shared" si="172"/>
        <v>258</v>
      </c>
      <c r="CG164" s="1082">
        <f t="shared" si="172"/>
        <v>2426.3549999999996</v>
      </c>
      <c r="CH164" s="1082">
        <f t="shared" si="172"/>
        <v>912.75</v>
      </c>
      <c r="CI164" s="1082">
        <f>IF((CI142+CI143+CI144+CI145+CI146+CI147+CI148+CI149+CI115-CI81)&lt;0,0,(CI142+CI143+CI144+CI145+CI146+CI147+CI149+CI148+CI115-CI81-CI157-CI158-CI159-CI160-CI161-CI162-CI163))</f>
        <v>250</v>
      </c>
      <c r="CJ164" s="1082">
        <f>IF((CJ142+CJ143+CJ144+CJ145+CJ146+CJ147+CJ148+CJ149+CJ115-CJ81)&lt;0,0,(CJ142+CJ143+CJ144+CJ145+CJ146+CJ147+CJ149+CJ148+CJ115-CJ81-CJ157-CJ158-CJ159-CJ160-CJ161-CJ162-CJ163))</f>
        <v>199.99999999999997</v>
      </c>
      <c r="CK164" s="1082">
        <f t="shared" ref="CK164:CN164" si="174">IF((CK142+CK143+CK144+CK145+CK146+CK147+CK148+CK149+CK115-CK81)&lt;0,0,(CK142+CK143+CK144+CK145+CK146+CK147+CK149+CK148+CK115-CK81-CK157-CK158-CK159-CK160-CK161-CK162-CK163))</f>
        <v>255</v>
      </c>
      <c r="CL164" s="1082">
        <f t="shared" si="174"/>
        <v>610.3642857142861</v>
      </c>
      <c r="CM164" s="1082">
        <f t="shared" si="174"/>
        <v>671.77999999999986</v>
      </c>
      <c r="CN164" s="1082">
        <f t="shared" si="174"/>
        <v>717.90499999999975</v>
      </c>
      <c r="CO164" s="1082">
        <f t="shared" si="172"/>
        <v>57.600000000000023</v>
      </c>
      <c r="CP164" s="1085">
        <f t="shared" si="172"/>
        <v>426.6875</v>
      </c>
      <c r="CQ164" s="1085">
        <f>IF((CQ142+CQ143+CQ144+CQ145+CQ146+CQ147+CQ148+CQ149+CQ115-CQ81)&lt;0,0,(CQ142+CQ143+CQ144+CQ145+CQ146+CQ147+CQ149+CQ148+CQ115-CQ81-CQ157-CQ158-CQ159-CQ160-CQ161-CQ162-CQ163))</f>
        <v>150.00000000000003</v>
      </c>
      <c r="CR164" s="1085">
        <f t="shared" si="172"/>
        <v>480.4375</v>
      </c>
      <c r="CS164" s="1085">
        <f>IF((CS142+CS143+CS144+CS145+CS146+CS147+CS148+CS149+CS115-CS81)&lt;0,0,(CS142+CS143+CS144+CS145+CS146+CS147+CS149+CS148+CS115-CS81-CS157-CS158-CS159-CS160-CS161-CS162-CS163))</f>
        <v>150</v>
      </c>
      <c r="CT164" s="1083">
        <f t="shared" si="172"/>
        <v>5402.95</v>
      </c>
      <c r="CU164" s="1083">
        <f t="shared" si="172"/>
        <v>2089.3949999999995</v>
      </c>
      <c r="CV164" s="1083">
        <f t="shared" si="172"/>
        <v>113.84999999999998</v>
      </c>
      <c r="CW164" s="1083">
        <f t="shared" si="172"/>
        <v>1025.6653333333327</v>
      </c>
      <c r="CX164" s="1083">
        <f t="shared" si="172"/>
        <v>99.225000000000051</v>
      </c>
      <c r="CY164" s="1085">
        <f t="shared" si="172"/>
        <v>1695.2862499999999</v>
      </c>
      <c r="CZ164" s="1080">
        <f t="shared" si="172"/>
        <v>298.10250000000002</v>
      </c>
      <c r="DA164" s="1087">
        <f t="shared" si="172"/>
        <v>1632.8635416666675</v>
      </c>
      <c r="DB164" s="1080">
        <f t="shared" si="172"/>
        <v>3587.6336309523813</v>
      </c>
      <c r="DC164" s="1079">
        <f t="shared" si="172"/>
        <v>5001.4624999999978</v>
      </c>
      <c r="DD164" s="1079">
        <f>IF((DD142+DD143+DD144+DD145+DD146+DD147+DD148+DD149+DD115-DD81)&lt;0,0,(DD142+DD143+DD144+DD145+DD146+DD147+DD149+DD148+DD115-DD81-DD157-DD158-DD159-DD160-DD161-DD162-DD163))</f>
        <v>1100</v>
      </c>
      <c r="DE164" s="1079">
        <f>IF((DE142+DE143+DE144+DE145+DE146+DE147+DE148+DE149+DE115-DE81)&lt;0,0,(DE142+DE143+DE144+DE145+DE146+DE147+DE149+DE148+DE115-DE81-DE157-DE158-DE159-DE160-DE161-DE162-DE163))</f>
        <v>230</v>
      </c>
      <c r="DF164" s="1080">
        <f t="shared" ref="DF164" si="175">IF((DF142+DF143+DF144+DF145+DF146+DF147+DF148+DF149+DF115-DF81)&lt;0,0,(DF142+DF143+DF144+DF145+DF146+DF147+DF149+DF148+DF115-DF81-DF157-DF158-DF159-DF160-DF161-DF162-DF163))</f>
        <v>1518</v>
      </c>
      <c r="DG164" s="1080">
        <f t="shared" si="172"/>
        <v>47.100000000000023</v>
      </c>
      <c r="DH164" s="1080">
        <f t="shared" si="172"/>
        <v>499.76249999999982</v>
      </c>
      <c r="DI164" s="1080">
        <f t="shared" si="172"/>
        <v>447.93749999999977</v>
      </c>
      <c r="DJ164" s="1087">
        <f t="shared" si="172"/>
        <v>592.77976190476147</v>
      </c>
      <c r="DK164" s="1080">
        <f t="shared" si="172"/>
        <v>1321.75</v>
      </c>
      <c r="DL164" s="1080"/>
      <c r="DM164" s="1080"/>
      <c r="DN164" s="1080"/>
      <c r="DO164" s="1080">
        <f t="shared" ref="DO164" si="176">IF((DO142+DO143+DO144+DO145+DO146+DO147+DO148+DO149+DO115-DO81)&lt;0,0,(DO142+DO143+DO144+DO145+DO146+DO147+DO149+DO148+DO115-DO81-DO157-DO158-DO159-DO160-DO161-DO162-DO163))</f>
        <v>277.24999999999989</v>
      </c>
      <c r="DP164" s="1083">
        <f t="shared" si="172"/>
        <v>909.75</v>
      </c>
      <c r="DQ164" s="1079">
        <f t="shared" si="172"/>
        <v>0</v>
      </c>
      <c r="DR164" s="1092">
        <f t="shared" si="172"/>
        <v>0</v>
      </c>
      <c r="DS164" s="1092">
        <f t="shared" si="172"/>
        <v>0</v>
      </c>
      <c r="DT164" s="1079"/>
      <c r="DU164" s="1092">
        <f t="shared" ref="DU164" si="177">IF((DU142+DU143+DU144+DU145+DU146+DU147+DU148+DU149+DU115-DU81)&lt;0,0,(DU142+DU143+DU144+DU145+DU146+DU147+DU149+DU148+DU115-DU81-DU157-DU158-DU159-DU160-DU161-DU162-DU163))</f>
        <v>0</v>
      </c>
      <c r="DV164" s="1089">
        <f t="shared" si="172"/>
        <v>0</v>
      </c>
      <c r="DW164" s="1089">
        <f t="shared" si="78"/>
        <v>151159.74746428573</v>
      </c>
      <c r="DX164" s="1093" t="str">
        <f t="shared" si="151"/>
        <v>Заявка на Производство на ближайшие 18-24 дней, кг</v>
      </c>
      <c r="DY164" s="659"/>
    </row>
    <row r="165" spans="1:129" ht="14.1" customHeight="1">
      <c r="A165" s="1078" t="s">
        <v>669</v>
      </c>
      <c r="B165" s="1079">
        <f t="shared" ref="B165:BU165" si="178">IF((B142+B143+B144+B145+B146+B147+B148+B149+B150+B115-B81)&lt;0,0,(B142+B143+B144+B145+B146+B147+B148+B149+B150+B115-B81-B157-B158-B159-B160-B161-B162-B163-B164))</f>
        <v>2746.3450000000021</v>
      </c>
      <c r="C165" s="1080">
        <f t="shared" si="178"/>
        <v>203.67499999999998</v>
      </c>
      <c r="D165" s="1080">
        <f t="shared" si="178"/>
        <v>1750</v>
      </c>
      <c r="E165" s="1080">
        <f t="shared" si="178"/>
        <v>270</v>
      </c>
      <c r="F165" s="1080">
        <f t="shared" si="178"/>
        <v>3120.6285714285691</v>
      </c>
      <c r="G165" s="1080">
        <f t="shared" si="178"/>
        <v>114</v>
      </c>
      <c r="H165" s="1080">
        <f>IF((H142+H143+H144+H145+H146+H147+H148+H149+H150+H115-H81)&lt;0,0,(H142+H143+H144+H145+H146+H147+H148+H149+H150+H115-H81-H157-H158-H159-H160-H161-H162-H163-H164))</f>
        <v>499.99999999999994</v>
      </c>
      <c r="I165" s="1079">
        <f t="shared" si="178"/>
        <v>660.05249999999967</v>
      </c>
      <c r="J165" s="1080">
        <f t="shared" si="178"/>
        <v>1387.6106666666658</v>
      </c>
      <c r="K165" s="1080">
        <f t="shared" si="178"/>
        <v>254.3499999999998</v>
      </c>
      <c r="L165" s="1080">
        <f t="shared" si="178"/>
        <v>68.703125</v>
      </c>
      <c r="M165" s="1080">
        <f t="shared" si="178"/>
        <v>0</v>
      </c>
      <c r="N165" s="1081">
        <f t="shared" si="178"/>
        <v>1600.0625</v>
      </c>
      <c r="O165" s="1081">
        <f t="shared" si="178"/>
        <v>331.75125000000008</v>
      </c>
      <c r="P165" s="1082">
        <f t="shared" si="178"/>
        <v>566.83999999999992</v>
      </c>
      <c r="Q165" s="1083">
        <f t="shared" si="178"/>
        <v>767.76000000000022</v>
      </c>
      <c r="R165" s="1083">
        <f t="shared" si="178"/>
        <v>1022.2800000000003</v>
      </c>
      <c r="S165" s="1079">
        <f t="shared" si="178"/>
        <v>22587.471666666679</v>
      </c>
      <c r="T165" s="1084">
        <f t="shared" si="178"/>
        <v>477.84910714285712</v>
      </c>
      <c r="U165" s="1083">
        <f t="shared" si="178"/>
        <v>1950.7650000000006</v>
      </c>
      <c r="V165" s="1083">
        <f>IF((V142+V143+V144+V145+V146+V147+V148+V149+V150+V115-V81)&lt;0,0,(V142+V143+V144+V145+V146+V147+V148+V149+V150+V115-V81-V157-V158-V159-V160-V161-V162-V163-V164))</f>
        <v>1161.3300000000004</v>
      </c>
      <c r="W165" s="1083">
        <f>IF((W142+W143+W144+W145+W146+W147+W148+W149+W150+W115-W81)&lt;0,0,(W142+W143+W144+W145+W146+W147+W148+W149+W150+W115-W81-W157-W158-W159-W160-W161-W162-W163-W164))</f>
        <v>70.000000000000028</v>
      </c>
      <c r="X165" s="1083">
        <f>IF((X142+X143+X144+X145+X146+X147+X148+X149+X150+X115-X81)&lt;0,0,(X142+X143+X144+X145+X146+X147+X148+X149+X150+X115-X81-X157-X158-X159-X160-X161-X162-X163-X164))</f>
        <v>298.95000000000005</v>
      </c>
      <c r="Y165" s="1085">
        <f t="shared" ref="Y165:AD165" si="179">IF((Y142+Y143+Y144+Y145+Y146+Y147+Y148+Y149+Y150+Y115-Y81)&lt;0,0,(Y142+Y143+Y144+Y145+Y146+Y147+Y148+Y149+Y150+Y115-Y81-Y157-Y158-Y159-Y160-Y161-Y162-Y163-Y164))</f>
        <v>2180.2937500000007</v>
      </c>
      <c r="Z165" s="1079">
        <f t="shared" si="179"/>
        <v>203.12999999999988</v>
      </c>
      <c r="AA165" s="1085">
        <f t="shared" si="179"/>
        <v>3464.0773333333336</v>
      </c>
      <c r="AB165" s="1083">
        <f t="shared" si="179"/>
        <v>589.59999999999991</v>
      </c>
      <c r="AC165" s="1083">
        <f t="shared" si="179"/>
        <v>317.03999999999991</v>
      </c>
      <c r="AD165" s="1083">
        <f t="shared" si="179"/>
        <v>1707.1499999999996</v>
      </c>
      <c r="AE165" s="1083">
        <f>IF((AE142+AE143+AE144+AE145+AE146+AE147+AE148+AE149+AE150+AE115-AE81)&lt;0,0,(AE142+AE143+AE144+AE145+AE146+AE147+AE148+AE149+AE150+AE115-AE81-AE157-AE158-AE159-AE160-AE161-AE162-AE163-AE164))</f>
        <v>150.00000000000006</v>
      </c>
      <c r="AF165" s="1083">
        <f>IF((AF142+AF143+AF144+AF145+AF146+AF147+AF148+AF149+AF150+AF115-AF81)&lt;0,0,(AF142+AF143+AF144+AF145+AF146+AF147+AF148+AF149+AF150+AF115-AF81-AF157-AF158-AF159-AF160-AF161-AF162-AF163-AF164))</f>
        <v>500</v>
      </c>
      <c r="AG165" s="1080">
        <f t="shared" ref="AG165:AI165" si="180">IF((AG142+AG143+AG144+AG145+AG146+AG147+AG148+AG149+AG150+AG115-AG81)&lt;0,0,(AG142+AG143+AG144+AG145+AG146+AG147+AG148+AG149+AG150+AG115-AG81-AG157-AG158-AG159-AG160-AG161-AG162-AG163-AG164))</f>
        <v>1304.9626666666682</v>
      </c>
      <c r="AH165" s="1080">
        <f t="shared" si="180"/>
        <v>787.02600000000029</v>
      </c>
      <c r="AI165" s="1080">
        <f t="shared" si="180"/>
        <v>4525.0499999999993</v>
      </c>
      <c r="AJ165" s="1080">
        <f>IF((AJ142+AJ143+AJ144+AJ145+AJ146+AJ147+AJ148+AJ149+AJ150+AJ115-AJ81)&lt;0,0,(AJ142+AJ143+AJ144+AJ145+AJ146+AJ147+AJ148+AJ149+AJ150+AJ115-AJ81-AJ157-AJ158-AJ159-AJ160-AJ161-AJ162-AJ163-AJ164))</f>
        <v>0</v>
      </c>
      <c r="AK165" s="1080">
        <f>IF((AK142+AK143+AK144+AK145+AK146+AK147+AK148+AK149+AK150+AK115-AK81)&lt;0,0,(AK142+AK143+AK144+AK145+AK146+AK147+AK148+AK149+AK150+AK115-AK81-AK157-AK158-AK159-AK160-AK161-AK162-AK163-AK164))</f>
        <v>1915.1999999999985</v>
      </c>
      <c r="AL165" s="1080">
        <f t="shared" ref="AL165:AO165" si="181">IF((AL142+AL143+AL144+AL145+AL146+AL147+AL148+AL149+AL150+AL115-AL81)&lt;0,0,(AL142+AL143+AL144+AL145+AL146+AL147+AL148+AL149+AL150+AL115-AL81-AL157-AL158-AL159-AL160-AL161-AL162-AL163-AL164))</f>
        <v>638.59500000000025</v>
      </c>
      <c r="AM165" s="1086">
        <f t="shared" si="181"/>
        <v>4757.6457142857107</v>
      </c>
      <c r="AN165" s="1086">
        <f t="shared" si="181"/>
        <v>178.2</v>
      </c>
      <c r="AO165" s="1086">
        <f t="shared" si="181"/>
        <v>2353.5</v>
      </c>
      <c r="AP165" s="1086">
        <f t="shared" si="178"/>
        <v>55.949999999999982</v>
      </c>
      <c r="AQ165" s="1083">
        <f t="shared" si="178"/>
        <v>1177.1750000000006</v>
      </c>
      <c r="AR165" s="1087">
        <f t="shared" si="178"/>
        <v>263.05699999999979</v>
      </c>
      <c r="AS165" s="1087">
        <f t="shared" si="178"/>
        <v>94.813750000000056</v>
      </c>
      <c r="AT165" s="1087">
        <f t="shared" si="178"/>
        <v>104.26499999999999</v>
      </c>
      <c r="AU165" s="1087">
        <f t="shared" si="178"/>
        <v>36.721250000000012</v>
      </c>
      <c r="AV165" s="1087">
        <f t="shared" si="178"/>
        <v>0</v>
      </c>
      <c r="AW165" s="1088">
        <f t="shared" si="178"/>
        <v>0</v>
      </c>
      <c r="AX165" s="1089">
        <f t="shared" si="178"/>
        <v>0</v>
      </c>
      <c r="AY165" s="1083">
        <f t="shared" si="178"/>
        <v>4477.8206666666665</v>
      </c>
      <c r="AZ165" s="1080">
        <f t="shared" si="178"/>
        <v>356.87</v>
      </c>
      <c r="BA165" s="1080">
        <f t="shared" si="178"/>
        <v>670.78125</v>
      </c>
      <c r="BB165" s="1080">
        <f t="shared" si="178"/>
        <v>2719.9386904761905</v>
      </c>
      <c r="BC165" s="1083">
        <f t="shared" si="178"/>
        <v>420</v>
      </c>
      <c r="BD165" s="1080">
        <f t="shared" si="178"/>
        <v>800</v>
      </c>
      <c r="BE165" s="1083">
        <f t="shared" si="178"/>
        <v>211.3125</v>
      </c>
      <c r="BF165" s="1083">
        <f>IF((BF142+BF143+BF144+BF145+BF146+BF147+BF148+BF149+BF150+BF115-BF81)&lt;0,0,(BF142+BF143+BF144+BF145+BF146+BF147+BF148+BF149+BF150+BF115-BF81-BF157-BF158-BF159-BF160-BF161-BF162-BF163-BF164))</f>
        <v>252.90000000000009</v>
      </c>
      <c r="BG165" s="1083">
        <f t="shared" ref="BG165" si="182">IF((BG142+BG143+BG144+BG145+BG146+BG147+BG148+BG149+BG150+BG115-BG81)&lt;0,0,(BG142+BG143+BG144+BG145+BG146+BG147+BG148+BG149+BG150+BG115-BG81-BG157-BG158-BG159-BG160-BG161-BG162-BG163-BG164))</f>
        <v>274.20000000000005</v>
      </c>
      <c r="BH165" s="1083">
        <f>IF((BH142+BH143+BH144+BH145+BH146+BH147+BH148+BH149+BH150+BH115-BH81)&lt;0,0,(BH142+BH143+BH144+BH145+BH146+BH147+BH148+BH149+BH150+BH115-BH81-BH157-BH158-BH159-BH160-BH161-BH162-BH163-BH164))</f>
        <v>300.00000000000011</v>
      </c>
      <c r="BI165" s="1083">
        <f>IF((BI142+BI143+BI144+BI145+BI146+BI147+BI148+BI149+BI150+BI115-BI81)&lt;0,0,(BI142+BI143+BI144+BI145+BI146+BI147+BI148+BI149+BI150+BI115-BI81-BI157-BI158-BI159-BI160-BI161-BI162-BI163-BI164))</f>
        <v>170</v>
      </c>
      <c r="BJ165" s="1083">
        <f t="shared" ref="BJ165:BN165" si="183">IF((BJ142+BJ143+BJ144+BJ145+BJ146+BJ147+BJ148+BJ149+BJ150+BJ115-BJ81)&lt;0,0,(BJ142+BJ143+BJ144+BJ145+BJ146+BJ147+BJ148+BJ149+BJ150+BJ115-BJ81-BJ157-BJ158-BJ159-BJ160-BJ161-BJ162-BJ163-BJ164))</f>
        <v>861.75</v>
      </c>
      <c r="BK165" s="1083">
        <f t="shared" si="183"/>
        <v>78.641249999999999</v>
      </c>
      <c r="BL165" s="1083">
        <f t="shared" si="183"/>
        <v>114.74166666666679</v>
      </c>
      <c r="BM165" s="1083">
        <f t="shared" si="183"/>
        <v>1256.3791666666657</v>
      </c>
      <c r="BN165" s="1083">
        <f t="shared" si="183"/>
        <v>157.375</v>
      </c>
      <c r="BO165" s="1080">
        <f>IF((BO142+BO143+BO144+BO145+BO146+BO147+BO148+BO149+BO150+BO115-BO81)&lt;0,0,(BO142+BO143+BO144+BO145+BO146+BO147+BO148+BO149+BO150+BO115-BO81-BO157-BO158-BO159-BO160-BO161-BO162-BO163-BO164))</f>
        <v>5036.3184523809541</v>
      </c>
      <c r="BP165" s="1079"/>
      <c r="BQ165" s="1079">
        <f t="shared" si="178"/>
        <v>175.65625</v>
      </c>
      <c r="BR165" s="1079">
        <f>IF((BR142+BR143+BR144+BR145+BR146+BR147+BR148+BR149+BR150+BR115-BR81)&lt;0,0,(BR142+BR143+BR144+BR145+BR146+BR147+BR148+BR149+BR150+BR115-BR81-BR157-BR158-BR159-BR160-BR161-BR162-BR163-BR164))</f>
        <v>350</v>
      </c>
      <c r="BS165" s="1079">
        <f>IF((BS142+BS143+BS144+BS145+BS146+BS147+BS148+BS149+BS150+BS115-BS81)&lt;0,0,(BS142+BS143+BS144+BS145+BS146+BS147+BS148+BS149+BS150+BS115-BS81-BS157-BS158-BS159-BS160-BS161-BS162-BS163-BS164))</f>
        <v>170</v>
      </c>
      <c r="BT165" s="1079">
        <f t="shared" ref="BT165" si="184">IF((BT142+BT143+BT144+BT145+BT146+BT147+BT148+BT149+BT150+BT115-BT81)&lt;0,0,(BT142+BT143+BT144+BT145+BT146+BT147+BT148+BT149+BT150+BT115-BT81-BT157-BT158-BT159-BT160-BT161-BT162-BT163-BT164))</f>
        <v>475.90000000000015</v>
      </c>
      <c r="BU165" s="1080">
        <f t="shared" si="178"/>
        <v>500</v>
      </c>
      <c r="BV165" s="1090">
        <f t="shared" ref="BV165:DV165" si="185">IF((BV142+BV143+BV144+BV145+BV146+BV147+BV148+BV149+BV150+BV115-BV81)&lt;0,0,(BV142+BV143+BV144+BV145+BV146+BV147+BV148+BV149+BV150+BV115-BV81-BV157-BV158-BV159-BV160-BV161-BV162-BV163-BV164))</f>
        <v>1000</v>
      </c>
      <c r="BW165" s="1079">
        <f t="shared" si="185"/>
        <v>2455.6937500000031</v>
      </c>
      <c r="BX165" s="1091">
        <f t="shared" si="185"/>
        <v>234.07500000000005</v>
      </c>
      <c r="BY165" s="1091"/>
      <c r="BZ165" s="1091">
        <f t="shared" si="185"/>
        <v>357.34178571428629</v>
      </c>
      <c r="CA165" s="1091">
        <f>IF((CA142+CA143+CA144+CA145+CA146+CA147+CA148+CA149+CA150+CA115-CA81)&lt;0,0,(CA142+CA143+CA144+CA145+CA146+CA147+CA148+CA149+CA150+CA115-CA81-CA157-CA158-CA159-CA160-CA161-CA162-CA163-CA164))</f>
        <v>102.79500000000007</v>
      </c>
      <c r="CB165" s="1091">
        <f t="shared" ref="CB165:CC165" si="186">IF((CB142+CB143+CB144+CB145+CB146+CB147+CB148+CB149+CB150+CB115-CB81)&lt;0,0,(CB142+CB143+CB144+CB145+CB146+CB147+CB148+CB149+CB150+CB115-CB81-CB157-CB158-CB159-CB160-CB161-CB162-CB163-CB164))</f>
        <v>528.76607142857154</v>
      </c>
      <c r="CC165" s="1091">
        <f t="shared" si="186"/>
        <v>0</v>
      </c>
      <c r="CD165" s="1082">
        <f t="shared" si="185"/>
        <v>13413.8125</v>
      </c>
      <c r="CE165" s="1082">
        <f t="shared" si="185"/>
        <v>8010.4315476190459</v>
      </c>
      <c r="CF165" s="1082">
        <f t="shared" si="185"/>
        <v>258.00000000000023</v>
      </c>
      <c r="CG165" s="1082">
        <f t="shared" si="185"/>
        <v>2426.3549999999996</v>
      </c>
      <c r="CH165" s="1082">
        <f t="shared" si="185"/>
        <v>912.75000000000045</v>
      </c>
      <c r="CI165" s="1082">
        <f>IF((CI142+CI143+CI144+CI145+CI146+CI147+CI148+CI149+CI150+CI115-CI81)&lt;0,0,(CI142+CI143+CI144+CI145+CI146+CI147+CI148+CI149+CI150+CI115-CI81-CI157-CI158-CI159-CI160-CI161-CI162-CI163-CI164))</f>
        <v>250</v>
      </c>
      <c r="CJ165" s="1082">
        <f>IF((CJ142+CJ143+CJ144+CJ145+CJ146+CJ147+CJ148+CJ149+CJ150+CJ115-CJ81)&lt;0,0,(CJ142+CJ143+CJ144+CJ145+CJ146+CJ147+CJ148+CJ149+CJ150+CJ115-CJ81-CJ157-CJ158-CJ159-CJ160-CJ161-CJ162-CJ163-CJ164))</f>
        <v>200.00000000000003</v>
      </c>
      <c r="CK165" s="1082">
        <f t="shared" ref="CK165:CN165" si="187">IF((CK142+CK143+CK144+CK145+CK146+CK147+CK148+CK149+CK150+CK115-CK81)&lt;0,0,(CK142+CK143+CK144+CK145+CK146+CK147+CK148+CK149+CK150+CK115-CK81-CK157-CK158-CK159-CK160-CK161-CK162-CK163-CK164))</f>
        <v>254.99999999999989</v>
      </c>
      <c r="CL165" s="1082">
        <f t="shared" si="187"/>
        <v>760.36428571428519</v>
      </c>
      <c r="CM165" s="1082">
        <f t="shared" si="187"/>
        <v>621.80500000000018</v>
      </c>
      <c r="CN165" s="1082">
        <f t="shared" si="187"/>
        <v>1167.9049999999997</v>
      </c>
      <c r="CO165" s="1082">
        <f t="shared" si="185"/>
        <v>57.599999999999966</v>
      </c>
      <c r="CP165" s="1085">
        <f t="shared" si="185"/>
        <v>426.6875</v>
      </c>
      <c r="CQ165" s="1085">
        <f>IF((CQ142+CQ143+CQ144+CQ145+CQ146+CQ147+CQ148+CQ149+CQ150+CQ115-CQ81)&lt;0,0,(CQ142+CQ143+CQ144+CQ145+CQ146+CQ147+CQ148+CQ149+CQ150+CQ115-CQ81-CQ157-CQ158-CQ159-CQ160-CQ161-CQ162-CQ163-CQ164))</f>
        <v>149.99999999999997</v>
      </c>
      <c r="CR165" s="1085">
        <f t="shared" si="185"/>
        <v>480.4375</v>
      </c>
      <c r="CS165" s="1085">
        <f>IF((CS142+CS143+CS144+CS145+CS146+CS147+CS148+CS149+CS150+CS115-CS81)&lt;0,0,(CS142+CS143+CS144+CS145+CS146+CS147+CS148+CS149+CS150+CS115-CS81-CS157-CS158-CS159-CS160-CS161-CS162-CS163-CS164))</f>
        <v>150</v>
      </c>
      <c r="CT165" s="1083">
        <f t="shared" si="185"/>
        <v>536.95000000000073</v>
      </c>
      <c r="CU165" s="1083">
        <f t="shared" si="185"/>
        <v>2089.3950000000004</v>
      </c>
      <c r="CV165" s="1083">
        <f t="shared" si="185"/>
        <v>113.85000000000001</v>
      </c>
      <c r="CW165" s="1083">
        <f t="shared" si="185"/>
        <v>1025.6653333333331</v>
      </c>
      <c r="CX165" s="1083">
        <f t="shared" si="185"/>
        <v>99.224999999999994</v>
      </c>
      <c r="CY165" s="1085">
        <f t="shared" si="185"/>
        <v>1695.2862499999994</v>
      </c>
      <c r="CZ165" s="1080">
        <f t="shared" si="185"/>
        <v>298.10249999999991</v>
      </c>
      <c r="DA165" s="1087">
        <f t="shared" si="185"/>
        <v>1532.8635416666675</v>
      </c>
      <c r="DB165" s="1080">
        <f t="shared" si="185"/>
        <v>3587.6336309523804</v>
      </c>
      <c r="DC165" s="1079">
        <f t="shared" si="185"/>
        <v>4749.4625000000015</v>
      </c>
      <c r="DD165" s="1079">
        <f>IF((DD142+DD143+DD144+DD145+DD146+DD147+DD148+DD149+DD150+DD115-DD81)&lt;0,0,(DD142+DD143+DD144+DD145+DD146+DD147+DD148+DD149+DD150+DD115-DD81-DD157-DD158-DD159-DD160-DD161-DD162-DD163-DD164))</f>
        <v>1100</v>
      </c>
      <c r="DE165" s="1079">
        <f>IF((DE142+DE143+DE144+DE145+DE146+DE147+DE148+DE149+DE150+DE115-DE81)&lt;0,0,(DE142+DE143+DE144+DE145+DE146+DE147+DE148+DE149+DE150+DE115-DE81-DE157-DE158-DE159-DE160-DE161-DE162-DE163-DE164))</f>
        <v>230</v>
      </c>
      <c r="DF165" s="1080">
        <f t="shared" ref="DF165" si="188">IF((DF142+DF143+DF144+DF145+DF146+DF147+DF148+DF149+DF150+DF115-DF81)&lt;0,0,(DF142+DF143+DF144+DF145+DF146+DF147+DF148+DF149+DF150+DF115-DF81-DF157-DF158-DF159-DF160-DF161-DF162-DF163-DF164))</f>
        <v>1518</v>
      </c>
      <c r="DG165" s="1080">
        <f t="shared" si="185"/>
        <v>47.099999999999994</v>
      </c>
      <c r="DH165" s="1080">
        <f t="shared" si="185"/>
        <v>499.76250000000027</v>
      </c>
      <c r="DI165" s="1080">
        <f t="shared" si="185"/>
        <v>447.93750000000023</v>
      </c>
      <c r="DJ165" s="1087">
        <f t="shared" si="185"/>
        <v>1058.25</v>
      </c>
      <c r="DK165" s="1080">
        <f t="shared" si="185"/>
        <v>1321.75</v>
      </c>
      <c r="DL165" s="1080"/>
      <c r="DM165" s="1080"/>
      <c r="DN165" s="1080"/>
      <c r="DO165" s="1080">
        <f t="shared" ref="DO165" si="189">IF((DO142+DO143+DO144+DO145+DO146+DO147+DO148+DO149+DO150+DO115-DO81)&lt;0,0,(DO142+DO143+DO144+DO145+DO146+DO147+DO148+DO149+DO150+DO115-DO81-DO157-DO158-DO159-DO160-DO161-DO162-DO163-DO164))</f>
        <v>277.25</v>
      </c>
      <c r="DP165" s="1083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79">
        <f t="shared" si="185"/>
        <v>0</v>
      </c>
      <c r="DR165" s="1092">
        <f t="shared" si="185"/>
        <v>0</v>
      </c>
      <c r="DS165" s="1092">
        <f t="shared" si="185"/>
        <v>0</v>
      </c>
      <c r="DT165" s="1079"/>
      <c r="DU165" s="1092">
        <f t="shared" ref="DU165" si="190">IF((DU142+DU143+DU144+DU145+DU146+DU147+DU148+DU149+DU150+DU115-DU81)&lt;0,0,(DU142+DU143+DU144+DU145+DU146+DU147+DU148+DU149+DU150+DU115-DU81-DU157-DU158-DU159-DU160-DU161-DU162-DU163-DU164))</f>
        <v>0</v>
      </c>
      <c r="DV165" s="1089">
        <f t="shared" si="185"/>
        <v>0</v>
      </c>
      <c r="DW165" s="1089">
        <f t="shared" si="78"/>
        <v>146402.51544047621</v>
      </c>
      <c r="DX165" s="1093" t="str">
        <f t="shared" si="151"/>
        <v>Заявка на Производство на ближайшие 25-31 дней, кг</v>
      </c>
      <c r="DY165" s="659"/>
    </row>
    <row r="166" spans="1:129" s="1095" customFormat="1" ht="14.1" customHeight="1">
      <c r="A166" s="1078" t="s">
        <v>670</v>
      </c>
      <c r="B166" s="1079">
        <f t="shared" ref="B166:BU166" si="191">IF((B142+B143+B144+B145+B146+B147+B148+B149+B150+B151+B115-B81)&lt;0,0,(B142+B143+B144+B145+B146+B147+B149+B148+B150+B151+B115-B81-B157-B158-B159-B160-B161-B162-B163-B164-B165))</f>
        <v>2746.3450000000012</v>
      </c>
      <c r="C166" s="1080">
        <f>IF((C142+C143+C144+C145+C146+C147+C148+C149+C150+C151+C115-C81)&lt;0,0,(C142+C143+C144+C145+C146+C147+C149+C148+C150+C151+C115-C81-C157-C158-C159-C160-C161-C162-C163-C164-C165))</f>
        <v>203.67500000000004</v>
      </c>
      <c r="D166" s="1080">
        <f t="shared" si="191"/>
        <v>1750.0000000000005</v>
      </c>
      <c r="E166" s="1080">
        <f t="shared" si="191"/>
        <v>270</v>
      </c>
      <c r="F166" s="1080">
        <f t="shared" si="191"/>
        <v>3120.6285714285682</v>
      </c>
      <c r="G166" s="1080">
        <f t="shared" si="191"/>
        <v>114</v>
      </c>
      <c r="H166" s="1080">
        <f>IF((H142+H143+H144+H145+H146+H147+H148+H149+H150+H151+H115-H81)&lt;0,0,(H142+H143+H144+H145+H146+H147+H149+H148+H150+H151+H115-H81-H157-H158-H159-H160-H161-H162-H163-H164-H165))</f>
        <v>500.00000000000006</v>
      </c>
      <c r="I166" s="1079">
        <f t="shared" si="191"/>
        <v>660.0524999999999</v>
      </c>
      <c r="J166" s="1080">
        <f t="shared" si="191"/>
        <v>1287.6106666666653</v>
      </c>
      <c r="K166" s="1080">
        <f t="shared" si="191"/>
        <v>254.34999999999991</v>
      </c>
      <c r="L166" s="1080">
        <f t="shared" si="191"/>
        <v>68.703125</v>
      </c>
      <c r="M166" s="1080">
        <f t="shared" si="191"/>
        <v>0</v>
      </c>
      <c r="N166" s="1081">
        <f t="shared" si="191"/>
        <v>1600.0625</v>
      </c>
      <c r="O166" s="1081">
        <f t="shared" si="191"/>
        <v>331.75124999999997</v>
      </c>
      <c r="P166" s="1082">
        <f t="shared" si="191"/>
        <v>566.84000000000015</v>
      </c>
      <c r="Q166" s="1083">
        <f t="shared" si="191"/>
        <v>767.75999999999931</v>
      </c>
      <c r="R166" s="1083">
        <f t="shared" si="191"/>
        <v>1022.2800000000005</v>
      </c>
      <c r="S166" s="1079">
        <f t="shared" si="191"/>
        <v>14287.471666666679</v>
      </c>
      <c r="T166" s="1084">
        <f t="shared" si="191"/>
        <v>477.84910714285678</v>
      </c>
      <c r="U166" s="1083">
        <f t="shared" si="191"/>
        <v>1950.7650000000001</v>
      </c>
      <c r="V166" s="1083">
        <f>IF((V142+V143+V144+V145+V146+V147+V148+V149+V150+V151+V115-V81)&lt;0,0,(V142+V143+V144+V145+V146+V147+V149+V148+V150+V151+V115-V81-V157-V158-V159-V160-V161-V162-V163-V164-V165))</f>
        <v>1161.3299999999995</v>
      </c>
      <c r="W166" s="1083">
        <f>IF((W142+W143+W144+W145+W146+W147+W148+W149+W150+W151+W115-W81)&lt;0,0,(W142+W143+W144+W145+W146+W147+W149+W148+W150+W151+W115-W81-W157-W158-W159-W160-W161-W162-W163-W164-W165))</f>
        <v>70</v>
      </c>
      <c r="X166" s="1083">
        <f>IF((X142+X143+X144+X145+X146+X147+X148+X149+X150+X151+X115-X81)&lt;0,0,(X142+X143+X144+X145+X146+X147+X149+X148+X150+X151+X115-X81-X157-X158-X159-X160-X161-X162-X163-X164-X165))</f>
        <v>298.95000000000005</v>
      </c>
      <c r="Y166" s="1085">
        <f t="shared" ref="Y166:AD166" si="192">IF((Y142+Y143+Y144+Y145+Y146+Y147+Y148+Y149+Y150+Y151+Y115-Y81)&lt;0,0,(Y142+Y143+Y144+Y145+Y146+Y147+Y149+Y148+Y150+Y151+Y115-Y81-Y157-Y158-Y159-Y160-Y161-Y162-Y163-Y164-Y165))</f>
        <v>2180.2937500000007</v>
      </c>
      <c r="Z166" s="1079">
        <f t="shared" si="192"/>
        <v>203.13</v>
      </c>
      <c r="AA166" s="1085">
        <f t="shared" si="192"/>
        <v>3546.4506666666666</v>
      </c>
      <c r="AB166" s="1083">
        <f t="shared" si="192"/>
        <v>1532.5000000000005</v>
      </c>
      <c r="AC166" s="1083">
        <f t="shared" si="192"/>
        <v>317.04000000000002</v>
      </c>
      <c r="AD166" s="1083">
        <f t="shared" si="192"/>
        <v>1707.150000000001</v>
      </c>
      <c r="AE166" s="1083">
        <f>IF((AE142+AE143+AE144+AE145+AE146+AE147+AE148+AE149+AE150+AE151+AE115-AE81)&lt;0,0,(AE142+AE143+AE144+AE145+AE146+AE147+AE149+AE148+AE150+AE151+AE115-AE81-AE157-AE158-AE159-AE160-AE161-AE162-AE163-AE164-AE165))</f>
        <v>149.99999999999994</v>
      </c>
      <c r="AF166" s="1083">
        <f>IF((AF142+AF143+AF144+AF145+AF146+AF147+AF148+AF149+AF150+AF151+AF115-AF81)&lt;0,0,(AF142+AF143+AF144+AF145+AF146+AF147+AF149+AF148+AF150+AF151+AF115-AF81-AF157-AF158-AF159-AF160-AF161-AF162-AF163-AF164-AF165))</f>
        <v>500</v>
      </c>
      <c r="AG166" s="1080">
        <f t="shared" ref="AG166:AI166" si="193">IF((AG142+AG143+AG144+AG145+AG146+AG147+AG148+AG149+AG150+AG151+AG115-AG81)&lt;0,0,(AG142+AG143+AG144+AG145+AG146+AG147+AG149+AG148+AG150+AG151+AG115-AG81-AG157-AG158-AG159-AG160-AG161-AG162-AG163-AG164-AG165))</f>
        <v>1304.9626666666668</v>
      </c>
      <c r="AH166" s="1080">
        <f t="shared" si="193"/>
        <v>1287.0260000000003</v>
      </c>
      <c r="AI166" s="1080">
        <f t="shared" si="193"/>
        <v>4525.0500000000029</v>
      </c>
      <c r="AJ166" s="1080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0">
        <f>IF((AK142+AK143+AK144+AK145+AK146+AK147+AK148+AK149+AK150+AK151+AK115-AK81)&lt;0,0,(AK142+AK143+AK144+AK145+AK146+AK147+AK149+AK148+AK150+AK151+AK115-AK81-AK157-AK158-AK159-AK160-AK161-AK162-AK163-AK164-AK165))</f>
        <v>1915.1999999999989</v>
      </c>
      <c r="AL166" s="1080">
        <f t="shared" ref="AL166:AO166" si="194">IF((AL142+AL143+AL144+AL145+AL146+AL147+AL148+AL149+AL150+AL151+AL115-AL81)&lt;0,0,(AL142+AL143+AL144+AL145+AL146+AL147+AL149+AL148+AL150+AL151+AL115-AL81-AL157-AL158-AL159-AL160-AL161-AL162-AL163-AL164-AL165))</f>
        <v>638.59499999999957</v>
      </c>
      <c r="AM166" s="1086">
        <f t="shared" si="194"/>
        <v>4757.645714285718</v>
      </c>
      <c r="AN166" s="1086">
        <f t="shared" si="194"/>
        <v>178.2</v>
      </c>
      <c r="AO166" s="1086">
        <f t="shared" si="194"/>
        <v>2353.5</v>
      </c>
      <c r="AP166" s="1086">
        <f t="shared" si="191"/>
        <v>55.949999999999967</v>
      </c>
      <c r="AQ166" s="1083">
        <f t="shared" si="191"/>
        <v>1177.1750000000006</v>
      </c>
      <c r="AR166" s="1087">
        <f t="shared" si="191"/>
        <v>263.05700000000024</v>
      </c>
      <c r="AS166" s="1087">
        <f t="shared" si="191"/>
        <v>94.813749999999999</v>
      </c>
      <c r="AT166" s="1087">
        <f t="shared" si="191"/>
        <v>104.26500000000001</v>
      </c>
      <c r="AU166" s="1087">
        <f t="shared" si="191"/>
        <v>36.721249999999998</v>
      </c>
      <c r="AV166" s="1087">
        <f t="shared" si="191"/>
        <v>0</v>
      </c>
      <c r="AW166" s="1088">
        <f t="shared" si="191"/>
        <v>0</v>
      </c>
      <c r="AX166" s="1089">
        <f t="shared" si="191"/>
        <v>0</v>
      </c>
      <c r="AY166" s="1083">
        <f t="shared" si="191"/>
        <v>1532.3682857142849</v>
      </c>
      <c r="AZ166" s="1080">
        <f t="shared" si="191"/>
        <v>356.87</v>
      </c>
      <c r="BA166" s="1080">
        <f t="shared" si="191"/>
        <v>670.78125</v>
      </c>
      <c r="BB166" s="1080">
        <f t="shared" si="191"/>
        <v>1519.9386904761895</v>
      </c>
      <c r="BC166" s="1083">
        <f t="shared" si="191"/>
        <v>420</v>
      </c>
      <c r="BD166" s="1080">
        <f t="shared" si="191"/>
        <v>800</v>
      </c>
      <c r="BE166" s="1083">
        <f t="shared" si="191"/>
        <v>211.3125</v>
      </c>
      <c r="BF166" s="1083">
        <f>IF((BF142+BF143+BF144+BF145+BF146+BF147+BF148+BF149+BF150+BF151+BF115-BF81)&lt;0,0,(BF142+BF143+BF144+BF145+BF146+BF147+BF149+BF148+BF150+BF151+BF115-BF81-BF157-BF158-BF159-BF160-BF161-BF162-BF163-BF164-BF165))</f>
        <v>252.90000000000015</v>
      </c>
      <c r="BG166" s="1083">
        <f t="shared" ref="BG166" si="195">IF((BG142+BG143+BG144+BG145+BG146+BG147+BG148+BG149+BG150+BG151+BG115-BG81)&lt;0,0,(BG142+BG143+BG144+BG145+BG146+BG147+BG149+BG148+BG150+BG151+BG115-BG81-BG157-BG158-BG159-BG160-BG161-BG162-BG163-BG164-BG165))</f>
        <v>274.19999999999993</v>
      </c>
      <c r="BH166" s="1083">
        <f>IF((BH142+BH143+BH144+BH145+BH146+BH147+BH148+BH149+BH150+BH151+BH115-BH81)&lt;0,0,(BH142+BH143+BH144+BH145+BH146+BH147+BH149+BH148+BH150+BH151+BH115-BH81-BH157-BH158-BH159-BH160-BH161-BH162-BH163-BH164-BH165))</f>
        <v>299.99999999999989</v>
      </c>
      <c r="BI166" s="1083">
        <f>IF((BI142+BI143+BI144+BI145+BI146+BI147+BI148+BI149+BI150+BI151+BI115-BI81)&lt;0,0,(BI142+BI143+BI144+BI145+BI146+BI147+BI149+BI148+BI150+BI151+BI115-BI81-BI157-BI158-BI159-BI160-BI161-BI162-BI163-BI164-BI165))</f>
        <v>170</v>
      </c>
      <c r="BJ166" s="1083">
        <f t="shared" ref="BJ166:BO166" si="196">IF((BJ142+BJ143+BJ144+BJ145+BJ146+BJ147+BJ148+BJ149+BJ150+BJ151+BJ115-BJ81)&lt;0,0,(BJ142+BJ143+BJ144+BJ145+BJ146+BJ147+BJ149+BJ148+BJ150+BJ151+BJ115-BJ81-BJ157-BJ158-BJ159-BJ160-BJ161-BJ162-BJ163-BJ164-BJ165))</f>
        <v>861.75</v>
      </c>
      <c r="BK166" s="1083">
        <f t="shared" si="196"/>
        <v>78.641250000000028</v>
      </c>
      <c r="BL166" s="1083">
        <f t="shared" si="196"/>
        <v>174.74166666666679</v>
      </c>
      <c r="BM166" s="1083">
        <f t="shared" si="196"/>
        <v>1256.3791666666657</v>
      </c>
      <c r="BN166" s="1083">
        <f t="shared" si="196"/>
        <v>657.375</v>
      </c>
      <c r="BO166" s="1080">
        <f t="shared" si="196"/>
        <v>4436.3184523809559</v>
      </c>
      <c r="BP166" s="1079"/>
      <c r="BQ166" s="1079">
        <f t="shared" si="191"/>
        <v>175.65625</v>
      </c>
      <c r="BR166" s="1079">
        <f>IF((BR142+BR143+BR144+BR145+BR146+BR147+BR148+BR149+BR150+BR151+BR115-BR81)&lt;0,0,(BR142+BR143+BR144+BR145+BR146+BR147+BR149+BR148+BR150+BR151+BR115-BR81-BR157-BR158-BR159-BR160-BR161-BR162-BR163-BR164-BR165))</f>
        <v>350</v>
      </c>
      <c r="BS166" s="1079">
        <f>IF((BS142+BS143+BS144+BS145+BS146+BS147+BS148+BS149+BS150+BS151+BS115-BS81)&lt;0,0,(BS142+BS143+BS144+BS145+BS146+BS147+BS149+BS148+BS150+BS151+BS115-BS81-BS157-BS158-BS159-BS160-BS161-BS162-BS163-BS164-BS165))</f>
        <v>170</v>
      </c>
      <c r="BT166" s="1079">
        <f t="shared" ref="BT166" si="197">IF((BT142+BT143+BT144+BT145+BT146+BT147+BT148+BT149+BT150+BT151+BT115-BT81)&lt;0,0,(BT142+BT143+BT144+BT145+BT146+BT147+BT149+BT148+BT150+BT151+BT115-BT81-BT157-BT158-BT159-BT160-BT161-BT162-BT163-BT164-BT165))</f>
        <v>475.90000000000003</v>
      </c>
      <c r="BU166" s="1080">
        <f t="shared" si="191"/>
        <v>500</v>
      </c>
      <c r="BV166" s="1090">
        <f t="shared" ref="BV166:DV166" si="198">IF((BV142+BV143+BV144+BV145+BV146+BV147+BV148+BV149+BV150+BV151+BV115-BV81)&lt;0,0,(BV142+BV143+BV144+BV145+BV146+BV147+BV149+BV148+BV150+BV151+BV115-BV81-BV157-BV158-BV159-BV160-BV161-BV162-BV163-BV164-BV165))</f>
        <v>1000</v>
      </c>
      <c r="BW166" s="1079">
        <f t="shared" si="198"/>
        <v>2455.6937499999995</v>
      </c>
      <c r="BX166" s="1091">
        <f t="shared" si="198"/>
        <v>234.07500000000005</v>
      </c>
      <c r="BY166" s="1091"/>
      <c r="BZ166" s="1091">
        <f t="shared" si="198"/>
        <v>357.34178571428572</v>
      </c>
      <c r="CA166" s="1091">
        <f t="shared" si="198"/>
        <v>102.79500000000098</v>
      </c>
      <c r="CB166" s="1091">
        <f t="shared" si="198"/>
        <v>478.76607142857165</v>
      </c>
      <c r="CC166" s="1091">
        <f t="shared" si="198"/>
        <v>0</v>
      </c>
      <c r="CD166" s="1082">
        <f t="shared" si="198"/>
        <v>13413.8125</v>
      </c>
      <c r="CE166" s="1082">
        <f t="shared" si="198"/>
        <v>7988.2982142857145</v>
      </c>
      <c r="CF166" s="1082">
        <f t="shared" si="198"/>
        <v>258</v>
      </c>
      <c r="CG166" s="1082">
        <f t="shared" si="198"/>
        <v>2426.3550000000005</v>
      </c>
      <c r="CH166" s="1082">
        <f t="shared" si="198"/>
        <v>912.74999999999955</v>
      </c>
      <c r="CI166" s="1082">
        <f>IF((CI142+CI143+CI144+CI145+CI146+CI147+CI148+CI149+CI150+CI151+CI115-CI81)&lt;0,0,(CI142+CI143+CI144+CI145+CI146+CI147+CI149+CI148+CI150+CI151+CI115-CI81-CI157-CI158-CI159-CI160-CI161-CI162-CI163-CI164-CI165))</f>
        <v>250</v>
      </c>
      <c r="CJ166" s="1082">
        <f>IF((CJ142+CJ143+CJ144+CJ145+CJ146+CJ147+CJ148+CJ149+CJ150+CJ151+CJ115-CJ81)&lt;0,0,(CJ142+CJ143+CJ144+CJ145+CJ146+CJ147+CJ149+CJ148+CJ150+CJ151+CJ115-CJ81-CJ157-CJ158-CJ159-CJ160-CJ161-CJ162-CJ163-CJ164-CJ165))</f>
        <v>199.99999999999997</v>
      </c>
      <c r="CK166" s="1082">
        <f t="shared" ref="CK166:CN166" si="199">IF((CK142+CK143+CK144+CK145+CK146+CK147+CK148+CK149+CK150+CK151+CK115-CK81)&lt;0,0,(CK142+CK143+CK144+CK145+CK146+CK147+CK149+CK148+CK150+CK151+CK115-CK81-CK157-CK158-CK159-CK160-CK161-CK162-CK163-CK164-CK165))</f>
        <v>255</v>
      </c>
      <c r="CL166" s="1082">
        <f t="shared" si="199"/>
        <v>760.36428571428632</v>
      </c>
      <c r="CM166" s="1082">
        <f t="shared" si="199"/>
        <v>621.80499999999995</v>
      </c>
      <c r="CN166" s="1082">
        <f t="shared" si="199"/>
        <v>892.50500000000011</v>
      </c>
      <c r="CO166" s="1082">
        <f t="shared" si="198"/>
        <v>57.600000000000023</v>
      </c>
      <c r="CP166" s="1085">
        <f t="shared" si="198"/>
        <v>466.6875</v>
      </c>
      <c r="CQ166" s="1085">
        <f>IF((CQ142+CQ143+CQ144+CQ145+CQ146+CQ147+CQ148+CQ149+CQ150+CQ151+CQ115-CQ81)&lt;0,0,(CQ142+CQ143+CQ144+CQ145+CQ146+CQ147+CQ149+CQ148+CQ150+CQ151+CQ115-CQ81-CQ157-CQ158-CQ159-CQ160-CQ161-CQ162-CQ163-CQ164-CQ165))</f>
        <v>150.00000000000003</v>
      </c>
      <c r="CR166" s="1085">
        <f t="shared" si="198"/>
        <v>480.4375</v>
      </c>
      <c r="CS166" s="1085">
        <f>IF((CS142+CS143+CS144+CS145+CS146+CS147+CS148+CS149+CS150+CS151+CS115-CS81)&lt;0,0,(CS142+CS143+CS144+CS145+CS146+CS147+CS149+CS148+CS150+CS151+CS115-CS81-CS157-CS158-CS159-CS160-CS161-CS162-CS163-CS164-CS165))</f>
        <v>150</v>
      </c>
      <c r="CT166" s="1083">
        <f t="shared" si="198"/>
        <v>536.94999999999891</v>
      </c>
      <c r="CU166" s="1083">
        <f t="shared" si="198"/>
        <v>2089.3950000000013</v>
      </c>
      <c r="CV166" s="1083">
        <f t="shared" si="198"/>
        <v>113.85000000000004</v>
      </c>
      <c r="CW166" s="1083">
        <f t="shared" si="198"/>
        <v>1228.989142857143</v>
      </c>
      <c r="CX166" s="1083">
        <f t="shared" si="198"/>
        <v>99.224999999999909</v>
      </c>
      <c r="CY166" s="1085">
        <f t="shared" si="198"/>
        <v>915.28625000000079</v>
      </c>
      <c r="CZ166" s="1080">
        <f t="shared" si="198"/>
        <v>298.10250000000002</v>
      </c>
      <c r="DA166" s="1087">
        <f t="shared" si="198"/>
        <v>1485.6968750000015</v>
      </c>
      <c r="DB166" s="1080">
        <f t="shared" si="198"/>
        <v>2579.6711309523826</v>
      </c>
      <c r="DC166" s="1079">
        <f t="shared" si="198"/>
        <v>4732.2124999999996</v>
      </c>
      <c r="DD166" s="1079">
        <f>IF((DD142+DD143+DD144+DD145+DD146+DD147+DD148+DD149+DD150+DD151+DD115-DD81)&lt;0,0,(DD142+DD143+DD144+DD145+DD146+DD147+DD149+DD148+DD150+DD151+DD115-DD81-DD157-DD158-DD159-DD160-DD161-DD162-DD163-DD164-DD165))</f>
        <v>1100</v>
      </c>
      <c r="DE166" s="1079">
        <f>IF((DE142+DE143+DE144+DE145+DE146+DE147+DE148+DE149+DE150+DE151+DE115-DE81)&lt;0,0,(DE142+DE143+DE144+DE145+DE146+DE147+DE149+DE148+DE150+DE151+DE115-DE81-DE157-DE158-DE159-DE160-DE161-DE162-DE163-DE164-DE165))</f>
        <v>230</v>
      </c>
      <c r="DF166" s="1080">
        <f t="shared" ref="DF166" si="200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0">
        <f t="shared" si="198"/>
        <v>47.099999999999994</v>
      </c>
      <c r="DH166" s="1080">
        <f t="shared" si="198"/>
        <v>499.76249999999982</v>
      </c>
      <c r="DI166" s="1080">
        <f t="shared" si="198"/>
        <v>447.9375</v>
      </c>
      <c r="DJ166" s="1087">
        <f t="shared" si="198"/>
        <v>1058.25</v>
      </c>
      <c r="DK166" s="1080">
        <f t="shared" si="198"/>
        <v>1321.75</v>
      </c>
      <c r="DL166" s="1080"/>
      <c r="DM166" s="1080"/>
      <c r="DN166" s="1080"/>
      <c r="DO166" s="1080">
        <f t="shared" ref="DO166" si="201">IF((DO142+DO143+DO144+DO145+DO146+DO147+DO148+DO149+DO150+DO151+DO115-DO81)&lt;0,0,(DO142+DO143+DO144+DO145+DO146+DO147+DO149+DO148+DO150+DO151+DO115-DO81-DO157-DO158-DO159-DO160-DO161-DO162-DO163-DO164-DO165))</f>
        <v>277.25</v>
      </c>
      <c r="DP166" s="1083">
        <f t="shared" si="198"/>
        <v>909.75</v>
      </c>
      <c r="DQ166" s="1079">
        <f t="shared" si="198"/>
        <v>0</v>
      </c>
      <c r="DR166" s="1092">
        <f t="shared" si="198"/>
        <v>0</v>
      </c>
      <c r="DS166" s="1092">
        <f t="shared" si="198"/>
        <v>0</v>
      </c>
      <c r="DT166" s="1079"/>
      <c r="DU166" s="1092">
        <f t="shared" ref="DU166" si="202">IF((DU142+DU143+DU144+DU145+DU146+DU147+DU148+DU149+DU150+DU151+DU115-DU81)&lt;0,0,(DU142+DU143+DU144+DU145+DU146+DU147+DU149+DU148+DU150+DU151+DU115-DU81-DU157-DU158-DU159-DU160-DU161-DU162-DU163-DU164-DU165))</f>
        <v>0</v>
      </c>
      <c r="DV166" s="1089">
        <f t="shared" si="198"/>
        <v>0</v>
      </c>
      <c r="DW166" s="1089">
        <f t="shared" si="78"/>
        <v>133385.74770238096</v>
      </c>
      <c r="DX166" s="1093" t="str">
        <f t="shared" si="151"/>
        <v>Заявка на Производство на ближайшие 32-38 дней, кг</v>
      </c>
      <c r="DY166" s="1094"/>
    </row>
    <row r="167" spans="1:129" s="1095" customFormat="1" ht="14.1" customHeight="1">
      <c r="A167" s="1078" t="s">
        <v>671</v>
      </c>
      <c r="B167" s="1079">
        <f t="shared" ref="B167:BU167" si="203">IF((B141+B115-B81)&lt;0,IF(B152+B115-(B81-B141)&lt;0,0,B152-(B81+B156-B141)+B115),B152-(B81+B156-B141)+B115)</f>
        <v>2746.3449999999998</v>
      </c>
      <c r="C167" s="1080">
        <f t="shared" si="203"/>
        <v>203.67499999999998</v>
      </c>
      <c r="D167" s="1080">
        <f t="shared" si="203"/>
        <v>2165.6574999999998</v>
      </c>
      <c r="E167" s="1080">
        <f t="shared" si="203"/>
        <v>270</v>
      </c>
      <c r="F167" s="1080">
        <f t="shared" si="203"/>
        <v>2120.6285714285709</v>
      </c>
      <c r="G167" s="1080">
        <f t="shared" si="203"/>
        <v>113.99999999999999</v>
      </c>
      <c r="H167" s="1080">
        <f>IF((H141+H115-H81)&lt;0,IF(H152+H115-(H81-H141)&lt;0,0,H152-(H81+H156-H141)+H115),H152-(H81+H156-H141)+H115)</f>
        <v>500</v>
      </c>
      <c r="I167" s="1079">
        <f t="shared" si="203"/>
        <v>660.05250000000012</v>
      </c>
      <c r="J167" s="1080">
        <f t="shared" si="203"/>
        <v>1287.6106666666656</v>
      </c>
      <c r="K167" s="1080">
        <f t="shared" si="203"/>
        <v>254.35000000000002</v>
      </c>
      <c r="L167" s="1080">
        <f t="shared" si="203"/>
        <v>68.703124999999957</v>
      </c>
      <c r="M167" s="1080">
        <f t="shared" si="203"/>
        <v>0</v>
      </c>
      <c r="N167" s="1081">
        <f t="shared" si="203"/>
        <v>770.06250000000057</v>
      </c>
      <c r="O167" s="1081">
        <f t="shared" si="203"/>
        <v>331.75124999999991</v>
      </c>
      <c r="P167" s="1082">
        <f t="shared" si="203"/>
        <v>566.84000000000015</v>
      </c>
      <c r="Q167" s="1083">
        <f t="shared" si="203"/>
        <v>767.75999999999976</v>
      </c>
      <c r="R167" s="1083">
        <f t="shared" si="203"/>
        <v>1022.2800000000002</v>
      </c>
      <c r="S167" s="1079">
        <f t="shared" si="203"/>
        <v>19355.291666666675</v>
      </c>
      <c r="T167" s="1084">
        <f t="shared" si="203"/>
        <v>477.84910714285712</v>
      </c>
      <c r="U167" s="1083">
        <f t="shared" si="203"/>
        <v>1780.7650000000008</v>
      </c>
      <c r="V167" s="1083">
        <f>IF((V141+V115-V81)&lt;0,IF(V152+V115-(V81-V141)&lt;0,0,V152-(V81+V156-V141)+V115),V152-(V81+V156-V141)+V115)</f>
        <v>1161.3300000000006</v>
      </c>
      <c r="W167" s="1083">
        <f>IF((W141+W115-W81)&lt;0,IF(W152+W115-(W81-W141)&lt;0,0,W152-(W81+W156-W141)+W115),W152-(W81+W156-W141)+W115)</f>
        <v>70</v>
      </c>
      <c r="X167" s="1083">
        <f>IF((X141+X115-X81)&lt;0,IF(X152+X115-(X81-X141)&lt;0,0,X152-(X81+X156-X141)+X115),X152-(X81+X156-X141)+X115)</f>
        <v>298.95</v>
      </c>
      <c r="Y167" s="1085">
        <f t="shared" ref="Y167:AD167" si="204">IF((Y141+Y115-Y81)&lt;0,IF(Y152+Y115-(Y81-Y141)&lt;0,0,Y152-(Y81+Y156-Y141)+Y115),Y152-(Y81+Y156-Y141)+Y115)</f>
        <v>1942.4537500000006</v>
      </c>
      <c r="Z167" s="1079">
        <f t="shared" si="204"/>
        <v>203.12999999999994</v>
      </c>
      <c r="AA167" s="1085">
        <f t="shared" si="204"/>
        <v>3546.450666666668</v>
      </c>
      <c r="AB167" s="1083">
        <f t="shared" si="204"/>
        <v>589.59999999999968</v>
      </c>
      <c r="AC167" s="1083">
        <f t="shared" si="204"/>
        <v>167.04000000000002</v>
      </c>
      <c r="AD167" s="1083">
        <f t="shared" si="204"/>
        <v>1707.1499999999999</v>
      </c>
      <c r="AE167" s="1083">
        <f>IF((AE141+AE115-AE81)&lt;0,IF(AE152+AE115-(AE81-AE141)&lt;0,0,AE152-(AE81+AE156-AE141)+AE115),AE152-(AE81+AE156-AE141)+AE115)</f>
        <v>150</v>
      </c>
      <c r="AF167" s="1083">
        <f>IF((AF141+AF115-AF81)&lt;0,IF(AF152+AF115-(AF81-AF141)&lt;0,0,AF152-(AF81+AF156-AF141)+AF115),AF152-(AF81+AF156-AF141)+AF115)</f>
        <v>500</v>
      </c>
      <c r="AG167" s="1080">
        <f t="shared" ref="AG167:AI167" si="205">IF((AG141+AG115-AG81)&lt;0,IF(AG152+AG115-(AG81-AG141)&lt;0,0,AG152-(AG81+AG156-AG141)+AG115),AG152-(AG81+AG156-AG141)+AG115)</f>
        <v>924.96266666666725</v>
      </c>
      <c r="AH167" s="1080">
        <f t="shared" si="205"/>
        <v>687.02600000000007</v>
      </c>
      <c r="AI167" s="1080">
        <f t="shared" si="205"/>
        <v>4525.05</v>
      </c>
      <c r="AJ167" s="1080">
        <f>IF((AJ141+AJ115-AJ81)&lt;0,IF(AJ152+AJ115-(AJ81-AJ141)&lt;0,0,AJ152-(AJ81+AJ156-AJ141)+AJ115),AJ152-(AJ81+AJ156-AJ141)+AJ115)</f>
        <v>0</v>
      </c>
      <c r="AK167" s="1080">
        <f>IF((AK141+AK115-AK81)&lt;0,IF(AK152+AK115-(AK81-AK141)&lt;0,0,AK152-(AK81+AK156-AK141)+AK115),AK152-(AK81+AK156-AK141)+AK115)</f>
        <v>1915.2</v>
      </c>
      <c r="AL167" s="1080">
        <f t="shared" ref="AL167:AO167" si="206">IF((AL141+AL115-AL81)&lt;0,IF(AL152+AL115-(AL81-AL141)&lt;0,0,AL152-(AL81+AL156-AL141)+AL115),AL152-(AL81+AL156-AL141)+AL115)</f>
        <v>638.59500000000014</v>
      </c>
      <c r="AM167" s="1086">
        <f t="shared" si="206"/>
        <v>3781.4957142857133</v>
      </c>
      <c r="AN167" s="1086">
        <f t="shared" si="206"/>
        <v>178.2</v>
      </c>
      <c r="AO167" s="1086">
        <f t="shared" si="206"/>
        <v>2353.5</v>
      </c>
      <c r="AP167" s="1086">
        <f t="shared" si="203"/>
        <v>55.95</v>
      </c>
      <c r="AQ167" s="1083">
        <f t="shared" si="203"/>
        <v>1177.1750000000002</v>
      </c>
      <c r="AR167" s="1087">
        <f t="shared" si="203"/>
        <v>91.208285714285637</v>
      </c>
      <c r="AS167" s="1087">
        <f t="shared" si="203"/>
        <v>94.813750000000013</v>
      </c>
      <c r="AT167" s="1087">
        <f t="shared" si="203"/>
        <v>104.26499999999999</v>
      </c>
      <c r="AU167" s="1087">
        <f t="shared" si="203"/>
        <v>36.721249999999984</v>
      </c>
      <c r="AV167" s="1087">
        <f t="shared" si="203"/>
        <v>0</v>
      </c>
      <c r="AW167" s="1088">
        <f t="shared" si="203"/>
        <v>0</v>
      </c>
      <c r="AX167" s="1089">
        <f t="shared" si="203"/>
        <v>0</v>
      </c>
      <c r="AY167" s="1083">
        <f t="shared" si="203"/>
        <v>2032.3682857142858</v>
      </c>
      <c r="AZ167" s="1080">
        <f t="shared" si="203"/>
        <v>356.87</v>
      </c>
      <c r="BA167" s="1080">
        <f t="shared" si="203"/>
        <v>670.78125</v>
      </c>
      <c r="BB167" s="1080">
        <f t="shared" si="203"/>
        <v>1419.9386904761909</v>
      </c>
      <c r="BC167" s="1083">
        <f t="shared" si="203"/>
        <v>420</v>
      </c>
      <c r="BD167" s="1080">
        <f t="shared" si="203"/>
        <v>800</v>
      </c>
      <c r="BE167" s="1083">
        <f t="shared" si="203"/>
        <v>211.3125</v>
      </c>
      <c r="BF167" s="1083">
        <f>IF((BF141+BF115-BF81)&lt;0,IF(BF152+BF115-(BF81-BF141)&lt;0,0,BF152-(BF81+BF156-BF141)+BF115),BF152-(BF81+BF156-BF141)+BF115)</f>
        <v>252.90000000000003</v>
      </c>
      <c r="BG167" s="1083">
        <f t="shared" ref="BG167" si="207">IF((BG141+BG115-BG81)&lt;0,IF(BG152+BG115-(BG81-BG141)&lt;0,0,BG152-(BG81+BG156-BG141)+BG115),BG152-(BG81+BG156-BG141)+BG115)</f>
        <v>258</v>
      </c>
      <c r="BH167" s="1083">
        <f>IF((BH141+BH115-BH81)&lt;0,IF(BH152+BH115-(BH81-BH141)&lt;0,0,BH152-(BH81+BH156-BH141)+BH115),BH152-(BH81+BH156-BH141)+BH115)</f>
        <v>300</v>
      </c>
      <c r="BI167" s="1083">
        <f>IF((BI141+BI115-BI81)&lt;0,IF(BI152+BI115-(BI81-BI141)&lt;0,0,BI152-(BI81+BI156-BI141)+BI115),BI152-(BI81+BI156-BI141)+BI115)</f>
        <v>170</v>
      </c>
      <c r="BJ167" s="1083">
        <f t="shared" ref="BJ167:BO167" si="208">IF((BJ141+BJ115-BJ81)&lt;0,IF(BJ152+BJ115-(BJ81-BJ141)&lt;0,0,BJ152-(BJ81+BJ156-BJ141)+BJ115),BJ152-(BJ81+BJ156-BJ141)+BJ115)</f>
        <v>861.75</v>
      </c>
      <c r="BK167" s="1083">
        <f t="shared" si="208"/>
        <v>78.641249999999999</v>
      </c>
      <c r="BL167" s="1083">
        <f t="shared" si="208"/>
        <v>114.74166666666667</v>
      </c>
      <c r="BM167" s="1083">
        <f t="shared" si="208"/>
        <v>5256.3791666666666</v>
      </c>
      <c r="BN167" s="1083">
        <f t="shared" si="208"/>
        <v>857.375</v>
      </c>
      <c r="BO167" s="1080">
        <f t="shared" si="208"/>
        <v>3878.5184523809512</v>
      </c>
      <c r="BP167" s="1079"/>
      <c r="BQ167" s="1079">
        <f t="shared" si="203"/>
        <v>175.65625</v>
      </c>
      <c r="BR167" s="1079">
        <f>IF((BR141+BR115-BR81)&lt;0,IF(BR152+BR115-(BR81-BR141)&lt;0,0,BR152-(BR81+BR156-BR141)+BR115),BR152-(BR81+BR156-BR141)+BR115)</f>
        <v>350</v>
      </c>
      <c r="BS167" s="1079">
        <f>IF((BS141+BS115-BS81)&lt;0,IF(BS152+BS115-(BS81-BS141)&lt;0,0,BS152-(BS81+BS156-BS141)+BS115),BS152-(BS81+BS156-BS141)+BS115)</f>
        <v>170</v>
      </c>
      <c r="BT167" s="1079">
        <f t="shared" ref="BT167" si="209">IF((BT141+BT115-BT81)&lt;0,IF(BT152+BT115-(BT81-BT141)&lt;0,0,BT152-(BT81+BT156-BT141)+BT115),BT152-(BT81+BT156-BT141)+BT115)</f>
        <v>475.90000000000009</v>
      </c>
      <c r="BU167" s="1080">
        <f t="shared" si="203"/>
        <v>500</v>
      </c>
      <c r="BV167" s="1090">
        <f t="shared" ref="BV167:DV167" si="210">IF((BV141+BV115-BV81)&lt;0,IF(BV152+BV115-(BV81-BV141)&lt;0,0,BV152-(BV81+BV156-BV141)+BV115),BV152-(BV81+BV156-BV141)+BV115)</f>
        <v>1000</v>
      </c>
      <c r="BW167" s="1079">
        <f t="shared" si="210"/>
        <v>2457.6937500000004</v>
      </c>
      <c r="BX167" s="1091">
        <f t="shared" si="210"/>
        <v>234.07499999999993</v>
      </c>
      <c r="BY167" s="1091"/>
      <c r="BZ167" s="1091">
        <f t="shared" si="210"/>
        <v>357.34178571428561</v>
      </c>
      <c r="CA167" s="1091">
        <f t="shared" si="210"/>
        <v>102.79500000000007</v>
      </c>
      <c r="CB167" s="1091">
        <f t="shared" si="210"/>
        <v>378.76607142857142</v>
      </c>
      <c r="CC167" s="1091">
        <f t="shared" si="210"/>
        <v>0</v>
      </c>
      <c r="CD167" s="1082">
        <f t="shared" si="210"/>
        <v>13313.8125</v>
      </c>
      <c r="CE167" s="1082">
        <f t="shared" si="210"/>
        <v>7827.0982142857119</v>
      </c>
      <c r="CF167" s="1082">
        <f t="shared" si="210"/>
        <v>258</v>
      </c>
      <c r="CG167" s="1082">
        <f t="shared" si="210"/>
        <v>2426.355</v>
      </c>
      <c r="CH167" s="1082">
        <f t="shared" si="210"/>
        <v>912.75000000000011</v>
      </c>
      <c r="CI167" s="1082">
        <f>IF((CI141+CI115-CI81)&lt;0,IF(CI152+CI115-(CI81-CI141)&lt;0,0,CI152-(CI81+CI156-CI141)+CI115),CI152-(CI81+CI156-CI141)+CI115)</f>
        <v>250</v>
      </c>
      <c r="CJ167" s="1082">
        <f>IF((CJ141+CJ115-CJ81)&lt;0,IF(CJ152+CJ115-(CJ81-CJ141)&lt;0,0,CJ152-(CJ81+CJ156-CJ141)+CJ115),CJ152-(CJ81+CJ156-CJ141)+CJ115)</f>
        <v>200</v>
      </c>
      <c r="CK167" s="1082">
        <f t="shared" ref="CK167:CN167" si="211">IF((CK141+CK115-CK81)&lt;0,IF(CK152+CK115-(CK81-CK141)&lt;0,0,CK152-(CK81+CK156-CK141)+CK115),CK152-(CK81+CK156-CK141)+CK115)</f>
        <v>45.771428571428601</v>
      </c>
      <c r="CL167" s="1082">
        <f t="shared" si="211"/>
        <v>610.36428571428587</v>
      </c>
      <c r="CM167" s="1082">
        <f t="shared" si="211"/>
        <v>621.80500000000006</v>
      </c>
      <c r="CN167" s="1082">
        <f t="shared" si="211"/>
        <v>442.50499999999977</v>
      </c>
      <c r="CO167" s="1082">
        <f t="shared" si="210"/>
        <v>57.599999999999987</v>
      </c>
      <c r="CP167" s="1085">
        <f t="shared" si="210"/>
        <v>426.6875</v>
      </c>
      <c r="CQ167" s="1085">
        <f>IF((CQ141+CQ115-CQ81)&lt;0,IF(CQ152+CQ115-(CQ81-CQ141)&lt;0,0,CQ152-(CQ81+CQ156-CQ141)+CQ115),CQ152-(CQ81+CQ156-CQ141)+CQ115)</f>
        <v>150</v>
      </c>
      <c r="CR167" s="1085">
        <f t="shared" si="210"/>
        <v>480.4375</v>
      </c>
      <c r="CS167" s="1085">
        <f>IF((CS141+CS115-CS81)&lt;0,IF(CS152+CS115-(CS81-CS141)&lt;0,0,CS152-(CS81+CS156-CS141)+CS115),CS152-(CS81+CS156-CS141)+CS115)</f>
        <v>150</v>
      </c>
      <c r="CT167" s="1083">
        <f t="shared" si="210"/>
        <v>436.9500000000001</v>
      </c>
      <c r="CU167" s="1083">
        <f t="shared" si="210"/>
        <v>2089.3950000000004</v>
      </c>
      <c r="CV167" s="1083">
        <f t="shared" si="210"/>
        <v>113.85000000000001</v>
      </c>
      <c r="CW167" s="1083">
        <f t="shared" si="210"/>
        <v>1068.9891428571425</v>
      </c>
      <c r="CX167" s="1083">
        <f t="shared" si="210"/>
        <v>99.225000000000023</v>
      </c>
      <c r="CY167" s="1085">
        <f t="shared" si="210"/>
        <v>1015.2862499999999</v>
      </c>
      <c r="CZ167" s="1080">
        <f t="shared" si="210"/>
        <v>298.10249999999985</v>
      </c>
      <c r="DA167" s="1087">
        <f t="shared" si="210"/>
        <v>1485.6968749999996</v>
      </c>
      <c r="DB167" s="1080">
        <f t="shared" si="210"/>
        <v>2579.6711309523807</v>
      </c>
      <c r="DC167" s="1079">
        <f>IF((DC141+DC115-DC81)&lt;0,IF(DC152+DC115-(DC81-DC141)&lt;0,0,DC152-(DC81+DC156-DC141)+DC115),DC152-(DC81+DC156-DC141)+DC115)</f>
        <v>4699.4624999999996</v>
      </c>
      <c r="DD167" s="1079">
        <f>IF((DD141+DD115-DD81)&lt;0,IF(DD152+DD115-(DD81-DD141)&lt;0,0,DD152-(DD81+DD156-DD141)+DD115),DD152-(DD81+DD156-DD141)+DD115)</f>
        <v>1100</v>
      </c>
      <c r="DE167" s="1079">
        <f>IF((DE141+DE115-DE81)&lt;0,IF(DE152+DE115-(DE81-DE141)&lt;0,0,DE152-(DE81+DE156-DE141)+DE115),DE152-(DE81+DE156-DE141)+DE115)</f>
        <v>230</v>
      </c>
      <c r="DF167" s="1080">
        <f t="shared" ref="DF167" si="212">IF((DF141+DF115-DF81)&lt;0,IF(DF152+DF115-(DF81-DF141)&lt;0,0,DF152-(DF81+DF156-DF141)+DF115),DF152-(DF81+DF156-DF141)+DF115)</f>
        <v>1518</v>
      </c>
      <c r="DG167" s="1080">
        <f t="shared" si="210"/>
        <v>47.1</v>
      </c>
      <c r="DH167" s="1080">
        <f t="shared" si="210"/>
        <v>499.76249999999999</v>
      </c>
      <c r="DI167" s="1080">
        <f t="shared" si="210"/>
        <v>447.93750000000006</v>
      </c>
      <c r="DJ167" s="1087">
        <f t="shared" si="210"/>
        <v>0</v>
      </c>
      <c r="DK167" s="1080">
        <f t="shared" si="210"/>
        <v>1031.5</v>
      </c>
      <c r="DL167" s="1080"/>
      <c r="DM167" s="1080"/>
      <c r="DN167" s="1080"/>
      <c r="DO167" s="1080">
        <f t="shared" ref="DO167" si="213">IF((DO141+DO115-DO81)&lt;0,IF(DO152+DO115-(DO81-DO141)&lt;0,0,DO152-(DO81+DO156-DO141)+DO115),DO152-(DO81+DO156-DO141)+DO115)</f>
        <v>71.88095238095238</v>
      </c>
      <c r="DP167" s="1083">
        <f t="shared" si="210"/>
        <v>909.74999999999989</v>
      </c>
      <c r="DQ167" s="1079">
        <f t="shared" si="210"/>
        <v>0</v>
      </c>
      <c r="DR167" s="1092">
        <f t="shared" si="210"/>
        <v>0</v>
      </c>
      <c r="DS167" s="1092">
        <f t="shared" si="210"/>
        <v>0</v>
      </c>
      <c r="DT167" s="1079"/>
      <c r="DU167" s="1092">
        <f t="shared" ref="DU167" si="214">IF((DU141+DU115-DU81)&lt;0,IF(DU152+DU115-(DU81-DU141)&lt;0,0,DU152-(DU81+DU156-DU141)+DU115),DU152-(DU81+DU156-DU141)+DU115)</f>
        <v>0</v>
      </c>
      <c r="DV167" s="1089">
        <f t="shared" si="210"/>
        <v>0</v>
      </c>
      <c r="DW167" s="1089">
        <f t="shared" si="78"/>
        <v>134421.43886904765</v>
      </c>
      <c r="DX167" s="1096" t="str">
        <f t="shared" si="151"/>
        <v>Заявка на Производство на ближайшие 39-45 дней, кг</v>
      </c>
      <c r="DY167" s="1094"/>
    </row>
    <row r="168" spans="1:129" s="1095" customFormat="1" ht="14.1" customHeight="1">
      <c r="A168" s="1078" t="s">
        <v>672</v>
      </c>
      <c r="B168" s="1079">
        <f t="shared" ref="B168:BU168" si="215">IF((B141+B152+B115-B81)&lt;0,IF(B153+B115-(B81-B141-B152)&lt;0,0,B153-(B81+B167+B156-B141-B152)+B115),B153-(B81+B156+B167-B141-B152)+B115)</f>
        <v>2746.3450000000007</v>
      </c>
      <c r="C168" s="1080">
        <f t="shared" si="215"/>
        <v>203.67499999999993</v>
      </c>
      <c r="D168" s="1080">
        <f t="shared" si="215"/>
        <v>2165.6575000000003</v>
      </c>
      <c r="E168" s="1080">
        <f t="shared" si="215"/>
        <v>304.40999999999997</v>
      </c>
      <c r="F168" s="1080">
        <f t="shared" si="215"/>
        <v>2620.6285714285705</v>
      </c>
      <c r="G168" s="1080">
        <f t="shared" si="215"/>
        <v>113.99999999999999</v>
      </c>
      <c r="H168" s="1080">
        <f>IF((H141+H152+H115-H81)&lt;0,IF(H153+H115-(H81-H141-H152)&lt;0,0,H153-(H81+H167+H156-H141-H152)+H115),H153-(H81+H156+H167-H141-H152)+H115)</f>
        <v>500</v>
      </c>
      <c r="I168" s="1079">
        <f t="shared" si="215"/>
        <v>660.0524999999999</v>
      </c>
      <c r="J168" s="1080">
        <f t="shared" si="215"/>
        <v>1287.610666666666</v>
      </c>
      <c r="K168" s="1080">
        <f t="shared" si="215"/>
        <v>254.35000000000002</v>
      </c>
      <c r="L168" s="1080">
        <f t="shared" si="215"/>
        <v>68.703124999999957</v>
      </c>
      <c r="M168" s="1080">
        <f t="shared" si="215"/>
        <v>0</v>
      </c>
      <c r="N168" s="1081">
        <f t="shared" si="215"/>
        <v>770.06250000000045</v>
      </c>
      <c r="O168" s="1081">
        <f t="shared" si="215"/>
        <v>331.75125000000003</v>
      </c>
      <c r="P168" s="1082">
        <f t="shared" si="215"/>
        <v>566.84000000000015</v>
      </c>
      <c r="Q168" s="1083">
        <f t="shared" si="215"/>
        <v>767.75999999999954</v>
      </c>
      <c r="R168" s="1083">
        <f t="shared" si="215"/>
        <v>1022.2800000000004</v>
      </c>
      <c r="S168" s="1079">
        <f t="shared" si="215"/>
        <v>13487.311666666665</v>
      </c>
      <c r="T168" s="1084">
        <f t="shared" si="215"/>
        <v>477.84910714285724</v>
      </c>
      <c r="U168" s="1083">
        <f t="shared" si="215"/>
        <v>1780.7650000000008</v>
      </c>
      <c r="V168" s="1083">
        <f>IF((V141+V152+V115-V81)&lt;0,IF(V153+V115-(V81-V141-V152)&lt;0,0,V153-(V81+V167+V156-V141-V152)+V115),V153-(V81+V156+V167-V141-V152)+V115)</f>
        <v>1161.33</v>
      </c>
      <c r="W168" s="1083">
        <f>IF((W141+W152+W115-W81)&lt;0,IF(W153+W115-(W81-W141-W152)&lt;0,0,W153-(W81+W167+W156-W141-W152)+W115),W153-(W81+W156+W167-W141-W152)+W115)</f>
        <v>69.999999999999986</v>
      </c>
      <c r="X168" s="1083">
        <f>IF((X141+X152+X115-X81)&lt;0,IF(X153+X115-(X81-X141-X152)&lt;0,0,X153-(X81+X167+X156-X141-X152)+X115),X153-(X81+X156+X167-X141-X152)+X115)</f>
        <v>298.95</v>
      </c>
      <c r="Y168" s="1085">
        <f t="shared" ref="Y168:AD168" si="216">IF((Y141+Y152+Y115-Y81)&lt;0,IF(Y153+Y115-(Y81-Y141-Y152)&lt;0,0,Y153-(Y81+Y167+Y156-Y141-Y152)+Y115),Y153-(Y81+Y156+Y167-Y141-Y152)+Y115)</f>
        <v>1942.453750000001</v>
      </c>
      <c r="Z168" s="1079">
        <f t="shared" si="216"/>
        <v>203.12999999999985</v>
      </c>
      <c r="AA168" s="1085">
        <f t="shared" si="216"/>
        <v>3546.450666666668</v>
      </c>
      <c r="AB168" s="1083">
        <f t="shared" si="216"/>
        <v>589.6</v>
      </c>
      <c r="AC168" s="1083">
        <f t="shared" si="216"/>
        <v>167.04000000000002</v>
      </c>
      <c r="AD168" s="1083">
        <f t="shared" si="216"/>
        <v>1707.1499999999999</v>
      </c>
      <c r="AE168" s="1083">
        <f>IF((AE141+AE152+AE115-AE81)&lt;0,IF(AE153+AE115-(AE81-AE141-AE152)&lt;0,0,AE153-(AE81+AE167+AE156-AE141-AE152)+AE115),AE153-(AE81+AE156+AE167-AE141-AE152)+AE115)</f>
        <v>149.99999999999997</v>
      </c>
      <c r="AF168" s="1083">
        <f>IF((AF141+AF152+AF115-AF81)&lt;0,IF(AF153+AF115-(AF81-AF141-AF152)&lt;0,0,AF153-(AF81+AF167+AF156-AF141-AF152)+AF115),AF153-(AF81+AF156+AF167-AF141-AF152)+AF115)</f>
        <v>499.99999999999994</v>
      </c>
      <c r="AG168" s="1080">
        <f t="shared" ref="AG168:AI168" si="217">IF((AG141+AG152+AG115-AG81)&lt;0,IF(AG153+AG115-(AG81-AG141-AG152)&lt;0,0,AG153-(AG81+AG167+AG156-AG141-AG152)+AG115),AG153-(AG81+AG156+AG167-AG141-AG152)+AG115)</f>
        <v>924.96266666666702</v>
      </c>
      <c r="AH168" s="1080">
        <f t="shared" si="217"/>
        <v>687.02600000000018</v>
      </c>
      <c r="AI168" s="1080">
        <f t="shared" si="217"/>
        <v>4525.05</v>
      </c>
      <c r="AJ168" s="1080">
        <f>IF((AJ141+AJ152+AJ115-AJ81)&lt;0,IF(AJ153+AJ115-(AJ81-AJ141-AJ152)&lt;0,0,AJ153-(AJ81+AJ167+AJ156-AJ141-AJ152)+AJ115),AJ153-(AJ81+AJ156+AJ167-AJ141-AJ152)+AJ115)</f>
        <v>0</v>
      </c>
      <c r="AK168" s="1080">
        <f>IF((AK141+AK152+AK115-AK81)&lt;0,IF(AK153+AK115-(AK81-AK141-AK152)&lt;0,0,AK153-(AK81+AK167+AK156-AK141-AK152)+AK115),AK153-(AK81+AK156+AK167-AK141-AK152)+AK115)</f>
        <v>1915.2</v>
      </c>
      <c r="AL168" s="1080">
        <f t="shared" ref="AL168:AO168" si="218">IF((AL141+AL152+AL115-AL81)&lt;0,IF(AL153+AL115-(AL81-AL141-AL152)&lt;0,0,AL153-(AL81+AL167+AL156-AL141-AL152)+AL115),AL153-(AL81+AL156+AL167-AL141-AL152)+AL115)</f>
        <v>638.59500000000025</v>
      </c>
      <c r="AM168" s="1086">
        <f t="shared" si="218"/>
        <v>4881.4957142857129</v>
      </c>
      <c r="AN168" s="1086">
        <f t="shared" si="218"/>
        <v>178.2</v>
      </c>
      <c r="AO168" s="1086">
        <f t="shared" si="218"/>
        <v>2353.5</v>
      </c>
      <c r="AP168" s="1086">
        <f t="shared" si="215"/>
        <v>55.95</v>
      </c>
      <c r="AQ168" s="1083">
        <f t="shared" si="215"/>
        <v>1177.1750000000006</v>
      </c>
      <c r="AR168" s="1087">
        <f t="shared" si="215"/>
        <v>292.09699999999987</v>
      </c>
      <c r="AS168" s="1087">
        <f t="shared" si="215"/>
        <v>94.813750000000013</v>
      </c>
      <c r="AT168" s="1087">
        <f t="shared" si="215"/>
        <v>104.26499999999996</v>
      </c>
      <c r="AU168" s="1087">
        <f t="shared" si="215"/>
        <v>36.721249999999998</v>
      </c>
      <c r="AV168" s="1087">
        <f t="shared" si="215"/>
        <v>0</v>
      </c>
      <c r="AW168" s="1088">
        <f t="shared" si="215"/>
        <v>0</v>
      </c>
      <c r="AX168" s="1089">
        <f t="shared" si="215"/>
        <v>0</v>
      </c>
      <c r="AY168" s="1083">
        <f t="shared" si="215"/>
        <v>7532.3682857142849</v>
      </c>
      <c r="AZ168" s="1080">
        <f t="shared" si="215"/>
        <v>356.87</v>
      </c>
      <c r="BA168" s="1080">
        <f t="shared" si="215"/>
        <v>670.78125</v>
      </c>
      <c r="BB168" s="1080">
        <f t="shared" si="215"/>
        <v>1246.1386904761903</v>
      </c>
      <c r="BC168" s="1083">
        <f t="shared" si="215"/>
        <v>420</v>
      </c>
      <c r="BD168" s="1080">
        <f t="shared" si="215"/>
        <v>800</v>
      </c>
      <c r="BE168" s="1083">
        <f t="shared" si="215"/>
        <v>211.3125</v>
      </c>
      <c r="BF168" s="1083">
        <f>IF((BF141+BF152+BF115-BF81)&lt;0,IF(BF153+BF115-(BF81-BF141-BF152)&lt;0,0,BF153-(BF81+BF167+BF156-BF141-BF152)+BF115),BF153-(BF81+BF156+BF167-BF141-BF152)+BF115)</f>
        <v>252.90000000000003</v>
      </c>
      <c r="BG168" s="1083">
        <f t="shared" ref="BG168" si="219">IF((BG141+BG152+BG115-BG81)&lt;0,IF(BG153+BG115-(BG81-BG141-BG152)&lt;0,0,BG153-(BG81+BG167+BG156-BG141-BG152)+BG115),BG153-(BG81+BG156+BG167-BG141-BG152)+BG115)</f>
        <v>274.2</v>
      </c>
      <c r="BH168" s="1083">
        <f>IF((BH141+BH152+BH115-BH81)&lt;0,IF(BH153+BH115-(BH81-BH141-BH152)&lt;0,0,BH153-(BH81+BH167+BH156-BH141-BH152)+BH115),BH153-(BH81+BH156+BH167-BH141-BH152)+BH115)</f>
        <v>300</v>
      </c>
      <c r="BI168" s="1083">
        <f>IF((BI141+BI152+BI115-BI81)&lt;0,IF(BI153+BI115-(BI81-BI141-BI152)&lt;0,0,BI153-(BI81+BI167+BI156-BI141-BI152)+BI115),BI153-(BI81+BI156+BI167-BI141-BI152)+BI115)</f>
        <v>170</v>
      </c>
      <c r="BJ168" s="1083">
        <f t="shared" ref="BJ168:BO168" si="220">IF((BJ141+BJ152+BJ115-BJ81)&lt;0,IF(BJ153+BJ115-(BJ81-BJ141-BJ152)&lt;0,0,BJ153-(BJ81+BJ167+BJ156-BJ141-BJ152)+BJ115),BJ153-(BJ81+BJ156+BJ167-BJ141-BJ152)+BJ115)</f>
        <v>861.75</v>
      </c>
      <c r="BK168" s="1083">
        <f t="shared" si="220"/>
        <v>78.641249999999999</v>
      </c>
      <c r="BL168" s="1083">
        <f t="shared" si="220"/>
        <v>114.74166666666667</v>
      </c>
      <c r="BM168" s="1083">
        <f t="shared" si="220"/>
        <v>1756.3791666666675</v>
      </c>
      <c r="BN168" s="1083">
        <f t="shared" si="220"/>
        <v>857.375</v>
      </c>
      <c r="BO168" s="1080">
        <f t="shared" si="220"/>
        <v>4993.4934523809516</v>
      </c>
      <c r="BP168" s="1079"/>
      <c r="BQ168" s="1079">
        <f t="shared" si="215"/>
        <v>175.65625</v>
      </c>
      <c r="BR168" s="1079">
        <f>IF((BR141+BR152+BR115-BR81)&lt;0,IF(BR153+BR115-(BR81-BR141-BR152)&lt;0,0,BR153-(BR81+BR167+BR156-BR141-BR152)+BR115),BR153-(BR81+BR156+BR167-BR141-BR152)+BR115)</f>
        <v>350</v>
      </c>
      <c r="BS168" s="1079">
        <f>IF((BS141+BS152+BS115-BS81)&lt;0,IF(BS153+BS115-(BS81-BS141-BS152)&lt;0,0,BS153-(BS81+BS167+BS156-BS141-BS152)+BS115),BS153-(BS81+BS156+BS167-BS141-BS152)+BS115)</f>
        <v>170</v>
      </c>
      <c r="BT168" s="1079">
        <f t="shared" ref="BT168" si="221">IF((BT141+BT152+BT115-BT81)&lt;0,IF(BT153+BT115-(BT81-BT141-BT152)&lt;0,0,BT153-(BT81+BT167+BT156-BT141-BT152)+BT115),BT153-(BT81+BT156+BT167-BT141-BT152)+BT115)</f>
        <v>475.90000000000009</v>
      </c>
      <c r="BU168" s="1080">
        <f t="shared" si="215"/>
        <v>500</v>
      </c>
      <c r="BV168" s="1090">
        <f t="shared" ref="BV168:DV168" si="222">IF((BV141+BV152+BV115-BV81)&lt;0,IF(BV153+BV115-(BV81-BV141-BV152)&lt;0,0,BV153-(BV81+BV167+BV156-BV141-BV152)+BV115),BV153-(BV81+BV156+BV167-BV141-BV152)+BV115)</f>
        <v>1000</v>
      </c>
      <c r="BW168" s="1079">
        <f t="shared" si="222"/>
        <v>2457.6937500000004</v>
      </c>
      <c r="BX168" s="1091">
        <f t="shared" si="222"/>
        <v>234.07499999999993</v>
      </c>
      <c r="BY168" s="1091"/>
      <c r="BZ168" s="1091">
        <f t="shared" si="222"/>
        <v>357.34178571428572</v>
      </c>
      <c r="CA168" s="1091">
        <f t="shared" si="222"/>
        <v>102.79500000000007</v>
      </c>
      <c r="CB168" s="1091">
        <f t="shared" si="222"/>
        <v>378.76607142857142</v>
      </c>
      <c r="CC168" s="1091">
        <f t="shared" si="222"/>
        <v>0</v>
      </c>
      <c r="CD168" s="1082">
        <f t="shared" si="222"/>
        <v>13313.8125</v>
      </c>
      <c r="CE168" s="1082">
        <f t="shared" si="222"/>
        <v>15672.785714285714</v>
      </c>
      <c r="CF168" s="1082">
        <f t="shared" si="222"/>
        <v>258</v>
      </c>
      <c r="CG168" s="1082">
        <f t="shared" si="222"/>
        <v>2426.3549999999996</v>
      </c>
      <c r="CH168" s="1082">
        <f t="shared" si="222"/>
        <v>912.75000000000011</v>
      </c>
      <c r="CI168" s="1082">
        <f>IF((CI141+CI152+CI115-CI81)&lt;0,IF(CI153+CI115-(CI81-CI141-CI152)&lt;0,0,CI153-(CI81+CI167+CI156-CI141-CI152)+CI115),CI153-(CI81+CI156+CI167-CI141-CI152)+CI115)</f>
        <v>250</v>
      </c>
      <c r="CJ168" s="1082">
        <f>IF((CJ141+CJ152+CJ115-CJ81)&lt;0,IF(CJ153+CJ115-(CJ81-CJ141-CJ152)&lt;0,0,CJ153-(CJ81+CJ167+CJ156-CJ141-CJ152)+CJ115),CJ153-(CJ81+CJ156+CJ167-CJ141-CJ152)+CJ115)</f>
        <v>200</v>
      </c>
      <c r="CK168" s="1082">
        <f t="shared" ref="CK168:CN168" si="223">IF((CK141+CK152+CK115-CK81)&lt;0,IF(CK153+CK115-(CK81-CK141-CK152)&lt;0,0,CK153-(CK81+CK167+CK156-CK141-CK152)+CK115),CK153-(CK81+CK156+CK167-CK141-CK152)+CK115)</f>
        <v>255</v>
      </c>
      <c r="CL168" s="1082">
        <f t="shared" si="223"/>
        <v>610.36428571428587</v>
      </c>
      <c r="CM168" s="1082">
        <f t="shared" si="223"/>
        <v>621.80500000000006</v>
      </c>
      <c r="CN168" s="1082">
        <f t="shared" si="223"/>
        <v>442.505</v>
      </c>
      <c r="CO168" s="1082">
        <f t="shared" si="222"/>
        <v>57.599999999999994</v>
      </c>
      <c r="CP168" s="1085">
        <f t="shared" si="222"/>
        <v>426.6875</v>
      </c>
      <c r="CQ168" s="1085">
        <f>IF((CQ141+CQ152+CQ115-CQ81)&lt;0,IF(CQ153+CQ115-(CQ81-CQ141-CQ152)&lt;0,0,CQ153-(CQ81+CQ167+CQ156-CQ141-CQ152)+CQ115),CQ153-(CQ81+CQ156+CQ167-CQ141-CQ152)+CQ115)</f>
        <v>150.00000000000003</v>
      </c>
      <c r="CR168" s="1085">
        <f t="shared" si="222"/>
        <v>480.4375</v>
      </c>
      <c r="CS168" s="1085">
        <f>IF((CS141+CS152+CS115-CS81)&lt;0,IF(CS153+CS115-(CS81-CS141-CS152)&lt;0,0,CS153-(CS81+CS167+CS156-CS141-CS152)+CS115),CS153-(CS81+CS156+CS167-CS141-CS152)+CS115)</f>
        <v>150</v>
      </c>
      <c r="CT168" s="1083">
        <f t="shared" si="222"/>
        <v>436.95000000000022</v>
      </c>
      <c r="CU168" s="1083">
        <f t="shared" si="222"/>
        <v>2089.395</v>
      </c>
      <c r="CV168" s="1083">
        <f t="shared" si="222"/>
        <v>113.84999999999998</v>
      </c>
      <c r="CW168" s="1083">
        <f t="shared" si="222"/>
        <v>1768.9891428571425</v>
      </c>
      <c r="CX168" s="1083">
        <f t="shared" si="222"/>
        <v>99.225000000000023</v>
      </c>
      <c r="CY168" s="1085">
        <f t="shared" si="222"/>
        <v>1015.2862499999994</v>
      </c>
      <c r="CZ168" s="1080">
        <f t="shared" si="222"/>
        <v>298.10250000000002</v>
      </c>
      <c r="DA168" s="1087">
        <f t="shared" si="222"/>
        <v>1352.8218749999996</v>
      </c>
      <c r="DB168" s="1080">
        <f t="shared" si="222"/>
        <v>2183.4461309523808</v>
      </c>
      <c r="DC168" s="1079">
        <f t="shared" si="222"/>
        <v>4699.4624999999996</v>
      </c>
      <c r="DD168" s="1079">
        <f>IF((DD141+DD152+DD115-DD81)&lt;0,IF(DD153+DD115-(DD81-DD141-DD152)&lt;0,0,DD153-(DD81+DD167+DD156-DD141-DD152)+DD115),DD153-(DD81+DD156+DD167-DD141-DD152)+DD115)</f>
        <v>1100</v>
      </c>
      <c r="DE168" s="1079">
        <f>IF((DE141+DE152+DE115-DE81)&lt;0,IF(DE153+DE115-(DE81-DE141-DE152)&lt;0,0,DE153-(DE81+DE167+DE156-DE141-DE152)+DE115),DE153-(DE81+DE156+DE167-DE141-DE152)+DE115)</f>
        <v>230</v>
      </c>
      <c r="DF168" s="1080">
        <f t="shared" ref="DF168" si="224">IF((DF141+DF152+DF115-DF81)&lt;0,IF(DF153+DF115-(DF81-DF141-DF152)&lt;0,0,DF153-(DF81+DF167+DF156-DF141-DF152)+DF115),DF153-(DF81+DF156+DF167-DF141-DF152)+DF115)</f>
        <v>1518</v>
      </c>
      <c r="DG168" s="1080">
        <f t="shared" si="222"/>
        <v>47.1</v>
      </c>
      <c r="DH168" s="1080">
        <f t="shared" si="222"/>
        <v>499.76249999999999</v>
      </c>
      <c r="DI168" s="1080">
        <f t="shared" si="222"/>
        <v>447.93749999999994</v>
      </c>
      <c r="DJ168" s="1087">
        <f t="shared" si="222"/>
        <v>685.15476190476193</v>
      </c>
      <c r="DK168" s="1080">
        <f t="shared" si="222"/>
        <v>1321.75</v>
      </c>
      <c r="DL168" s="1080"/>
      <c r="DM168" s="1080"/>
      <c r="DN168" s="1080"/>
      <c r="DO168" s="1080">
        <f t="shared" ref="DO168" si="225">IF((DO141+DO152+DO115-DO81)&lt;0,IF(DO153+DO115-(DO81-DO141-DO152)&lt;0,0,DO153-(DO81+DO167+DO156-DO141-DO152)+DO115),DO153-(DO81+DO156+DO167-DO141-DO152)+DO115)</f>
        <v>277.25</v>
      </c>
      <c r="DP168" s="1083">
        <f t="shared" si="222"/>
        <v>909.74999999999989</v>
      </c>
      <c r="DQ168" s="1079">
        <f t="shared" si="222"/>
        <v>0</v>
      </c>
      <c r="DR168" s="1092">
        <f t="shared" si="222"/>
        <v>0</v>
      </c>
      <c r="DS168" s="1092">
        <f t="shared" si="222"/>
        <v>0</v>
      </c>
      <c r="DT168" s="1079"/>
      <c r="DU168" s="1092">
        <f t="shared" ref="DU168" si="226">IF((DU141+DU152+DU115-DU81)&lt;0,IF(DU153+DU115-(DU81-DU141-DU152)&lt;0,0,DU153-(DU81+DU167+DU156-DU141-DU152)+DU115),DU153-(DU81+DU156+DU167-DU141-DU152)+DU115)</f>
        <v>0</v>
      </c>
      <c r="DV168" s="1089">
        <f t="shared" si="222"/>
        <v>0</v>
      </c>
      <c r="DW168" s="1089">
        <f t="shared" si="78"/>
        <v>142752.72246428573</v>
      </c>
      <c r="DX168" s="1096" t="str">
        <f t="shared" si="151"/>
        <v>Заявка на Производство на ближайшие 46-52 дней, кг</v>
      </c>
      <c r="DY168" s="1094"/>
    </row>
    <row r="169" spans="1:129" s="1095" customFormat="1" ht="14.1" customHeight="1" thickBot="1">
      <c r="A169" s="1078" t="s">
        <v>673</v>
      </c>
      <c r="B169" s="1079">
        <f t="shared" ref="B169:BU169" si="227">IF((B141+B152+B153+B115-B81)&lt;0,IF(B154+B115-(B81-B141-B152-B153)&lt;0,0,B154-(B81+B167+B168+B156-B141-B152-B153)+B115),B154-(B81+B156+B168+B167-B141-B152-B153)+B115)</f>
        <v>2746.3449999999998</v>
      </c>
      <c r="C169" s="1080">
        <f t="shared" si="227"/>
        <v>203.67500000000004</v>
      </c>
      <c r="D169" s="1080">
        <f t="shared" si="227"/>
        <v>2165.6574999999984</v>
      </c>
      <c r="E169" s="1080">
        <f t="shared" si="227"/>
        <v>304.40999999999997</v>
      </c>
      <c r="F169" s="1080">
        <f t="shared" si="227"/>
        <v>2620.62857142857</v>
      </c>
      <c r="G169" s="1080">
        <f t="shared" si="227"/>
        <v>113.99999999999999</v>
      </c>
      <c r="H169" s="1080">
        <f>IF((H141+H152+H153+H115-H81)&lt;0,IF(H154+H115-(H81-H141-H152-H153)&lt;0,0,H154-(H81+H167+H168+H156-H141-H152-H153)+H115),H154-(H81+H156+H168+H167-H141-H152-H153)+H115)</f>
        <v>500</v>
      </c>
      <c r="I169" s="1079">
        <f t="shared" si="227"/>
        <v>660.05250000000012</v>
      </c>
      <c r="J169" s="1080">
        <f t="shared" si="227"/>
        <v>1287.6106666666658</v>
      </c>
      <c r="K169" s="1080">
        <f t="shared" si="227"/>
        <v>254.35000000000002</v>
      </c>
      <c r="L169" s="1080">
        <f t="shared" si="227"/>
        <v>68.703124999999957</v>
      </c>
      <c r="M169" s="1080">
        <f t="shared" si="227"/>
        <v>0</v>
      </c>
      <c r="N169" s="1081">
        <f t="shared" si="227"/>
        <v>770.06250000000034</v>
      </c>
      <c r="O169" s="1081">
        <f t="shared" si="227"/>
        <v>331.75125000000014</v>
      </c>
      <c r="P169" s="1082">
        <f t="shared" si="227"/>
        <v>566.84</v>
      </c>
      <c r="Q169" s="1083">
        <f t="shared" si="227"/>
        <v>767.76000000000113</v>
      </c>
      <c r="R169" s="1083">
        <f t="shared" si="227"/>
        <v>1022.28</v>
      </c>
      <c r="S169" s="1079">
        <f t="shared" si="227"/>
        <v>16855.291666666675</v>
      </c>
      <c r="T169" s="1097">
        <f t="shared" si="227"/>
        <v>477.84910714285712</v>
      </c>
      <c r="U169" s="1083">
        <f t="shared" si="227"/>
        <v>1780.7649999999999</v>
      </c>
      <c r="V169" s="1083">
        <f>IF((V141+V152+V153+V115-V81)&lt;0,IF(V154+V115-(V81-V141-V152-V153)&lt;0,0,V154-(V81+V167+V168+V156-V141-V152-V153)+V115),V154-(V81+V156+V168+V167-V141-V152-V153)+V115)</f>
        <v>1161.3300000000002</v>
      </c>
      <c r="W169" s="1083">
        <f>IF((W141+W152+W153+W115-W81)&lt;0,IF(W154+W115-(W81-W141-W152-W153)&lt;0,0,W154-(W81+W167+W168+W156-W141-W152-W153)+W115),W154-(W81+W156+W168+W167-W141-W152-W153)+W115)</f>
        <v>70.000000000000014</v>
      </c>
      <c r="X169" s="1083">
        <f>IF((X141+X152+X153+X115-X81)&lt;0,IF(X154+X115-(X81-X141-X152-X153)&lt;0,0,X154-(X81+X167+X168+X156-X141-X152-X153)+X115),X154-(X81+X156+X168+X167-X141-X152-X153)+X115)</f>
        <v>298.9500000000001</v>
      </c>
      <c r="Y169" s="1085">
        <f t="shared" ref="Y169:AD169" si="228">IF((Y141+Y152+Y153+Y115-Y81)&lt;0,IF(Y154+Y115-(Y81-Y141-Y152-Y153)&lt;0,0,Y154-(Y81+Y167+Y168+Y156-Y141-Y152-Y153)+Y115),Y154-(Y81+Y156+Y168+Y167-Y141-Y152-Y153)+Y115)</f>
        <v>1942.4537500000006</v>
      </c>
      <c r="Z169" s="1079">
        <f t="shared" si="228"/>
        <v>203.12999999999985</v>
      </c>
      <c r="AA169" s="1085">
        <f t="shared" si="228"/>
        <v>2496.450666666668</v>
      </c>
      <c r="AB169" s="1083">
        <f t="shared" si="228"/>
        <v>589.59999999999934</v>
      </c>
      <c r="AC169" s="1083">
        <f t="shared" si="228"/>
        <v>167.04000000000008</v>
      </c>
      <c r="AD169" s="1083">
        <f t="shared" si="228"/>
        <v>1707.1500000000003</v>
      </c>
      <c r="AE169" s="1083">
        <f>IF((AE141+AE152+AE153+AE115-AE81)&lt;0,IF(AE154+AE115-(AE81-AE141-AE152-AE153)&lt;0,0,AE154-(AE81+AE167+AE168+AE156-AE141-AE152-AE153)+AE115),AE154-(AE81+AE156+AE168+AE167-AE141-AE152-AE153)+AE115)</f>
        <v>150.00000000000003</v>
      </c>
      <c r="AF169" s="1083">
        <f>IF((AF141+AF152+AF153+AF115-AF81)&lt;0,IF(AF154+AF115-(AF81-AF141-AF152-AF153)&lt;0,0,AF154-(AF81+AF167+AF168+AF156-AF141-AF152-AF153)+AF115),AF154-(AF81+AF156+AF168+AF167-AF141-AF152-AF153)+AF115)</f>
        <v>500.00000000000017</v>
      </c>
      <c r="AG169" s="1080">
        <f t="shared" ref="AG169:AI169" si="229">IF((AG141+AG152+AG153+AG115-AG81)&lt;0,IF(AG154+AG115-(AG81-AG141-AG152-AG153)&lt;0,0,AG154-(AG81+AG167+AG168+AG156-AG141-AG152-AG153)+AG115),AG154-(AG81+AG156+AG168+AG167-AG141-AG152-AG153)+AG115)</f>
        <v>1224.9626666666666</v>
      </c>
      <c r="AH169" s="1080">
        <f t="shared" si="229"/>
        <v>187.02599999999984</v>
      </c>
      <c r="AI169" s="1080">
        <f t="shared" si="229"/>
        <v>4525.05</v>
      </c>
      <c r="AJ169" s="1080">
        <f>IF((AJ141+AJ152+AJ153+AJ115-AJ81)&lt;0,IF(AJ154+AJ115-(AJ81-AJ141-AJ152-AJ153)&lt;0,0,AJ154-(AJ81+AJ167+AJ168+AJ156-AJ141-AJ152-AJ153)+AJ115),AJ154-(AJ81+AJ156+AJ168+AJ167-AJ141-AJ152-AJ153)+AJ115)</f>
        <v>0</v>
      </c>
      <c r="AK169" s="1080">
        <f>IF((AK141+AK152+AK153+AK115-AK81)&lt;0,IF(AK154+AK115-(AK81-AK141-AK152-AK153)&lt;0,0,AK154-(AK81+AK167+AK168+AK156-AK141-AK152-AK153)+AK115),AK154-(AK81+AK156+AK168+AK167-AK141-AK152-AK153)+AK115)</f>
        <v>1915.2</v>
      </c>
      <c r="AL169" s="1080">
        <f t="shared" ref="AL169:AO169" si="230">IF((AL141+AL152+AL153+AL115-AL81)&lt;0,IF(AL154+AL115-(AL81-AL141-AL152-AL153)&lt;0,0,AL154-(AL81+AL167+AL168+AL156-AL141-AL152-AL153)+AL115),AL154-(AL81+AL156+AL168+AL167-AL141-AL152-AL153)+AL115)</f>
        <v>638.59499999999957</v>
      </c>
      <c r="AM169" s="1086">
        <f t="shared" si="230"/>
        <v>10481.495714285713</v>
      </c>
      <c r="AN169" s="1086">
        <f t="shared" si="230"/>
        <v>178.19999999999993</v>
      </c>
      <c r="AO169" s="1086">
        <f t="shared" si="230"/>
        <v>2353.5</v>
      </c>
      <c r="AP169" s="1086">
        <f t="shared" si="227"/>
        <v>55.95</v>
      </c>
      <c r="AQ169" s="1083">
        <f t="shared" si="227"/>
        <v>1177.1750000000011</v>
      </c>
      <c r="AR169" s="1087">
        <f t="shared" si="227"/>
        <v>292.09700000000009</v>
      </c>
      <c r="AS169" s="1087">
        <f t="shared" si="227"/>
        <v>94.813750000000013</v>
      </c>
      <c r="AT169" s="1087">
        <f t="shared" si="227"/>
        <v>104.26500000000001</v>
      </c>
      <c r="AU169" s="1087">
        <f t="shared" si="227"/>
        <v>36.721249999999998</v>
      </c>
      <c r="AV169" s="1087">
        <f t="shared" si="227"/>
        <v>0</v>
      </c>
      <c r="AW169" s="1088">
        <f t="shared" si="227"/>
        <v>0</v>
      </c>
      <c r="AX169" s="1089">
        <f t="shared" si="227"/>
        <v>0</v>
      </c>
      <c r="AY169" s="1083">
        <f t="shared" si="227"/>
        <v>1232.3682857142858</v>
      </c>
      <c r="AZ169" s="1080">
        <f t="shared" si="227"/>
        <v>356.86999999999989</v>
      </c>
      <c r="BA169" s="1080">
        <f t="shared" si="227"/>
        <v>670.78125</v>
      </c>
      <c r="BB169" s="1080">
        <f t="shared" si="227"/>
        <v>1246.1386904761912</v>
      </c>
      <c r="BC169" s="1083">
        <f t="shared" si="227"/>
        <v>420</v>
      </c>
      <c r="BD169" s="1080">
        <f t="shared" si="227"/>
        <v>800</v>
      </c>
      <c r="BE169" s="1083">
        <f t="shared" si="227"/>
        <v>211.3125</v>
      </c>
      <c r="BF169" s="1083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3">
        <f t="shared" ref="BG169" si="231">IF((BG141+BG152+BG153+BG115-BG81)&lt;0,IF(BG154+BG115-(BG81-BG141-BG152-BG153)&lt;0,0,BG154-(BG81+BG167+BG168+BG156-BG141-BG152-BG153)+BG115),BG154-(BG81+BG156+BG168+BG167-BG141-BG152-BG153)+BG115)</f>
        <v>274.2000000000001</v>
      </c>
      <c r="BH169" s="1083">
        <f>IF((BH141+BH152+BH153+BH115-BH81)&lt;0,IF(BH154+BH115-(BH81-BH141-BH152-BH153)&lt;0,0,BH154-(BH81+BH167+BH168+BH156-BH141-BH152-BH153)+BH115),BH154-(BH81+BH156+BH168+BH167-BH141-BH152-BH153)+BH115)</f>
        <v>300</v>
      </c>
      <c r="BI169" s="1083">
        <f>IF((BI141+BI152+BI153+BI115-BI81)&lt;0,IF(BI154+BI115-(BI81-BI141-BI152-BI153)&lt;0,0,BI154-(BI81+BI167+BI168+BI156-BI141-BI152-BI153)+BI115),BI154-(BI81+BI156+BI168+BI167-BI141-BI152-BI153)+BI115)</f>
        <v>170</v>
      </c>
      <c r="BJ169" s="1083">
        <f t="shared" ref="BJ169:BO169" si="232">IF((BJ141+BJ152+BJ153+BJ115-BJ81)&lt;0,IF(BJ154+BJ115-(BJ81-BJ141-BJ152-BJ153)&lt;0,0,BJ154-(BJ81+BJ167+BJ168+BJ156-BJ141-BJ152-BJ153)+BJ115),BJ154-(BJ81+BJ156+BJ168+BJ167-BJ141-BJ152-BJ153)+BJ115)</f>
        <v>861.75</v>
      </c>
      <c r="BK169" s="1083">
        <f t="shared" si="232"/>
        <v>78.641250000000028</v>
      </c>
      <c r="BL169" s="1083">
        <f t="shared" si="232"/>
        <v>414.74166666666662</v>
      </c>
      <c r="BM169" s="1083">
        <f t="shared" si="232"/>
        <v>1426.3791666666648</v>
      </c>
      <c r="BN169" s="1083">
        <f t="shared" si="232"/>
        <v>157.375</v>
      </c>
      <c r="BO169" s="1080">
        <f t="shared" si="232"/>
        <v>5493.4934523809516</v>
      </c>
      <c r="BP169" s="1079"/>
      <c r="BQ169" s="1079">
        <f t="shared" si="227"/>
        <v>175.65625</v>
      </c>
      <c r="BR169" s="1079">
        <f>IF((BR141+BR152+BR153+BR115-BR81)&lt;0,IF(BR154+BR115-(BR81-BR141-BR152-BR153)&lt;0,0,BR154-(BR81+BR167+BR168+BR156-BR141-BR152-BR153)+BR115),BR154-(BR81+BR156+BR168+BR167-BR141-BR152-BR153)+BR115)</f>
        <v>350</v>
      </c>
      <c r="BS169" s="1079">
        <f>IF((BS141+BS152+BS153+BS115-BS81)&lt;0,IF(BS154+BS115-(BS81-BS141-BS152-BS153)&lt;0,0,BS154-(BS81+BS167+BS168+BS156-BS141-BS152-BS153)+BS115),BS154-(BS81+BS156+BS168+BS167-BS141-BS152-BS153)+BS115)</f>
        <v>170</v>
      </c>
      <c r="BT169" s="1079">
        <f t="shared" ref="BT169" si="233">IF((BT141+BT152+BT153+BT115-BT81)&lt;0,IF(BT154+BT115-(BT81-BT141-BT152-BT153)&lt;0,0,BT154-(BT81+BT167+BT168+BT156-BT141-BT152-BT153)+BT115),BT154-(BT81+BT156+BT168+BT167-BT141-BT152-BT153)+BT115)</f>
        <v>475.90000000000009</v>
      </c>
      <c r="BU169" s="1080">
        <f t="shared" si="227"/>
        <v>500</v>
      </c>
      <c r="BV169" s="1090">
        <f t="shared" ref="BV169:DV169" si="234">IF((BV141+BV152+BV153+BV115-BV81)&lt;0,IF(BV154+BV115-(BV81-BV141-BV152-BV153)&lt;0,0,BV154-(BV81+BV167+BV168+BV156-BV141-BV152-BV153)+BV115),BV154-(BV81+BV156+BV168+BV167-BV141-BV152-BV153)+BV115)</f>
        <v>1000</v>
      </c>
      <c r="BW169" s="1079">
        <f t="shared" si="234"/>
        <v>1907.6937500000004</v>
      </c>
      <c r="BX169" s="1091">
        <f t="shared" si="234"/>
        <v>234.07500000000016</v>
      </c>
      <c r="BY169" s="1091"/>
      <c r="BZ169" s="1091">
        <f t="shared" si="234"/>
        <v>357.34178571428561</v>
      </c>
      <c r="CA169" s="1091">
        <f t="shared" si="234"/>
        <v>102.79500000000007</v>
      </c>
      <c r="CB169" s="1091">
        <f t="shared" si="234"/>
        <v>138.76607142857131</v>
      </c>
      <c r="CC169" s="1091">
        <f t="shared" si="234"/>
        <v>0</v>
      </c>
      <c r="CD169" s="1082">
        <f t="shared" si="234"/>
        <v>13313.8125</v>
      </c>
      <c r="CE169" s="1082">
        <f t="shared" si="234"/>
        <v>3922.7857142857065</v>
      </c>
      <c r="CF169" s="1082">
        <f t="shared" si="234"/>
        <v>258</v>
      </c>
      <c r="CG169" s="1082">
        <f t="shared" si="234"/>
        <v>2426.3549999999996</v>
      </c>
      <c r="CH169" s="1082">
        <f t="shared" si="234"/>
        <v>912.75000000000011</v>
      </c>
      <c r="CI169" s="1082">
        <f>IF((CI141+CI152+CI153+CI115-CI81)&lt;0,IF(CI154+CI115-(CI81-CI141-CI152-CI153)&lt;0,0,CI154-(CI81+CI167+CI168+CI156-CI141-CI152-CI153)+CI115),CI154-(CI81+CI156+CI168+CI167-CI141-CI152-CI153)+CI115)</f>
        <v>250</v>
      </c>
      <c r="CJ169" s="1082">
        <f>IF((CJ141+CJ152+CJ153+CJ115-CJ81)&lt;0,IF(CJ154+CJ115-(CJ81-CJ141-CJ152-CJ153)&lt;0,0,CJ154-(CJ81+CJ167+CJ168+CJ156-CJ141-CJ152-CJ153)+CJ115),CJ154-(CJ81+CJ156+CJ168+CJ167-CJ141-CJ152-CJ153)+CJ115)</f>
        <v>200</v>
      </c>
      <c r="CK169" s="1082">
        <f t="shared" ref="CK169:CN169" si="235">IF((CK141+CK152+CK153+CK115-CK81)&lt;0,IF(CK154+CK115-(CK81-CK141-CK152-CK153)&lt;0,0,CK154-(CK81+CK167+CK168+CK156-CK141-CK152-CK153)+CK115),CK154-(CK81+CK156+CK168+CK167-CK141-CK152-CK153)+CK115)</f>
        <v>255</v>
      </c>
      <c r="CL169" s="1082">
        <f t="shared" si="235"/>
        <v>370.36428571428581</v>
      </c>
      <c r="CM169" s="1082">
        <f t="shared" si="235"/>
        <v>381.80500000000001</v>
      </c>
      <c r="CN169" s="1082">
        <f t="shared" si="235"/>
        <v>442.50499999999977</v>
      </c>
      <c r="CO169" s="1082">
        <f t="shared" si="234"/>
        <v>57.599999999999994</v>
      </c>
      <c r="CP169" s="1085">
        <f t="shared" si="234"/>
        <v>426.6875</v>
      </c>
      <c r="CQ169" s="1085">
        <f>IF((CQ141+CQ152+CQ153+CQ115-CQ81)&lt;0,IF(CQ154+CQ115-(CQ81-CQ141-CQ152-CQ153)&lt;0,0,CQ154-(CQ81+CQ167+CQ168+CQ156-CQ141-CQ152-CQ153)+CQ115),CQ154-(CQ81+CQ156+CQ168+CQ167-CQ141-CQ152-CQ153)+CQ115)</f>
        <v>149.99999999999997</v>
      </c>
      <c r="CR169" s="1085">
        <f t="shared" si="234"/>
        <v>480.4375</v>
      </c>
      <c r="CS169" s="1085">
        <f>IF((CS141+CS152+CS153+CS115-CS81)&lt;0,IF(CS154+CS115-(CS81-CS141-CS152-CS153)&lt;0,0,CS154-(CS81+CS167+CS168+CS156-CS141-CS152-CS153)+CS115),CS154-(CS81+CS156+CS168+CS167-CS141-CS152-CS153)+CS115)</f>
        <v>150</v>
      </c>
      <c r="CT169" s="1083">
        <f t="shared" si="234"/>
        <v>436.95000000000022</v>
      </c>
      <c r="CU169" s="1083">
        <f>IF((CU141+CU152+CU153+CU115-CU81)&lt;0,IF(CU154+CU115-(CU81-CU141-CU152-CU153)&lt;0,0,CU154-(CU81+CU167+CU168+CU156-CU141-CU152-CU153)+CU115),CU154-(CU81+CU156+CU168+CU167-CU141-CU152-CU153)+CU115)</f>
        <v>2089.3950000000009</v>
      </c>
      <c r="CV169" s="1083">
        <f t="shared" ref="CV169" si="236">IF((CV141+CV152+CV153+CV115-CV81)&lt;0,IF(CV154+CV115-(CV81-CV141-CV152-CV153)&lt;0,0,CV154-(CV81+CV167+CV168+CV156-CV141-CV152-CV153)+CV115),CV154-(CV81+CV156+CV168+CV167-CV141-CV152-CV153)+CV115)</f>
        <v>113.85000000000004</v>
      </c>
      <c r="CW169" s="1083">
        <f t="shared" si="234"/>
        <v>1768.9891428571425</v>
      </c>
      <c r="CX169" s="1083">
        <f t="shared" si="234"/>
        <v>99.225000000000023</v>
      </c>
      <c r="CY169" s="1085">
        <f t="shared" si="234"/>
        <v>715.28624999999988</v>
      </c>
      <c r="CZ169" s="1080">
        <f t="shared" si="234"/>
        <v>298.10250000000002</v>
      </c>
      <c r="DA169" s="1087">
        <f t="shared" si="234"/>
        <v>1352.8218749999996</v>
      </c>
      <c r="DB169" s="1080">
        <f t="shared" si="234"/>
        <v>2183.4461309523808</v>
      </c>
      <c r="DC169" s="1079">
        <f>IF((DC141+DC152+DC153+DC115-DC81)&lt;0,IF(DC154+DC115-(DC81-DC141-DC152-DC153)&lt;0,0,DC154-(DC81+DC167+DC168+DC156-DC141-DC152-DC153)+DC115),DC154-(DC81+DC156+DC168+DC167-DC141-DC152-DC153)+DC115)</f>
        <v>4449.4624999999996</v>
      </c>
      <c r="DD169" s="1079">
        <f>IF((DD141+DD152+DD153+DD115-DD81)&lt;0,IF(DD154+DD115-(DD81-DD141-DD152-DD153)&lt;0,0,DD154-(DD81+DD167+DD168+DD156-DD141-DD152-DD153)+DD115),DD154-(DD81+DD156+DD168+DD167-DD141-DD152-DD153)+DD115)</f>
        <v>1100</v>
      </c>
      <c r="DE169" s="1079">
        <f>IF((DE141+DE152+DE153+DE115-DE81)&lt;0,IF(DE154+DE115-(DE81-DE141-DE152-DE153)&lt;0,0,DE154-(DE81+DE167+DE168+DE156-DE141-DE152-DE153)+DE115),DE154-(DE81+DE156+DE168+DE167-DE141-DE152-DE153)+DE115)</f>
        <v>230</v>
      </c>
      <c r="DF169" s="1080">
        <f t="shared" ref="DF169" si="237">IF((DF141+DF152+DF153+DF115-DF81)&lt;0,IF(DF154+DF115-(DF81-DF141-DF152-DF153)&lt;0,0,DF154-(DF81+DF167+DF168+DF156-DF141-DF152-DF153)+DF115),DF154-(DF81+DF156+DF168+DF167-DF141-DF152-DF153)+DF115)</f>
        <v>1518</v>
      </c>
      <c r="DG169" s="1080">
        <f t="shared" si="234"/>
        <v>47.1</v>
      </c>
      <c r="DH169" s="1080">
        <f t="shared" si="234"/>
        <v>499.76250000000022</v>
      </c>
      <c r="DI169" s="1080">
        <f t="shared" si="234"/>
        <v>447.93749999999994</v>
      </c>
      <c r="DJ169" s="1087">
        <f t="shared" si="234"/>
        <v>1150.6250000000005</v>
      </c>
      <c r="DK169" s="1080">
        <f t="shared" si="234"/>
        <v>1321.75</v>
      </c>
      <c r="DL169" s="1080"/>
      <c r="DM169" s="1080"/>
      <c r="DN169" s="1080"/>
      <c r="DO169" s="1080">
        <f t="shared" ref="DO169" si="238">IF((DO141+DO152+DO153+DO115-DO81)&lt;0,IF(DO154+DO115-(DO81-DO141-DO152-DO153)&lt;0,0,DO154-(DO81+DO167+DO168+DO156-DO141-DO152-DO153)+DO115),DO154-(DO81+DO156+DO168+DO167-DO141-DO152-DO153)+DO115)</f>
        <v>277.25000000000011</v>
      </c>
      <c r="DP169" s="1083">
        <f t="shared" si="234"/>
        <v>909.74999999999989</v>
      </c>
      <c r="DQ169" s="1079">
        <f t="shared" si="234"/>
        <v>0</v>
      </c>
      <c r="DR169" s="1092">
        <f t="shared" si="234"/>
        <v>0</v>
      </c>
      <c r="DS169" s="1092">
        <f t="shared" si="234"/>
        <v>0</v>
      </c>
      <c r="DT169" s="1079"/>
      <c r="DU169" s="1092">
        <f t="shared" ref="DU169" si="239">IF((DU141+DU152+DU153+DU115-DU81)&lt;0,IF(DU154+DU115-(DU81-DU141-DU152-DU153)&lt;0,0,DU154-(DU81+DU167+DU168+DU156-DU141-DU152-DU153)+DU115),DU154-(DU81+DU156+DU168+DU167-DU141-DU152-DU153)+DU115)</f>
        <v>0</v>
      </c>
      <c r="DV169" s="1089">
        <f t="shared" si="234"/>
        <v>0</v>
      </c>
      <c r="DW169" s="1089">
        <f t="shared" si="78"/>
        <v>130836.17270238094</v>
      </c>
      <c r="DX169" s="1096" t="str">
        <f t="shared" si="151"/>
        <v>Заявка на Производство на ближайшие 53-59 дней, кг</v>
      </c>
      <c r="DY169" s="1094"/>
    </row>
    <row r="170" spans="1:129" ht="6.75" customHeight="1" thickTop="1" thickBot="1">
      <c r="A170" s="844"/>
      <c r="B170" s="956"/>
      <c r="C170" s="956"/>
      <c r="D170" s="956"/>
      <c r="E170" s="956"/>
      <c r="F170" s="956"/>
      <c r="G170" s="956"/>
      <c r="H170" s="956"/>
      <c r="I170" s="956"/>
      <c r="J170" s="956"/>
      <c r="K170" s="956"/>
      <c r="L170" s="956"/>
      <c r="M170" s="956"/>
      <c r="N170" s="1098"/>
      <c r="O170" s="1098"/>
      <c r="P170" s="666"/>
      <c r="Q170" s="665"/>
      <c r="R170" s="665"/>
      <c r="S170" s="665"/>
      <c r="T170" s="667"/>
      <c r="U170" s="665"/>
      <c r="V170" s="665"/>
      <c r="W170" s="665"/>
      <c r="X170" s="665"/>
      <c r="Y170" s="665"/>
      <c r="Z170" s="665"/>
      <c r="AA170" s="665"/>
      <c r="AB170" s="665"/>
      <c r="AC170" s="665"/>
      <c r="AD170" s="665"/>
      <c r="AE170" s="665"/>
      <c r="AF170" s="665"/>
      <c r="AG170" s="665"/>
      <c r="AH170" s="665"/>
      <c r="AI170" s="665"/>
      <c r="AJ170" s="665"/>
      <c r="AK170" s="665"/>
      <c r="AL170" s="665"/>
      <c r="AM170" s="665"/>
      <c r="AN170" s="665"/>
      <c r="AO170" s="666"/>
      <c r="AP170" s="666"/>
      <c r="AQ170" s="665"/>
      <c r="AR170" s="665"/>
      <c r="AS170" s="665"/>
      <c r="AT170" s="665"/>
      <c r="AU170" s="665"/>
      <c r="AV170" s="665"/>
      <c r="AW170" s="665"/>
      <c r="AX170" s="665"/>
      <c r="AY170" s="665"/>
      <c r="AZ170" s="665"/>
      <c r="BA170" s="665"/>
      <c r="BB170" s="665"/>
      <c r="BC170" s="66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665"/>
      <c r="BO170" s="665"/>
      <c r="BP170" s="665"/>
      <c r="BQ170" s="665"/>
      <c r="BR170" s="665"/>
      <c r="BS170" s="665"/>
      <c r="BT170" s="665"/>
      <c r="BU170" s="665"/>
      <c r="BV170" s="665"/>
      <c r="BW170" s="665"/>
      <c r="BX170" s="665"/>
      <c r="BY170" s="665"/>
      <c r="BZ170" s="665"/>
      <c r="CA170" s="665"/>
      <c r="CB170" s="665"/>
      <c r="CC170" s="665"/>
      <c r="CD170" s="666"/>
      <c r="CE170" s="666"/>
      <c r="CF170" s="666"/>
      <c r="CG170" s="666"/>
      <c r="CH170" s="666"/>
      <c r="CI170" s="666"/>
      <c r="CJ170" s="666"/>
      <c r="CK170" s="665"/>
      <c r="CL170" s="665"/>
      <c r="CM170" s="665"/>
      <c r="CN170" s="665"/>
      <c r="CO170" s="665"/>
      <c r="CP170" s="665"/>
      <c r="CQ170" s="665"/>
      <c r="CR170" s="665"/>
      <c r="CS170" s="665"/>
      <c r="CT170" s="665"/>
      <c r="CU170" s="665"/>
      <c r="CV170" s="665"/>
      <c r="CW170" s="665"/>
      <c r="CX170" s="665"/>
      <c r="CY170" s="665"/>
      <c r="CZ170" s="665"/>
      <c r="DA170" s="665"/>
      <c r="DB170" s="665"/>
      <c r="DC170" s="665"/>
      <c r="DD170" s="665"/>
      <c r="DE170" s="665"/>
      <c r="DF170" s="665"/>
      <c r="DG170" s="665"/>
      <c r="DH170" s="665"/>
      <c r="DI170" s="665"/>
      <c r="DJ170" s="665"/>
      <c r="DK170" s="665"/>
      <c r="DL170" s="665"/>
      <c r="DM170" s="665"/>
      <c r="DN170" s="665"/>
      <c r="DO170" s="665"/>
      <c r="DP170" s="665"/>
      <c r="DQ170" s="665"/>
      <c r="DR170" s="669"/>
      <c r="DS170" s="665"/>
      <c r="DT170" s="665"/>
      <c r="DU170" s="665"/>
      <c r="DV170" s="670"/>
      <c r="DW170" s="665"/>
      <c r="DX170" s="844"/>
      <c r="DY170" s="659"/>
    </row>
    <row r="171" spans="1:129" ht="28.2" thickTop="1">
      <c r="A171" s="1099" t="s">
        <v>674</v>
      </c>
      <c r="B171" s="1100">
        <f t="shared" ref="B171:BA171" si="240">SUM(B172:B177)</f>
        <v>0</v>
      </c>
      <c r="C171" s="1100">
        <f t="shared" si="240"/>
        <v>0</v>
      </c>
      <c r="D171" s="1100">
        <f t="shared" si="240"/>
        <v>0</v>
      </c>
      <c r="E171" s="1100">
        <f t="shared" si="240"/>
        <v>0</v>
      </c>
      <c r="F171" s="1100">
        <f t="shared" si="240"/>
        <v>0</v>
      </c>
      <c r="G171" s="1101">
        <f t="shared" si="240"/>
        <v>0</v>
      </c>
      <c r="H171" s="1101">
        <f>SUM(H172:H177)</f>
        <v>0</v>
      </c>
      <c r="I171" s="1101">
        <f t="shared" si="240"/>
        <v>0</v>
      </c>
      <c r="J171" s="1101">
        <f t="shared" si="240"/>
        <v>0</v>
      </c>
      <c r="K171" s="1101">
        <f t="shared" si="240"/>
        <v>0</v>
      </c>
      <c r="L171" s="1101">
        <f t="shared" si="240"/>
        <v>0</v>
      </c>
      <c r="M171" s="1101">
        <f t="shared" ref="M171" si="241">SUM(M172:M177)</f>
        <v>0</v>
      </c>
      <c r="N171" s="1102">
        <f t="shared" si="240"/>
        <v>0</v>
      </c>
      <c r="O171" s="1102">
        <f t="shared" si="240"/>
        <v>0</v>
      </c>
      <c r="P171" s="1103">
        <f t="shared" si="240"/>
        <v>0</v>
      </c>
      <c r="Q171" s="1104">
        <f t="shared" si="240"/>
        <v>0</v>
      </c>
      <c r="R171" s="1104">
        <f t="shared" si="240"/>
        <v>0</v>
      </c>
      <c r="S171" s="1105">
        <f t="shared" si="240"/>
        <v>0</v>
      </c>
      <c r="T171" s="1106">
        <f t="shared" si="240"/>
        <v>0</v>
      </c>
      <c r="U171" s="1107">
        <f t="shared" si="240"/>
        <v>0</v>
      </c>
      <c r="V171" s="1108">
        <f t="shared" ref="V171" si="242">SUM(V172:V177)</f>
        <v>0</v>
      </c>
      <c r="W171" s="1108">
        <f>SUM(W172:W177)</f>
        <v>0</v>
      </c>
      <c r="X171" s="1108">
        <f>SUM(X172:X177)</f>
        <v>0</v>
      </c>
      <c r="Y171" s="1109">
        <f t="shared" si="240"/>
        <v>0</v>
      </c>
      <c r="Z171" s="1101">
        <f t="shared" si="240"/>
        <v>0</v>
      </c>
      <c r="AA171" s="1100">
        <f t="shared" si="240"/>
        <v>0</v>
      </c>
      <c r="AB171" s="1100">
        <f t="shared" si="240"/>
        <v>0</v>
      </c>
      <c r="AC171" s="1100">
        <f>SUM(AC172:AC177)</f>
        <v>0</v>
      </c>
      <c r="AD171" s="1100">
        <f t="shared" si="240"/>
        <v>0</v>
      </c>
      <c r="AE171" s="1100">
        <f t="shared" ref="AE171:AK171" si="243">SUM(AE172:AE177)</f>
        <v>0</v>
      </c>
      <c r="AF171" s="1100">
        <f t="shared" si="243"/>
        <v>0</v>
      </c>
      <c r="AG171" s="1100">
        <f t="shared" si="243"/>
        <v>0</v>
      </c>
      <c r="AH171" s="1100">
        <f t="shared" si="243"/>
        <v>0</v>
      </c>
      <c r="AI171" s="1100">
        <f t="shared" si="243"/>
        <v>0</v>
      </c>
      <c r="AJ171" s="1100">
        <f>SUM(AJ172:AJ177)</f>
        <v>0</v>
      </c>
      <c r="AK171" s="1100">
        <f t="shared" si="243"/>
        <v>0</v>
      </c>
      <c r="AL171" s="1100">
        <f t="shared" si="240"/>
        <v>0</v>
      </c>
      <c r="AM171" s="1103">
        <f t="shared" si="240"/>
        <v>0</v>
      </c>
      <c r="AN171" s="1103">
        <f t="shared" si="240"/>
        <v>0</v>
      </c>
      <c r="AO171" s="1103">
        <f t="shared" si="240"/>
        <v>0</v>
      </c>
      <c r="AP171" s="1103">
        <f t="shared" si="240"/>
        <v>0</v>
      </c>
      <c r="AQ171" s="1101">
        <f t="shared" si="240"/>
        <v>0</v>
      </c>
      <c r="AR171" s="1104">
        <f t="shared" si="240"/>
        <v>0</v>
      </c>
      <c r="AS171" s="1104">
        <f t="shared" si="240"/>
        <v>0</v>
      </c>
      <c r="AT171" s="1104">
        <f t="shared" ref="AT171" si="244">SUM(AT172:AT177)</f>
        <v>0</v>
      </c>
      <c r="AU171" s="1104">
        <f t="shared" si="240"/>
        <v>0</v>
      </c>
      <c r="AV171" s="1104">
        <f t="shared" si="240"/>
        <v>0</v>
      </c>
      <c r="AW171" s="1110">
        <f t="shared" si="240"/>
        <v>0</v>
      </c>
      <c r="AX171" s="1111">
        <f t="shared" si="240"/>
        <v>0</v>
      </c>
      <c r="AY171" s="1112">
        <f t="shared" si="240"/>
        <v>0</v>
      </c>
      <c r="AZ171" s="1100">
        <f t="shared" si="240"/>
        <v>0</v>
      </c>
      <c r="BA171" s="1100">
        <f t="shared" si="240"/>
        <v>0</v>
      </c>
      <c r="BB171" s="1100">
        <f t="shared" ref="BB171:DU171" si="245">SUM(BB172:BB177)</f>
        <v>0</v>
      </c>
      <c r="BC171" s="1101">
        <f t="shared" si="245"/>
        <v>0</v>
      </c>
      <c r="BD171" s="1113">
        <f t="shared" si="245"/>
        <v>0</v>
      </c>
      <c r="BE171" s="1113">
        <f t="shared" si="245"/>
        <v>0</v>
      </c>
      <c r="BF171" s="1113">
        <f t="shared" si="245"/>
        <v>0</v>
      </c>
      <c r="BG171" s="1113">
        <f t="shared" si="245"/>
        <v>0</v>
      </c>
      <c r="BH171" s="1113">
        <f>SUM(BH172:BH177)</f>
        <v>0</v>
      </c>
      <c r="BI171" s="1113">
        <f>SUM(BI172:BI177)</f>
        <v>0</v>
      </c>
      <c r="BJ171" s="1113">
        <f t="shared" si="245"/>
        <v>0</v>
      </c>
      <c r="BK171" s="1113">
        <f t="shared" si="245"/>
        <v>0</v>
      </c>
      <c r="BL171" s="1113">
        <f t="shared" si="245"/>
        <v>0</v>
      </c>
      <c r="BM171" s="1113">
        <f t="shared" si="245"/>
        <v>0</v>
      </c>
      <c r="BN171" s="1113">
        <f t="shared" si="245"/>
        <v>0</v>
      </c>
      <c r="BO171" s="1113">
        <f t="shared" si="245"/>
        <v>0</v>
      </c>
      <c r="BP171" s="1113">
        <f t="shared" si="245"/>
        <v>0</v>
      </c>
      <c r="BQ171" s="1113">
        <f t="shared" si="245"/>
        <v>0</v>
      </c>
      <c r="BR171" s="1113">
        <f>SUM(BR172:BR177)</f>
        <v>0</v>
      </c>
      <c r="BS171" s="1113">
        <f>SUM(BS172:BS177)</f>
        <v>0</v>
      </c>
      <c r="BT171" s="1113">
        <f t="shared" si="245"/>
        <v>0</v>
      </c>
      <c r="BU171" s="1113">
        <f t="shared" si="245"/>
        <v>0</v>
      </c>
      <c r="BV171" s="1113">
        <f t="shared" si="245"/>
        <v>0</v>
      </c>
      <c r="BW171" s="1113">
        <f t="shared" si="245"/>
        <v>0</v>
      </c>
      <c r="BX171" s="1113">
        <f t="shared" si="245"/>
        <v>0</v>
      </c>
      <c r="BY171" s="1113">
        <f t="shared" si="245"/>
        <v>0</v>
      </c>
      <c r="BZ171" s="1113">
        <f t="shared" si="245"/>
        <v>0</v>
      </c>
      <c r="CA171" s="1113">
        <f t="shared" si="245"/>
        <v>0</v>
      </c>
      <c r="CB171" s="1113">
        <f t="shared" si="245"/>
        <v>0</v>
      </c>
      <c r="CC171" s="1113">
        <f t="shared" si="245"/>
        <v>0</v>
      </c>
      <c r="CD171" s="1114">
        <f t="shared" si="245"/>
        <v>0</v>
      </c>
      <c r="CE171" s="1114">
        <f t="shared" si="245"/>
        <v>0</v>
      </c>
      <c r="CF171" s="1114">
        <f t="shared" si="245"/>
        <v>0</v>
      </c>
      <c r="CG171" s="1114">
        <f t="shared" si="245"/>
        <v>0</v>
      </c>
      <c r="CH171" s="1114">
        <f t="shared" si="245"/>
        <v>0</v>
      </c>
      <c r="CI171" s="1114">
        <f>SUM(CI172:CI177)</f>
        <v>0</v>
      </c>
      <c r="CJ171" s="1114">
        <f>SUM(CJ172:CJ177)</f>
        <v>0</v>
      </c>
      <c r="CK171" s="1113">
        <f t="shared" si="245"/>
        <v>0</v>
      </c>
      <c r="CL171" s="1113">
        <f t="shared" si="245"/>
        <v>0</v>
      </c>
      <c r="CM171" s="1113">
        <f t="shared" si="245"/>
        <v>0</v>
      </c>
      <c r="CN171" s="1113">
        <f t="shared" si="245"/>
        <v>0</v>
      </c>
      <c r="CO171" s="1113">
        <f t="shared" si="245"/>
        <v>0</v>
      </c>
      <c r="CP171" s="1102">
        <f t="shared" si="245"/>
        <v>0</v>
      </c>
      <c r="CQ171" s="1102">
        <f>SUM(CQ172:CQ177)</f>
        <v>0</v>
      </c>
      <c r="CR171" s="1115">
        <f t="shared" si="245"/>
        <v>0</v>
      </c>
      <c r="CS171" s="1115">
        <f>SUM(CS172:CS177)</f>
        <v>0</v>
      </c>
      <c r="CT171" s="1116">
        <f t="shared" si="245"/>
        <v>0</v>
      </c>
      <c r="CU171" s="1116">
        <f t="shared" si="245"/>
        <v>0</v>
      </c>
      <c r="CV171" s="1117">
        <f t="shared" si="245"/>
        <v>0</v>
      </c>
      <c r="CW171" s="1118">
        <f t="shared" si="245"/>
        <v>0</v>
      </c>
      <c r="CX171" s="1102">
        <f t="shared" si="245"/>
        <v>0</v>
      </c>
      <c r="CY171" s="1102">
        <f t="shared" si="245"/>
        <v>0</v>
      </c>
      <c r="CZ171" s="1100">
        <f t="shared" si="245"/>
        <v>0</v>
      </c>
      <c r="DA171" s="1109">
        <f t="shared" si="245"/>
        <v>0</v>
      </c>
      <c r="DB171" s="1100">
        <f t="shared" si="245"/>
        <v>0</v>
      </c>
      <c r="DC171" s="1100">
        <f t="shared" si="245"/>
        <v>0</v>
      </c>
      <c r="DD171" s="1100">
        <f t="shared" si="245"/>
        <v>0</v>
      </c>
      <c r="DE171" s="1100">
        <f>SUM(DE172:DE177)</f>
        <v>0</v>
      </c>
      <c r="DF171" s="1100">
        <f t="shared" si="245"/>
        <v>0</v>
      </c>
      <c r="DG171" s="1100">
        <f t="shared" si="245"/>
        <v>0</v>
      </c>
      <c r="DH171" s="1100">
        <f t="shared" si="245"/>
        <v>0</v>
      </c>
      <c r="DI171" s="1100">
        <f t="shared" si="245"/>
        <v>0</v>
      </c>
      <c r="DJ171" s="1115">
        <f t="shared" si="245"/>
        <v>0</v>
      </c>
      <c r="DK171" s="1113">
        <f t="shared" si="245"/>
        <v>0</v>
      </c>
      <c r="DL171" s="1113">
        <f t="shared" si="245"/>
        <v>0</v>
      </c>
      <c r="DM171" s="1113">
        <f t="shared" si="245"/>
        <v>0</v>
      </c>
      <c r="DN171" s="1113">
        <f t="shared" si="245"/>
        <v>0</v>
      </c>
      <c r="DO171" s="1113">
        <f t="shared" si="245"/>
        <v>0</v>
      </c>
      <c r="DP171" s="1119">
        <f t="shared" si="245"/>
        <v>0</v>
      </c>
      <c r="DQ171" s="1104">
        <f t="shared" si="245"/>
        <v>0</v>
      </c>
      <c r="DR171" s="1120">
        <f t="shared" si="245"/>
        <v>0</v>
      </c>
      <c r="DS171" s="1120">
        <f t="shared" si="245"/>
        <v>0</v>
      </c>
      <c r="DT171" s="1104">
        <f t="shared" si="245"/>
        <v>0</v>
      </c>
      <c r="DU171" s="1120">
        <f t="shared" si="245"/>
        <v>0</v>
      </c>
      <c r="DV171" s="1111">
        <f>SUM(DV172:DV177)</f>
        <v>0</v>
      </c>
      <c r="DW171" s="1111">
        <f t="shared" ref="DW171:DW184" si="246">SUM(B171:DV171)</f>
        <v>0</v>
      </c>
      <c r="DX171" s="1099" t="s">
        <v>674</v>
      </c>
      <c r="DY171" s="659"/>
    </row>
    <row r="172" spans="1:129" ht="14.4">
      <c r="A172" s="1121">
        <v>43938</v>
      </c>
      <c r="B172" s="1122"/>
      <c r="C172" s="1122"/>
      <c r="D172" s="1122"/>
      <c r="E172" s="1122"/>
      <c r="F172" s="1122"/>
      <c r="G172" s="1123"/>
      <c r="H172" s="1123"/>
      <c r="I172" s="1124"/>
      <c r="J172" s="1123"/>
      <c r="K172" s="1123"/>
      <c r="L172" s="1123"/>
      <c r="M172" s="1123"/>
      <c r="N172" s="1125"/>
      <c r="O172" s="1125"/>
      <c r="P172" s="1126"/>
      <c r="Q172" s="1127"/>
      <c r="R172" s="1127"/>
      <c r="S172" s="1128"/>
      <c r="T172" s="1129"/>
      <c r="U172" s="1130"/>
      <c r="V172" s="1131"/>
      <c r="W172" s="1131"/>
      <c r="X172" s="1131"/>
      <c r="Y172" s="1132"/>
      <c r="Z172" s="1124"/>
      <c r="AA172" s="1133"/>
      <c r="AB172" s="1133"/>
      <c r="AC172" s="1133"/>
      <c r="AD172" s="1133"/>
      <c r="AE172" s="1133"/>
      <c r="AF172" s="1133"/>
      <c r="AG172" s="1133"/>
      <c r="AH172" s="1133"/>
      <c r="AI172" s="1133"/>
      <c r="AJ172" s="1133"/>
      <c r="AK172" s="1133"/>
      <c r="AL172" s="1133"/>
      <c r="AM172" s="1134"/>
      <c r="AN172" s="1134"/>
      <c r="AO172" s="1126"/>
      <c r="AP172" s="1126"/>
      <c r="AQ172" s="1124"/>
      <c r="AR172" s="1127"/>
      <c r="AS172" s="1127"/>
      <c r="AT172" s="1127"/>
      <c r="AU172" s="1127"/>
      <c r="AV172" s="1127"/>
      <c r="AW172" s="1127"/>
      <c r="AX172" s="1135"/>
      <c r="AY172" s="1136"/>
      <c r="AZ172" s="1136"/>
      <c r="BA172" s="1133"/>
      <c r="BB172" s="1133"/>
      <c r="BC172" s="1124"/>
      <c r="BD172" s="1133"/>
      <c r="BE172" s="1133"/>
      <c r="BF172" s="1133"/>
      <c r="BG172" s="1133"/>
      <c r="BH172" s="1133"/>
      <c r="BI172" s="1133"/>
      <c r="BJ172" s="1133"/>
      <c r="BK172" s="1133"/>
      <c r="BL172" s="1136"/>
      <c r="BM172" s="1136"/>
      <c r="BN172" s="1136"/>
      <c r="BO172" s="1133"/>
      <c r="BP172" s="1124"/>
      <c r="BQ172" s="1124"/>
      <c r="BR172" s="1124"/>
      <c r="BS172" s="1124"/>
      <c r="BT172" s="1124"/>
      <c r="BU172" s="1124"/>
      <c r="BV172" s="1137"/>
      <c r="BW172" s="1136"/>
      <c r="BX172" s="1136"/>
      <c r="BY172" s="1136"/>
      <c r="BZ172" s="1133"/>
      <c r="CA172" s="1133"/>
      <c r="CB172" s="1133"/>
      <c r="CC172" s="1133"/>
      <c r="CD172" s="1126"/>
      <c r="CE172" s="1126"/>
      <c r="CF172" s="1126"/>
      <c r="CG172" s="1126"/>
      <c r="CH172" s="1126"/>
      <c r="CI172" s="1126"/>
      <c r="CJ172" s="1126"/>
      <c r="CK172" s="1133"/>
      <c r="CL172" s="1133"/>
      <c r="CM172" s="1133"/>
      <c r="CN172" s="1133"/>
      <c r="CO172" s="1133"/>
      <c r="CP172" s="1138"/>
      <c r="CQ172" s="1589"/>
      <c r="CR172" s="1132"/>
      <c r="CS172" s="1127"/>
      <c r="CT172" s="1127"/>
      <c r="CU172" s="1127"/>
      <c r="CV172" s="1139"/>
      <c r="CW172" s="1140"/>
      <c r="CX172" s="1135"/>
      <c r="CY172" s="1138"/>
      <c r="CZ172" s="1136"/>
      <c r="DA172" s="1132"/>
      <c r="DB172" s="1136"/>
      <c r="DC172" s="1136"/>
      <c r="DD172" s="1136"/>
      <c r="DE172" s="1136"/>
      <c r="DF172" s="1133"/>
      <c r="DG172" s="1133"/>
      <c r="DH172" s="1124"/>
      <c r="DI172" s="1124"/>
      <c r="DJ172" s="1132"/>
      <c r="DK172" s="1133"/>
      <c r="DL172" s="1124"/>
      <c r="DM172" s="1124"/>
      <c r="DN172" s="1124"/>
      <c r="DO172" s="1124"/>
      <c r="DP172" s="1124"/>
      <c r="DQ172" s="1127"/>
      <c r="DR172" s="1142"/>
      <c r="DS172" s="1127"/>
      <c r="DT172" s="1127"/>
      <c r="DU172" s="1127"/>
      <c r="DV172" s="1135"/>
      <c r="DW172" s="1135">
        <f t="shared" si="246"/>
        <v>0</v>
      </c>
      <c r="DX172" s="1143">
        <f t="shared" ref="DX172:DX184" si="247">A172</f>
        <v>43938</v>
      </c>
      <c r="DY172" s="659"/>
    </row>
    <row r="173" spans="1:129" ht="14.4">
      <c r="A173" s="1121">
        <v>43939</v>
      </c>
      <c r="B173" s="1122"/>
      <c r="C173" s="1122"/>
      <c r="D173" s="1122"/>
      <c r="E173" s="1122"/>
      <c r="F173" s="1122"/>
      <c r="G173" s="1123"/>
      <c r="H173" s="1123"/>
      <c r="I173" s="1124"/>
      <c r="J173" s="1123"/>
      <c r="K173" s="1123"/>
      <c r="L173" s="1123"/>
      <c r="M173" s="1123"/>
      <c r="N173" s="1125"/>
      <c r="O173" s="1125"/>
      <c r="P173" s="1126"/>
      <c r="Q173" s="1127"/>
      <c r="R173" s="1127"/>
      <c r="S173" s="1128"/>
      <c r="T173" s="1129"/>
      <c r="U173" s="1130"/>
      <c r="V173" s="1131"/>
      <c r="W173" s="1131"/>
      <c r="X173" s="1131"/>
      <c r="Y173" s="1132"/>
      <c r="Z173" s="1124"/>
      <c r="AA173" s="1133"/>
      <c r="AB173" s="1133"/>
      <c r="AC173" s="1133"/>
      <c r="AD173" s="1133"/>
      <c r="AE173" s="1133"/>
      <c r="AF173" s="1133"/>
      <c r="AG173" s="1133"/>
      <c r="AH173" s="1133"/>
      <c r="AI173" s="1133"/>
      <c r="AJ173" s="1133"/>
      <c r="AK173" s="1133"/>
      <c r="AL173" s="1133"/>
      <c r="AM173" s="1134"/>
      <c r="AN173" s="1134"/>
      <c r="AO173" s="1126"/>
      <c r="AP173" s="1126"/>
      <c r="AQ173" s="1124"/>
      <c r="AR173" s="1127"/>
      <c r="AS173" s="1127"/>
      <c r="AT173" s="1127"/>
      <c r="AU173" s="1127"/>
      <c r="AV173" s="1127"/>
      <c r="AW173" s="1127"/>
      <c r="AX173" s="1135"/>
      <c r="AY173" s="1136"/>
      <c r="AZ173" s="1136"/>
      <c r="BA173" s="1133"/>
      <c r="BB173" s="1133"/>
      <c r="BC173" s="1124"/>
      <c r="BD173" s="1133"/>
      <c r="BE173" s="1133"/>
      <c r="BF173" s="1133"/>
      <c r="BG173" s="1133"/>
      <c r="BH173" s="1133"/>
      <c r="BI173" s="1133"/>
      <c r="BJ173" s="1133"/>
      <c r="BK173" s="1133"/>
      <c r="BL173" s="1136"/>
      <c r="BM173" s="1136"/>
      <c r="BN173" s="1136"/>
      <c r="BO173" s="1133"/>
      <c r="BP173" s="1124"/>
      <c r="BQ173" s="1124"/>
      <c r="BR173" s="1124"/>
      <c r="BS173" s="1124"/>
      <c r="BT173" s="1124"/>
      <c r="BU173" s="1124"/>
      <c r="BV173" s="1137"/>
      <c r="BW173" s="1144"/>
      <c r="BX173" s="1144"/>
      <c r="BY173" s="1144"/>
      <c r="BZ173" s="1122"/>
      <c r="CA173" s="1122"/>
      <c r="CB173" s="1122"/>
      <c r="CC173" s="1122"/>
      <c r="CD173" s="1145"/>
      <c r="CE173" s="1126"/>
      <c r="CF173" s="1126"/>
      <c r="CG173" s="1126"/>
      <c r="CH173" s="1126"/>
      <c r="CI173" s="1126"/>
      <c r="CJ173" s="1126"/>
      <c r="CK173" s="1133"/>
      <c r="CL173" s="1133"/>
      <c r="CM173" s="1133"/>
      <c r="CN173" s="1133"/>
      <c r="CO173" s="1133"/>
      <c r="CP173" s="1138"/>
      <c r="CQ173" s="1589"/>
      <c r="CR173" s="1132"/>
      <c r="CS173" s="1127"/>
      <c r="CT173" s="1127"/>
      <c r="CU173" s="1127"/>
      <c r="CV173" s="1139"/>
      <c r="CW173" s="1146"/>
      <c r="CX173" s="1147"/>
      <c r="CY173" s="1138"/>
      <c r="CZ173" s="1136"/>
      <c r="DA173" s="1148"/>
      <c r="DB173" s="1144"/>
      <c r="DC173" s="1144"/>
      <c r="DD173" s="1144"/>
      <c r="DE173" s="1144"/>
      <c r="DF173" s="1122"/>
      <c r="DG173" s="1122"/>
      <c r="DH173" s="1123"/>
      <c r="DI173" s="1123"/>
      <c r="DJ173" s="1132"/>
      <c r="DK173" s="1133"/>
      <c r="DL173" s="1124"/>
      <c r="DM173" s="1124"/>
      <c r="DN173" s="1124"/>
      <c r="DO173" s="1123"/>
      <c r="DP173" s="1124"/>
      <c r="DQ173" s="1127"/>
      <c r="DR173" s="1142"/>
      <c r="DS173" s="1127"/>
      <c r="DT173" s="1127"/>
      <c r="DU173" s="1127"/>
      <c r="DV173" s="1135"/>
      <c r="DW173" s="1135">
        <f t="shared" si="246"/>
        <v>0</v>
      </c>
      <c r="DX173" s="1143">
        <f t="shared" si="247"/>
        <v>43939</v>
      </c>
      <c r="DY173" s="659"/>
    </row>
    <row r="174" spans="1:129" ht="14.4">
      <c r="A174" s="1121">
        <v>43940</v>
      </c>
      <c r="B174" s="1122"/>
      <c r="C174" s="1122"/>
      <c r="D174" s="1122"/>
      <c r="E174" s="1122"/>
      <c r="F174" s="1122"/>
      <c r="G174" s="1123"/>
      <c r="H174" s="1123"/>
      <c r="I174" s="1123"/>
      <c r="J174" s="1123"/>
      <c r="K174" s="1123"/>
      <c r="L174" s="1123"/>
      <c r="M174" s="1123"/>
      <c r="N174" s="1125"/>
      <c r="O174" s="1125"/>
      <c r="P174" s="1126"/>
      <c r="Q174" s="1127"/>
      <c r="R174" s="1127"/>
      <c r="S174" s="1128"/>
      <c r="T174" s="1129"/>
      <c r="U174" s="1130"/>
      <c r="V174" s="1131"/>
      <c r="W174" s="1131"/>
      <c r="X174" s="1131"/>
      <c r="Y174" s="1132"/>
      <c r="Z174" s="1124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4"/>
      <c r="AN174" s="1134"/>
      <c r="AO174" s="1126"/>
      <c r="AP174" s="1126"/>
      <c r="AQ174" s="1124"/>
      <c r="AR174" s="1127"/>
      <c r="AS174" s="1127"/>
      <c r="AT174" s="1127"/>
      <c r="AU174" s="1127"/>
      <c r="AV174" s="1127"/>
      <c r="AW174" s="1127"/>
      <c r="AX174" s="1135"/>
      <c r="AY174" s="1136"/>
      <c r="AZ174" s="1136"/>
      <c r="BA174" s="1133"/>
      <c r="BB174" s="1133"/>
      <c r="BC174" s="1124"/>
      <c r="BD174" s="1133"/>
      <c r="BE174" s="1133"/>
      <c r="BF174" s="1133"/>
      <c r="BG174" s="1133"/>
      <c r="BH174" s="1133"/>
      <c r="BI174" s="1133"/>
      <c r="BJ174" s="1133"/>
      <c r="BK174" s="1133"/>
      <c r="BL174" s="1136"/>
      <c r="BM174" s="1136"/>
      <c r="BN174" s="1136"/>
      <c r="BO174" s="1133"/>
      <c r="BP174" s="1124"/>
      <c r="BQ174" s="1124"/>
      <c r="BR174" s="1124"/>
      <c r="BS174" s="1124"/>
      <c r="BT174" s="1124"/>
      <c r="BU174" s="1124"/>
      <c r="BV174" s="1137"/>
      <c r="BW174" s="1144"/>
      <c r="BX174" s="1144"/>
      <c r="BY174" s="1144"/>
      <c r="BZ174" s="1122"/>
      <c r="CA174" s="1122"/>
      <c r="CB174" s="1122"/>
      <c r="CC174" s="1122"/>
      <c r="CD174" s="1145"/>
      <c r="CE174" s="1145"/>
      <c r="CF174" s="1145"/>
      <c r="CG174" s="1145"/>
      <c r="CH174" s="1145"/>
      <c r="CI174" s="1145"/>
      <c r="CJ174" s="1145"/>
      <c r="CK174" s="1133"/>
      <c r="CL174" s="1133"/>
      <c r="CM174" s="1133"/>
      <c r="CN174" s="1133"/>
      <c r="CO174" s="1133"/>
      <c r="CP174" s="1138"/>
      <c r="CQ174" s="1589"/>
      <c r="CR174" s="1132"/>
      <c r="CS174" s="1127"/>
      <c r="CT174" s="1127"/>
      <c r="CU174" s="1127"/>
      <c r="CV174" s="1139"/>
      <c r="CW174" s="1146"/>
      <c r="CX174" s="1147"/>
      <c r="CY174" s="1138"/>
      <c r="CZ174" s="1144"/>
      <c r="DA174" s="1148"/>
      <c r="DB174" s="1144"/>
      <c r="DC174" s="1144"/>
      <c r="DD174" s="1144"/>
      <c r="DE174" s="1144"/>
      <c r="DF174" s="1122"/>
      <c r="DG174" s="1122"/>
      <c r="DH174" s="1123"/>
      <c r="DI174" s="1123"/>
      <c r="DJ174" s="1132"/>
      <c r="DK174" s="1133"/>
      <c r="DL174" s="1124"/>
      <c r="DM174" s="1124"/>
      <c r="DN174" s="1124"/>
      <c r="DO174" s="1123"/>
      <c r="DP174" s="1124"/>
      <c r="DQ174" s="1127"/>
      <c r="DR174" s="1142"/>
      <c r="DS174" s="1127"/>
      <c r="DT174" s="1127"/>
      <c r="DU174" s="1127"/>
      <c r="DV174" s="1135"/>
      <c r="DW174" s="1135">
        <f t="shared" si="246"/>
        <v>0</v>
      </c>
      <c r="DX174" s="1143">
        <f t="shared" si="247"/>
        <v>43940</v>
      </c>
      <c r="DY174" s="659"/>
    </row>
    <row r="175" spans="1:129" ht="14.4" customHeight="1" outlineLevel="1">
      <c r="A175" s="1121"/>
      <c r="B175" s="1122"/>
      <c r="C175" s="1122"/>
      <c r="D175" s="1122"/>
      <c r="E175" s="1122"/>
      <c r="F175" s="1122"/>
      <c r="G175" s="1123"/>
      <c r="H175" s="1123"/>
      <c r="I175" s="1123"/>
      <c r="J175" s="1123"/>
      <c r="K175" s="1123"/>
      <c r="L175" s="1123"/>
      <c r="M175" s="1123"/>
      <c r="N175" s="1125"/>
      <c r="O175" s="1125"/>
      <c r="P175" s="1126"/>
      <c r="Q175" s="1127"/>
      <c r="R175" s="1127"/>
      <c r="S175" s="1128"/>
      <c r="T175" s="1129"/>
      <c r="U175" s="1130"/>
      <c r="V175" s="1131"/>
      <c r="W175" s="1131"/>
      <c r="X175" s="1131"/>
      <c r="Y175" s="1132"/>
      <c r="Z175" s="1124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4"/>
      <c r="AN175" s="1134"/>
      <c r="AO175" s="1126"/>
      <c r="AP175" s="1126"/>
      <c r="AQ175" s="1124"/>
      <c r="AR175" s="1127"/>
      <c r="AS175" s="1127"/>
      <c r="AT175" s="1127"/>
      <c r="AU175" s="1127"/>
      <c r="AV175" s="1127"/>
      <c r="AW175" s="1127"/>
      <c r="AX175" s="1135"/>
      <c r="AY175" s="1136"/>
      <c r="AZ175" s="1136"/>
      <c r="BA175" s="1149"/>
      <c r="BB175" s="1149"/>
      <c r="BC175" s="1149"/>
      <c r="BD175" s="1149"/>
      <c r="BE175" s="1149"/>
      <c r="BF175" s="1149"/>
      <c r="BG175" s="1149"/>
      <c r="BH175" s="1149"/>
      <c r="BI175" s="1149"/>
      <c r="BJ175" s="1149"/>
      <c r="BK175" s="1149"/>
      <c r="BL175" s="1144"/>
      <c r="BM175" s="1144"/>
      <c r="BN175" s="1144"/>
      <c r="BO175" s="1149"/>
      <c r="BP175" s="1149"/>
      <c r="BQ175" s="1149"/>
      <c r="BR175" s="1149"/>
      <c r="BS175" s="1149"/>
      <c r="BT175" s="1149"/>
      <c r="BU175" s="1149"/>
      <c r="BV175" s="1150"/>
      <c r="BW175" s="1144"/>
      <c r="BX175" s="1144"/>
      <c r="BY175" s="1144"/>
      <c r="BZ175" s="1122"/>
      <c r="CA175" s="1122"/>
      <c r="CB175" s="1122"/>
      <c r="CC175" s="1122"/>
      <c r="CD175" s="1145"/>
      <c r="CE175" s="1145"/>
      <c r="CF175" s="1145"/>
      <c r="CG175" s="1145"/>
      <c r="CH175" s="1145"/>
      <c r="CI175" s="1145"/>
      <c r="CJ175" s="1145"/>
      <c r="CK175" s="1133"/>
      <c r="CL175" s="1133"/>
      <c r="CM175" s="1133"/>
      <c r="CN175" s="1133"/>
      <c r="CO175" s="1133"/>
      <c r="CP175" s="1138"/>
      <c r="CQ175" s="1589"/>
      <c r="CR175" s="1132"/>
      <c r="CS175" s="1127"/>
      <c r="CT175" s="1127"/>
      <c r="CU175" s="1127"/>
      <c r="CV175" s="1139"/>
      <c r="CW175" s="1146"/>
      <c r="CX175" s="1147"/>
      <c r="CY175" s="1138"/>
      <c r="CZ175" s="1144"/>
      <c r="DA175" s="1132"/>
      <c r="DB175" s="1136"/>
      <c r="DC175" s="1136"/>
      <c r="DD175" s="1136"/>
      <c r="DE175" s="1136"/>
      <c r="DF175" s="1133"/>
      <c r="DG175" s="1122"/>
      <c r="DH175" s="1124"/>
      <c r="DI175" s="1124"/>
      <c r="DJ175" s="1132"/>
      <c r="DK175" s="1133"/>
      <c r="DL175" s="1124"/>
      <c r="DM175" s="1124"/>
      <c r="DN175" s="1124"/>
      <c r="DO175" s="1123"/>
      <c r="DP175" s="1124"/>
      <c r="DQ175" s="1127"/>
      <c r="DR175" s="1142"/>
      <c r="DS175" s="1127"/>
      <c r="DT175" s="1127"/>
      <c r="DU175" s="1127"/>
      <c r="DV175" s="1135"/>
      <c r="DW175" s="1135">
        <f t="shared" si="246"/>
        <v>0</v>
      </c>
      <c r="DX175" s="1143">
        <f t="shared" si="247"/>
        <v>0</v>
      </c>
      <c r="DY175" s="659"/>
    </row>
    <row r="176" spans="1:129" ht="14.4" customHeight="1" outlineLevel="1">
      <c r="A176" s="1121"/>
      <c r="B176" s="1122"/>
      <c r="C176" s="1122"/>
      <c r="D176" s="1122"/>
      <c r="E176" s="1122"/>
      <c r="F176" s="1122"/>
      <c r="G176" s="1123"/>
      <c r="H176" s="1123"/>
      <c r="I176" s="1124"/>
      <c r="J176" s="1123"/>
      <c r="K176" s="1123"/>
      <c r="L176" s="1123"/>
      <c r="M176" s="1123"/>
      <c r="N176" s="1125"/>
      <c r="O176" s="1125"/>
      <c r="P176" s="1126"/>
      <c r="Q176" s="1127"/>
      <c r="R176" s="1127"/>
      <c r="S176" s="1128"/>
      <c r="T176" s="1129"/>
      <c r="U176" s="1130"/>
      <c r="V176" s="1131"/>
      <c r="W176" s="1131"/>
      <c r="X176" s="1131"/>
      <c r="Y176" s="1132"/>
      <c r="Z176" s="1124"/>
      <c r="AA176" s="1133"/>
      <c r="AB176" s="1133"/>
      <c r="AC176" s="1133"/>
      <c r="AD176" s="1133"/>
      <c r="AE176" s="1133"/>
      <c r="AF176" s="1133"/>
      <c r="AG176" s="1133"/>
      <c r="AH176" s="1133"/>
      <c r="AI176" s="1133"/>
      <c r="AJ176" s="1133"/>
      <c r="AK176" s="1133"/>
      <c r="AL176" s="1133"/>
      <c r="AM176" s="1134"/>
      <c r="AN176" s="1134"/>
      <c r="AO176" s="1126"/>
      <c r="AP176" s="1126"/>
      <c r="AQ176" s="1124"/>
      <c r="AR176" s="1127"/>
      <c r="AS176" s="1127"/>
      <c r="AT176" s="1127"/>
      <c r="AU176" s="1127"/>
      <c r="AV176" s="1127"/>
      <c r="AW176" s="1127"/>
      <c r="AX176" s="1135"/>
      <c r="AY176" s="1136"/>
      <c r="AZ176" s="1136"/>
      <c r="BA176" s="1133"/>
      <c r="BB176" s="1133"/>
      <c r="BC176" s="1124"/>
      <c r="BD176" s="1133"/>
      <c r="BE176" s="1133"/>
      <c r="BF176" s="1133"/>
      <c r="BG176" s="1133"/>
      <c r="BH176" s="1133"/>
      <c r="BI176" s="1133"/>
      <c r="BJ176" s="1133"/>
      <c r="BK176" s="1133"/>
      <c r="BL176" s="1136"/>
      <c r="BM176" s="1136"/>
      <c r="BN176" s="1136"/>
      <c r="BO176" s="1133"/>
      <c r="BP176" s="1124"/>
      <c r="BQ176" s="1124"/>
      <c r="BR176" s="1124"/>
      <c r="BS176" s="1124"/>
      <c r="BT176" s="1124"/>
      <c r="BU176" s="1124"/>
      <c r="BV176" s="1137"/>
      <c r="BW176" s="1144"/>
      <c r="BX176" s="1144"/>
      <c r="BY176" s="1144"/>
      <c r="BZ176" s="1122"/>
      <c r="CA176" s="1122"/>
      <c r="CB176" s="1122"/>
      <c r="CC176" s="1122"/>
      <c r="CD176" s="1145"/>
      <c r="CE176" s="1145"/>
      <c r="CF176" s="1145"/>
      <c r="CG176" s="1145"/>
      <c r="CH176" s="1145"/>
      <c r="CI176" s="1145"/>
      <c r="CJ176" s="1145"/>
      <c r="CK176" s="1133"/>
      <c r="CL176" s="1133"/>
      <c r="CM176" s="1133"/>
      <c r="CN176" s="1133"/>
      <c r="CO176" s="1133"/>
      <c r="CP176" s="1138"/>
      <c r="CQ176" s="1589"/>
      <c r="CR176" s="1148"/>
      <c r="CS176" s="1141"/>
      <c r="CT176" s="1141"/>
      <c r="CU176" s="1141"/>
      <c r="CV176" s="1151"/>
      <c r="CW176" s="1146"/>
      <c r="CX176" s="1147"/>
      <c r="CY176" s="1138"/>
      <c r="CZ176" s="1144"/>
      <c r="DA176" s="1132"/>
      <c r="DB176" s="1136"/>
      <c r="DC176" s="1136"/>
      <c r="DD176" s="1136"/>
      <c r="DE176" s="1136"/>
      <c r="DF176" s="1133"/>
      <c r="DG176" s="1122"/>
      <c r="DH176" s="1124"/>
      <c r="DI176" s="1124"/>
      <c r="DJ176" s="1132"/>
      <c r="DK176" s="1133"/>
      <c r="DL176" s="1124"/>
      <c r="DM176" s="1124"/>
      <c r="DN176" s="1124"/>
      <c r="DO176" s="1123"/>
      <c r="DP176" s="1124"/>
      <c r="DQ176" s="1127"/>
      <c r="DR176" s="1142"/>
      <c r="DS176" s="1127"/>
      <c r="DT176" s="1127"/>
      <c r="DU176" s="1127"/>
      <c r="DV176" s="1135"/>
      <c r="DW176" s="1135">
        <f t="shared" si="246"/>
        <v>0</v>
      </c>
      <c r="DX176" s="1143">
        <f t="shared" si="247"/>
        <v>0</v>
      </c>
      <c r="DY176" s="659"/>
    </row>
    <row r="177" spans="1:129" ht="14.4" collapsed="1">
      <c r="A177" s="1121" t="s">
        <v>666</v>
      </c>
      <c r="B177" s="1122"/>
      <c r="C177" s="1122"/>
      <c r="D177" s="1122"/>
      <c r="E177" s="1122"/>
      <c r="F177" s="1122"/>
      <c r="G177" s="1123"/>
      <c r="H177" s="1123"/>
      <c r="I177" s="1124"/>
      <c r="J177" s="1123"/>
      <c r="K177" s="1123"/>
      <c r="L177" s="1123"/>
      <c r="M177" s="1123"/>
      <c r="N177" s="1125"/>
      <c r="O177" s="1125"/>
      <c r="P177" s="1126"/>
      <c r="Q177" s="1127"/>
      <c r="R177" s="1127"/>
      <c r="S177" s="1128"/>
      <c r="T177" s="1129"/>
      <c r="U177" s="1130"/>
      <c r="V177" s="1131"/>
      <c r="W177" s="1131"/>
      <c r="X177" s="1131"/>
      <c r="Y177" s="1132"/>
      <c r="Z177" s="1124"/>
      <c r="AA177" s="1133"/>
      <c r="AB177" s="1133"/>
      <c r="AC177" s="1133"/>
      <c r="AD177" s="1133"/>
      <c r="AE177" s="1133"/>
      <c r="AF177" s="1133"/>
      <c r="AG177" s="1133"/>
      <c r="AH177" s="1133"/>
      <c r="AI177" s="1133"/>
      <c r="AJ177" s="1133"/>
      <c r="AK177" s="1133"/>
      <c r="AL177" s="1133"/>
      <c r="AM177" s="1134"/>
      <c r="AN177" s="1134"/>
      <c r="AO177" s="1126"/>
      <c r="AP177" s="1126"/>
      <c r="AQ177" s="1124"/>
      <c r="AR177" s="1127"/>
      <c r="AS177" s="1127"/>
      <c r="AT177" s="1127"/>
      <c r="AU177" s="1127"/>
      <c r="AV177" s="1127"/>
      <c r="AW177" s="1127"/>
      <c r="AX177" s="1135"/>
      <c r="AY177" s="1136"/>
      <c r="AZ177" s="1136"/>
      <c r="BA177" s="1133"/>
      <c r="BB177" s="1133"/>
      <c r="BC177" s="1124"/>
      <c r="BD177" s="1133"/>
      <c r="BE177" s="1133"/>
      <c r="BF177" s="1133"/>
      <c r="BG177" s="1133"/>
      <c r="BH177" s="1133"/>
      <c r="BI177" s="1133"/>
      <c r="BJ177" s="1133"/>
      <c r="BK177" s="1133"/>
      <c r="BL177" s="1136"/>
      <c r="BM177" s="1136"/>
      <c r="BN177" s="1136"/>
      <c r="BO177" s="1133"/>
      <c r="BP177" s="1124"/>
      <c r="BQ177" s="1124"/>
      <c r="BR177" s="1124"/>
      <c r="BS177" s="1124"/>
      <c r="BT177" s="1124"/>
      <c r="BU177" s="1124"/>
      <c r="BV177" s="1137"/>
      <c r="BW177" s="1144"/>
      <c r="BX177" s="1144"/>
      <c r="BY177" s="1144"/>
      <c r="BZ177" s="1122"/>
      <c r="CA177" s="1122"/>
      <c r="CB177" s="1122"/>
      <c r="CC177" s="1122"/>
      <c r="CD177" s="1145"/>
      <c r="CE177" s="1126"/>
      <c r="CF177" s="1126"/>
      <c r="CG177" s="1126"/>
      <c r="CH177" s="1126"/>
      <c r="CI177" s="1126"/>
      <c r="CJ177" s="1126"/>
      <c r="CK177" s="1133"/>
      <c r="CL177" s="1133"/>
      <c r="CM177" s="1133"/>
      <c r="CN177" s="1133"/>
      <c r="CO177" s="1133"/>
      <c r="CP177" s="1138"/>
      <c r="CQ177" s="1589"/>
      <c r="CR177" s="1132"/>
      <c r="CS177" s="1127"/>
      <c r="CT177" s="1127"/>
      <c r="CU177" s="1127"/>
      <c r="CV177" s="1139"/>
      <c r="CW177" s="1146"/>
      <c r="CX177" s="1147"/>
      <c r="CY177" s="1138"/>
      <c r="CZ177" s="1144"/>
      <c r="DA177" s="1132"/>
      <c r="DB177" s="1136"/>
      <c r="DC177" s="1136"/>
      <c r="DD177" s="1136"/>
      <c r="DE177" s="1136"/>
      <c r="DF177" s="1133"/>
      <c r="DG177" s="1122"/>
      <c r="DH177" s="1124"/>
      <c r="DI177" s="1124"/>
      <c r="DJ177" s="1132"/>
      <c r="DK177" s="1133"/>
      <c r="DL177" s="1124"/>
      <c r="DM177" s="1124"/>
      <c r="DN177" s="1124"/>
      <c r="DO177" s="1123"/>
      <c r="DP177" s="1124"/>
      <c r="DQ177" s="1127"/>
      <c r="DR177" s="1142"/>
      <c r="DS177" s="1127"/>
      <c r="DT177" s="1127"/>
      <c r="DU177" s="1127"/>
      <c r="DV177" s="1135"/>
      <c r="DW177" s="1135">
        <f t="shared" si="246"/>
        <v>0</v>
      </c>
      <c r="DX177" s="1143" t="str">
        <f t="shared" si="247"/>
        <v>Заявка на Производство на ближайшие 04-10 дней, кг</v>
      </c>
      <c r="DY177" s="659"/>
    </row>
    <row r="178" spans="1:129" ht="14.4">
      <c r="A178" s="1121" t="s">
        <v>667</v>
      </c>
      <c r="B178" s="1122"/>
      <c r="C178" s="1122"/>
      <c r="D178" s="1122"/>
      <c r="E178" s="1122"/>
      <c r="F178" s="1122"/>
      <c r="G178" s="1123"/>
      <c r="H178" s="1123"/>
      <c r="I178" s="1124"/>
      <c r="J178" s="1123"/>
      <c r="K178" s="1123"/>
      <c r="L178" s="1123"/>
      <c r="M178" s="1123"/>
      <c r="N178" s="1125"/>
      <c r="O178" s="1125"/>
      <c r="P178" s="1126"/>
      <c r="Q178" s="1127"/>
      <c r="R178" s="1127"/>
      <c r="S178" s="1128"/>
      <c r="T178" s="1129"/>
      <c r="U178" s="1130"/>
      <c r="V178" s="1131"/>
      <c r="W178" s="1131"/>
      <c r="X178" s="1131"/>
      <c r="Y178" s="1132"/>
      <c r="Z178" s="1124"/>
      <c r="AA178" s="1133"/>
      <c r="AB178" s="1133"/>
      <c r="AC178" s="1133"/>
      <c r="AD178" s="1133"/>
      <c r="AE178" s="1133"/>
      <c r="AF178" s="1133"/>
      <c r="AG178" s="1133"/>
      <c r="AH178" s="1133"/>
      <c r="AI178" s="1133"/>
      <c r="AJ178" s="1133"/>
      <c r="AK178" s="1133"/>
      <c r="AL178" s="1133"/>
      <c r="AM178" s="1134"/>
      <c r="AN178" s="1134"/>
      <c r="AO178" s="1126"/>
      <c r="AP178" s="1126"/>
      <c r="AQ178" s="1124"/>
      <c r="AR178" s="1127"/>
      <c r="AS178" s="1127"/>
      <c r="AT178" s="1127"/>
      <c r="AU178" s="1127"/>
      <c r="AV178" s="1127"/>
      <c r="AW178" s="1127"/>
      <c r="AX178" s="1135"/>
      <c r="AY178" s="1136"/>
      <c r="AZ178" s="1136"/>
      <c r="BA178" s="1133"/>
      <c r="BB178" s="1133"/>
      <c r="BC178" s="1124"/>
      <c r="BD178" s="1133"/>
      <c r="BE178" s="1133"/>
      <c r="BF178" s="1133"/>
      <c r="BG178" s="1133"/>
      <c r="BH178" s="1133"/>
      <c r="BI178" s="1133"/>
      <c r="BJ178" s="1133"/>
      <c r="BK178" s="1133"/>
      <c r="BL178" s="1136"/>
      <c r="BM178" s="1136"/>
      <c r="BN178" s="1136"/>
      <c r="BO178" s="1133"/>
      <c r="BP178" s="1124"/>
      <c r="BQ178" s="1124"/>
      <c r="BR178" s="1124"/>
      <c r="BS178" s="1124"/>
      <c r="BT178" s="1124"/>
      <c r="BU178" s="1124"/>
      <c r="BV178" s="1137"/>
      <c r="BW178" s="1144"/>
      <c r="BX178" s="1144"/>
      <c r="BY178" s="1144"/>
      <c r="BZ178" s="1122"/>
      <c r="CA178" s="1122"/>
      <c r="CB178" s="1122"/>
      <c r="CC178" s="1122"/>
      <c r="CD178" s="1145"/>
      <c r="CE178" s="1126"/>
      <c r="CF178" s="1126"/>
      <c r="CG178" s="1126"/>
      <c r="CH178" s="1126"/>
      <c r="CI178" s="1126"/>
      <c r="CJ178" s="1126"/>
      <c r="CK178" s="1133"/>
      <c r="CL178" s="1133"/>
      <c r="CM178" s="1133"/>
      <c r="CN178" s="1133"/>
      <c r="CO178" s="1133"/>
      <c r="CP178" s="1138"/>
      <c r="CQ178" s="1589"/>
      <c r="CR178" s="1132"/>
      <c r="CS178" s="1127"/>
      <c r="CT178" s="1127"/>
      <c r="CU178" s="1127"/>
      <c r="CV178" s="1139"/>
      <c r="CW178" s="1146"/>
      <c r="CX178" s="1147"/>
      <c r="CY178" s="1138"/>
      <c r="CZ178" s="1144"/>
      <c r="DA178" s="1132"/>
      <c r="DB178" s="1136"/>
      <c r="DC178" s="1136"/>
      <c r="DD178" s="1136"/>
      <c r="DE178" s="1136"/>
      <c r="DF178" s="1133"/>
      <c r="DG178" s="1122"/>
      <c r="DH178" s="1124"/>
      <c r="DI178" s="1124"/>
      <c r="DJ178" s="1132"/>
      <c r="DK178" s="1133"/>
      <c r="DL178" s="1124"/>
      <c r="DM178" s="1124"/>
      <c r="DN178" s="1124"/>
      <c r="DO178" s="1123"/>
      <c r="DP178" s="1124"/>
      <c r="DQ178" s="1127"/>
      <c r="DR178" s="1142"/>
      <c r="DS178" s="1127"/>
      <c r="DT178" s="1127"/>
      <c r="DU178" s="1127"/>
      <c r="DV178" s="1135"/>
      <c r="DW178" s="1135">
        <f t="shared" si="246"/>
        <v>0</v>
      </c>
      <c r="DX178" s="1143" t="str">
        <f t="shared" si="247"/>
        <v>Заявка на Производство на ближайшие 11-17 дней, кг</v>
      </c>
      <c r="DY178" s="659"/>
    </row>
    <row r="179" spans="1:129" ht="14.4">
      <c r="A179" s="1121" t="s">
        <v>668</v>
      </c>
      <c r="B179" s="1122"/>
      <c r="C179" s="1122"/>
      <c r="D179" s="1122"/>
      <c r="E179" s="1122"/>
      <c r="F179" s="1122"/>
      <c r="G179" s="1123"/>
      <c r="H179" s="1123"/>
      <c r="I179" s="1124"/>
      <c r="J179" s="1123"/>
      <c r="K179" s="1123"/>
      <c r="L179" s="1123"/>
      <c r="M179" s="1123"/>
      <c r="N179" s="1125"/>
      <c r="O179" s="1125"/>
      <c r="P179" s="1126"/>
      <c r="Q179" s="1127"/>
      <c r="R179" s="1127"/>
      <c r="S179" s="1128"/>
      <c r="T179" s="1129"/>
      <c r="U179" s="1130"/>
      <c r="V179" s="1131"/>
      <c r="W179" s="1131"/>
      <c r="X179" s="1131"/>
      <c r="Y179" s="1132"/>
      <c r="Z179" s="1124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4"/>
      <c r="AN179" s="1134"/>
      <c r="AO179" s="1126"/>
      <c r="AP179" s="1126"/>
      <c r="AQ179" s="1124"/>
      <c r="AR179" s="1127"/>
      <c r="AS179" s="1127"/>
      <c r="AT179" s="1127"/>
      <c r="AU179" s="1127"/>
      <c r="AV179" s="1127"/>
      <c r="AW179" s="1127"/>
      <c r="AX179" s="1135"/>
      <c r="AY179" s="1136"/>
      <c r="AZ179" s="1136"/>
      <c r="BA179" s="1133"/>
      <c r="BB179" s="1133"/>
      <c r="BC179" s="1124"/>
      <c r="BD179" s="1133"/>
      <c r="BE179" s="1133"/>
      <c r="BF179" s="1133"/>
      <c r="BG179" s="1133"/>
      <c r="BH179" s="1133"/>
      <c r="BI179" s="1133"/>
      <c r="BJ179" s="1133"/>
      <c r="BK179" s="1133"/>
      <c r="BL179" s="1136"/>
      <c r="BM179" s="1136"/>
      <c r="BN179" s="1136"/>
      <c r="BO179" s="1133"/>
      <c r="BP179" s="1124"/>
      <c r="BQ179" s="1124"/>
      <c r="BR179" s="1124"/>
      <c r="BS179" s="1124"/>
      <c r="BT179" s="1124"/>
      <c r="BU179" s="1124"/>
      <c r="BV179" s="1137"/>
      <c r="BW179" s="1144"/>
      <c r="BX179" s="1144"/>
      <c r="BY179" s="1144"/>
      <c r="BZ179" s="1122"/>
      <c r="CA179" s="1122"/>
      <c r="CB179" s="1122"/>
      <c r="CC179" s="1122"/>
      <c r="CD179" s="1145"/>
      <c r="CE179" s="1126"/>
      <c r="CF179" s="1126"/>
      <c r="CG179" s="1126"/>
      <c r="CH179" s="1126"/>
      <c r="CI179" s="1126"/>
      <c r="CJ179" s="1126"/>
      <c r="CK179" s="1133"/>
      <c r="CL179" s="1133"/>
      <c r="CM179" s="1133"/>
      <c r="CN179" s="1133"/>
      <c r="CO179" s="1133"/>
      <c r="CP179" s="1138"/>
      <c r="CQ179" s="1589"/>
      <c r="CR179" s="1132"/>
      <c r="CS179" s="1127"/>
      <c r="CT179" s="1127"/>
      <c r="CU179" s="1127"/>
      <c r="CV179" s="1139"/>
      <c r="CW179" s="1146"/>
      <c r="CX179" s="1147"/>
      <c r="CY179" s="1138"/>
      <c r="CZ179" s="1144"/>
      <c r="DA179" s="1132"/>
      <c r="DB179" s="1136"/>
      <c r="DC179" s="1136"/>
      <c r="DD179" s="1136"/>
      <c r="DE179" s="1136"/>
      <c r="DF179" s="1133"/>
      <c r="DG179" s="1122"/>
      <c r="DH179" s="1124"/>
      <c r="DI179" s="1124"/>
      <c r="DJ179" s="1132"/>
      <c r="DK179" s="1133"/>
      <c r="DL179" s="1124"/>
      <c r="DM179" s="1124"/>
      <c r="DN179" s="1124"/>
      <c r="DO179" s="1123"/>
      <c r="DP179" s="1124"/>
      <c r="DQ179" s="1127"/>
      <c r="DR179" s="1142"/>
      <c r="DS179" s="1127"/>
      <c r="DT179" s="1127"/>
      <c r="DU179" s="1127"/>
      <c r="DV179" s="1135"/>
      <c r="DW179" s="1135">
        <f t="shared" si="246"/>
        <v>0</v>
      </c>
      <c r="DX179" s="1143" t="str">
        <f t="shared" si="247"/>
        <v>Заявка на Производство на ближайшие 18-24 дней, кг</v>
      </c>
      <c r="DY179" s="659"/>
    </row>
    <row r="180" spans="1:129" ht="14.4">
      <c r="A180" s="1121" t="s">
        <v>669</v>
      </c>
      <c r="B180" s="1122"/>
      <c r="C180" s="1122"/>
      <c r="D180" s="1122"/>
      <c r="E180" s="1122"/>
      <c r="F180" s="1122"/>
      <c r="G180" s="1123"/>
      <c r="H180" s="1123"/>
      <c r="I180" s="1124"/>
      <c r="J180" s="1123"/>
      <c r="K180" s="1123"/>
      <c r="L180" s="1123"/>
      <c r="M180" s="1123"/>
      <c r="N180" s="1125"/>
      <c r="O180" s="1125"/>
      <c r="P180" s="1126"/>
      <c r="Q180" s="1127"/>
      <c r="R180" s="1127"/>
      <c r="S180" s="1128"/>
      <c r="T180" s="1129"/>
      <c r="U180" s="1130"/>
      <c r="V180" s="1131"/>
      <c r="W180" s="1131"/>
      <c r="X180" s="1131"/>
      <c r="Y180" s="1132"/>
      <c r="Z180" s="1124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4"/>
      <c r="AN180" s="1134"/>
      <c r="AO180" s="1126"/>
      <c r="AP180" s="1126"/>
      <c r="AQ180" s="1124"/>
      <c r="AR180" s="1127"/>
      <c r="AS180" s="1127"/>
      <c r="AT180" s="1127"/>
      <c r="AU180" s="1127"/>
      <c r="AV180" s="1127"/>
      <c r="AW180" s="1127"/>
      <c r="AX180" s="1135"/>
      <c r="AY180" s="1136"/>
      <c r="AZ180" s="1136"/>
      <c r="BA180" s="1133"/>
      <c r="BB180" s="1133"/>
      <c r="BC180" s="1124"/>
      <c r="BD180" s="1133"/>
      <c r="BE180" s="1133"/>
      <c r="BF180" s="1133"/>
      <c r="BG180" s="1133"/>
      <c r="BH180" s="1133"/>
      <c r="BI180" s="1133"/>
      <c r="BJ180" s="1133"/>
      <c r="BK180" s="1133"/>
      <c r="BL180" s="1136"/>
      <c r="BM180" s="1136"/>
      <c r="BN180" s="1136"/>
      <c r="BO180" s="1133"/>
      <c r="BP180" s="1124"/>
      <c r="BQ180" s="1124"/>
      <c r="BR180" s="1124"/>
      <c r="BS180" s="1124"/>
      <c r="BT180" s="1124"/>
      <c r="BU180" s="1124"/>
      <c r="BV180" s="1137"/>
      <c r="BW180" s="1136"/>
      <c r="BX180" s="1136"/>
      <c r="BY180" s="1136"/>
      <c r="BZ180" s="1133"/>
      <c r="CA180" s="1133"/>
      <c r="CB180" s="1133"/>
      <c r="CC180" s="1133"/>
      <c r="CD180" s="1126"/>
      <c r="CE180" s="1126"/>
      <c r="CF180" s="1126"/>
      <c r="CG180" s="1126"/>
      <c r="CH180" s="1126"/>
      <c r="CI180" s="1126"/>
      <c r="CJ180" s="1126"/>
      <c r="CK180" s="1133"/>
      <c r="CL180" s="1133"/>
      <c r="CM180" s="1133"/>
      <c r="CN180" s="1133"/>
      <c r="CO180" s="1133"/>
      <c r="CP180" s="1138"/>
      <c r="CQ180" s="1589"/>
      <c r="CR180" s="1132"/>
      <c r="CS180" s="1127"/>
      <c r="CT180" s="1127"/>
      <c r="CU180" s="1127"/>
      <c r="CV180" s="1139"/>
      <c r="CW180" s="1146"/>
      <c r="CX180" s="1147"/>
      <c r="CY180" s="1138"/>
      <c r="CZ180" s="1144"/>
      <c r="DA180" s="1132"/>
      <c r="DB180" s="1136"/>
      <c r="DC180" s="1136"/>
      <c r="DD180" s="1136"/>
      <c r="DE180" s="1136"/>
      <c r="DF180" s="1133"/>
      <c r="DG180" s="1122"/>
      <c r="DH180" s="1124"/>
      <c r="DI180" s="1124"/>
      <c r="DJ180" s="1132"/>
      <c r="DK180" s="1133"/>
      <c r="DL180" s="1124"/>
      <c r="DM180" s="1124"/>
      <c r="DN180" s="1124"/>
      <c r="DO180" s="1124"/>
      <c r="DP180" s="1124"/>
      <c r="DQ180" s="1127"/>
      <c r="DR180" s="1142"/>
      <c r="DS180" s="1127"/>
      <c r="DT180" s="1127"/>
      <c r="DU180" s="1127"/>
      <c r="DV180" s="1135"/>
      <c r="DW180" s="1135">
        <f t="shared" si="246"/>
        <v>0</v>
      </c>
      <c r="DX180" s="1143" t="str">
        <f t="shared" si="247"/>
        <v>Заявка на Производство на ближайшие 25-31 дней, кг</v>
      </c>
      <c r="DY180" s="659"/>
    </row>
    <row r="181" spans="1:129" ht="14.4">
      <c r="A181" s="1121" t="s">
        <v>670</v>
      </c>
      <c r="B181" s="1122"/>
      <c r="C181" s="1122"/>
      <c r="D181" s="1122"/>
      <c r="E181" s="1122"/>
      <c r="F181" s="1122"/>
      <c r="G181" s="1123"/>
      <c r="H181" s="1123"/>
      <c r="I181" s="1124"/>
      <c r="J181" s="1123"/>
      <c r="K181" s="1123"/>
      <c r="L181" s="1123"/>
      <c r="M181" s="1123"/>
      <c r="N181" s="1125"/>
      <c r="O181" s="1125"/>
      <c r="P181" s="1126"/>
      <c r="Q181" s="1127"/>
      <c r="R181" s="1127"/>
      <c r="S181" s="1128"/>
      <c r="T181" s="1129"/>
      <c r="U181" s="1130"/>
      <c r="V181" s="1131"/>
      <c r="W181" s="1131"/>
      <c r="X181" s="1131"/>
      <c r="Y181" s="1132"/>
      <c r="Z181" s="1124"/>
      <c r="AA181" s="1133"/>
      <c r="AB181" s="1133"/>
      <c r="AC181" s="1133"/>
      <c r="AD181" s="1133"/>
      <c r="AE181" s="1133"/>
      <c r="AF181" s="1133"/>
      <c r="AG181" s="1133"/>
      <c r="AH181" s="1133"/>
      <c r="AI181" s="1133"/>
      <c r="AJ181" s="1133"/>
      <c r="AK181" s="1133"/>
      <c r="AL181" s="1133"/>
      <c r="AM181" s="1134"/>
      <c r="AN181" s="1134"/>
      <c r="AO181" s="1126"/>
      <c r="AP181" s="1126"/>
      <c r="AQ181" s="1124"/>
      <c r="AR181" s="1127"/>
      <c r="AS181" s="1127"/>
      <c r="AT181" s="1127"/>
      <c r="AU181" s="1127"/>
      <c r="AV181" s="1127"/>
      <c r="AW181" s="1127"/>
      <c r="AX181" s="1135"/>
      <c r="AY181" s="1136"/>
      <c r="AZ181" s="1136"/>
      <c r="BA181" s="1133"/>
      <c r="BB181" s="1133"/>
      <c r="BC181" s="1124"/>
      <c r="BD181" s="1133"/>
      <c r="BE181" s="1133"/>
      <c r="BF181" s="1133"/>
      <c r="BG181" s="1133"/>
      <c r="BH181" s="1133"/>
      <c r="BI181" s="1133"/>
      <c r="BJ181" s="1133"/>
      <c r="BK181" s="1133"/>
      <c r="BL181" s="1136"/>
      <c r="BM181" s="1136"/>
      <c r="BN181" s="1136"/>
      <c r="BO181" s="1133"/>
      <c r="BP181" s="1124"/>
      <c r="BQ181" s="1124"/>
      <c r="BR181" s="1124"/>
      <c r="BS181" s="1124"/>
      <c r="BT181" s="1124"/>
      <c r="BU181" s="1124"/>
      <c r="BV181" s="1137"/>
      <c r="BW181" s="1136"/>
      <c r="BX181" s="1136"/>
      <c r="BY181" s="1136"/>
      <c r="BZ181" s="1133"/>
      <c r="CA181" s="1133"/>
      <c r="CB181" s="1133"/>
      <c r="CC181" s="1133"/>
      <c r="CD181" s="1126"/>
      <c r="CE181" s="1126"/>
      <c r="CF181" s="1126"/>
      <c r="CG181" s="1126"/>
      <c r="CH181" s="1126"/>
      <c r="CI181" s="1126"/>
      <c r="CJ181" s="1126"/>
      <c r="CK181" s="1133"/>
      <c r="CL181" s="1133"/>
      <c r="CM181" s="1133"/>
      <c r="CN181" s="1133"/>
      <c r="CO181" s="1133"/>
      <c r="CP181" s="1138"/>
      <c r="CQ181" s="1589"/>
      <c r="CR181" s="1132"/>
      <c r="CS181" s="1127"/>
      <c r="CT181" s="1127"/>
      <c r="CU181" s="1127"/>
      <c r="CV181" s="1139"/>
      <c r="CW181" s="1146"/>
      <c r="CX181" s="1147"/>
      <c r="CY181" s="1138"/>
      <c r="CZ181" s="1144"/>
      <c r="DA181" s="1132"/>
      <c r="DB181" s="1136"/>
      <c r="DC181" s="1136"/>
      <c r="DD181" s="1136"/>
      <c r="DE181" s="1136"/>
      <c r="DF181" s="1133"/>
      <c r="DG181" s="1133"/>
      <c r="DH181" s="1124"/>
      <c r="DI181" s="1124"/>
      <c r="DJ181" s="1132"/>
      <c r="DK181" s="1133"/>
      <c r="DL181" s="1124"/>
      <c r="DM181" s="1124"/>
      <c r="DN181" s="1124"/>
      <c r="DO181" s="1124"/>
      <c r="DP181" s="1124"/>
      <c r="DQ181" s="1127"/>
      <c r="DR181" s="1142"/>
      <c r="DS181" s="1127"/>
      <c r="DT181" s="1127"/>
      <c r="DU181" s="1127"/>
      <c r="DV181" s="1135"/>
      <c r="DW181" s="1135">
        <f t="shared" si="246"/>
        <v>0</v>
      </c>
      <c r="DX181" s="1143" t="str">
        <f t="shared" si="247"/>
        <v>Заявка на Производство на ближайшие 32-38 дней, кг</v>
      </c>
      <c r="DY181" s="659"/>
    </row>
    <row r="182" spans="1:129" ht="16.350000000000001" customHeight="1">
      <c r="A182" s="1121" t="s">
        <v>671</v>
      </c>
      <c r="B182" s="1152"/>
      <c r="C182" s="1152"/>
      <c r="D182" s="1152"/>
      <c r="E182" s="1152"/>
      <c r="F182" s="1152"/>
      <c r="G182" s="1153"/>
      <c r="H182" s="1153"/>
      <c r="I182" s="1153"/>
      <c r="J182" s="1153"/>
      <c r="K182" s="1153"/>
      <c r="L182" s="1153"/>
      <c r="M182" s="1153"/>
      <c r="N182" s="1154"/>
      <c r="O182" s="1154"/>
      <c r="P182" s="1155"/>
      <c r="Q182" s="1156"/>
      <c r="R182" s="1156"/>
      <c r="S182" s="1157"/>
      <c r="T182" s="1158"/>
      <c r="U182" s="1159"/>
      <c r="V182" s="1160"/>
      <c r="W182" s="1160"/>
      <c r="X182" s="1160"/>
      <c r="Y182" s="1161"/>
      <c r="Z182" s="1153"/>
      <c r="AA182" s="1152"/>
      <c r="AB182" s="1152"/>
      <c r="AC182" s="1152"/>
      <c r="AD182" s="1152"/>
      <c r="AE182" s="1152"/>
      <c r="AF182" s="1152"/>
      <c r="AG182" s="1152"/>
      <c r="AH182" s="1152"/>
      <c r="AI182" s="1152"/>
      <c r="AJ182" s="1152"/>
      <c r="AK182" s="1152"/>
      <c r="AL182" s="1152"/>
      <c r="AM182" s="1162"/>
      <c r="AN182" s="1162"/>
      <c r="AO182" s="1155"/>
      <c r="AP182" s="1163"/>
      <c r="AQ182" s="1153"/>
      <c r="AR182" s="1156"/>
      <c r="AS182" s="1156"/>
      <c r="AT182" s="1156"/>
      <c r="AU182" s="1156"/>
      <c r="AV182" s="1156"/>
      <c r="AW182" s="1156"/>
      <c r="AX182" s="1164"/>
      <c r="AY182" s="1165"/>
      <c r="AZ182" s="1165"/>
      <c r="BA182" s="1152"/>
      <c r="BB182" s="1152"/>
      <c r="BC182" s="1153"/>
      <c r="BD182" s="1152"/>
      <c r="BE182" s="1152"/>
      <c r="BF182" s="1152"/>
      <c r="BG182" s="1152"/>
      <c r="BH182" s="1152"/>
      <c r="BI182" s="1152"/>
      <c r="BJ182" s="1152"/>
      <c r="BK182" s="1152"/>
      <c r="BL182" s="1165"/>
      <c r="BM182" s="1165"/>
      <c r="BN182" s="1165"/>
      <c r="BO182" s="1152"/>
      <c r="BP182" s="1153"/>
      <c r="BQ182" s="1153"/>
      <c r="BR182" s="1153"/>
      <c r="BS182" s="1153"/>
      <c r="BT182" s="1153"/>
      <c r="BU182" s="1153"/>
      <c r="BV182" s="1166"/>
      <c r="BW182" s="1165"/>
      <c r="BX182" s="1165"/>
      <c r="BY182" s="1165"/>
      <c r="BZ182" s="1152"/>
      <c r="CA182" s="1152"/>
      <c r="CB182" s="1152"/>
      <c r="CC182" s="1152"/>
      <c r="CD182" s="1155"/>
      <c r="CE182" s="1155"/>
      <c r="CF182" s="1155"/>
      <c r="CG182" s="1155"/>
      <c r="CH182" s="1155"/>
      <c r="CI182" s="1155"/>
      <c r="CJ182" s="1155"/>
      <c r="CK182" s="1152"/>
      <c r="CL182" s="1152"/>
      <c r="CM182" s="1152"/>
      <c r="CN182" s="1152"/>
      <c r="CO182" s="1152"/>
      <c r="CP182" s="1154"/>
      <c r="CQ182" s="1590"/>
      <c r="CR182" s="1161"/>
      <c r="CS182" s="1156"/>
      <c r="CT182" s="1156"/>
      <c r="CU182" s="1156"/>
      <c r="CV182" s="1167"/>
      <c r="CW182" s="1168"/>
      <c r="CX182" s="1164"/>
      <c r="CY182" s="1154"/>
      <c r="CZ182" s="1165"/>
      <c r="DA182" s="1161"/>
      <c r="DB182" s="1165"/>
      <c r="DC182" s="1165"/>
      <c r="DD182" s="1165"/>
      <c r="DE182" s="1165"/>
      <c r="DF182" s="1152"/>
      <c r="DG182" s="1152"/>
      <c r="DH182" s="1153"/>
      <c r="DI182" s="1153"/>
      <c r="DJ182" s="1161"/>
      <c r="DK182" s="1152"/>
      <c r="DL182" s="1153"/>
      <c r="DM182" s="1153"/>
      <c r="DN182" s="1153"/>
      <c r="DO182" s="1153"/>
      <c r="DP182" s="1153"/>
      <c r="DQ182" s="1156"/>
      <c r="DR182" s="1169"/>
      <c r="DS182" s="1156"/>
      <c r="DT182" s="1156"/>
      <c r="DU182" s="1156"/>
      <c r="DV182" s="1164"/>
      <c r="DW182" s="1164">
        <f t="shared" si="246"/>
        <v>0</v>
      </c>
      <c r="DX182" s="1143" t="str">
        <f t="shared" si="247"/>
        <v>Заявка на Производство на ближайшие 39-45 дней, кг</v>
      </c>
      <c r="DY182" s="659"/>
    </row>
    <row r="183" spans="1:129" ht="16.350000000000001" customHeight="1">
      <c r="A183" s="1121" t="s">
        <v>672</v>
      </c>
      <c r="B183" s="1170"/>
      <c r="C183" s="1170"/>
      <c r="D183" s="1170"/>
      <c r="E183" s="1170"/>
      <c r="F183" s="1170"/>
      <c r="G183" s="1171"/>
      <c r="H183" s="1171"/>
      <c r="I183" s="1171"/>
      <c r="J183" s="1171"/>
      <c r="K183" s="1171"/>
      <c r="L183" s="1171"/>
      <c r="M183" s="1171"/>
      <c r="N183" s="1172"/>
      <c r="O183" s="1172"/>
      <c r="P183" s="1163"/>
      <c r="Q183" s="1156"/>
      <c r="R183" s="1156"/>
      <c r="S183" s="1173"/>
      <c r="T183" s="1174"/>
      <c r="U183" s="1175"/>
      <c r="V183" s="1176"/>
      <c r="W183" s="1176"/>
      <c r="X183" s="1176"/>
      <c r="Y183" s="1161"/>
      <c r="Z183" s="1171"/>
      <c r="AA183" s="1170"/>
      <c r="AB183" s="1170"/>
      <c r="AC183" s="1170"/>
      <c r="AD183" s="1170"/>
      <c r="AE183" s="1170"/>
      <c r="AF183" s="1170"/>
      <c r="AG183" s="1170"/>
      <c r="AH183" s="1170"/>
      <c r="AI183" s="1170"/>
      <c r="AJ183" s="1170"/>
      <c r="AK183" s="1170"/>
      <c r="AL183" s="1170"/>
      <c r="AM183" s="1162"/>
      <c r="AN183" s="1162"/>
      <c r="AO183" s="1163"/>
      <c r="AP183" s="1163"/>
      <c r="AQ183" s="1171"/>
      <c r="AR183" s="1177"/>
      <c r="AS183" s="1177"/>
      <c r="AT183" s="1177"/>
      <c r="AU183" s="1177"/>
      <c r="AV183" s="1177"/>
      <c r="AW183" s="1177"/>
      <c r="AX183" s="1178"/>
      <c r="AY183" s="1179"/>
      <c r="AZ183" s="1179"/>
      <c r="BA183" s="1170"/>
      <c r="BB183" s="1170"/>
      <c r="BC183" s="1171"/>
      <c r="BD183" s="1170"/>
      <c r="BE183" s="1170"/>
      <c r="BF183" s="1170"/>
      <c r="BG183" s="1170"/>
      <c r="BH183" s="1170"/>
      <c r="BI183" s="1170"/>
      <c r="BJ183" s="1170"/>
      <c r="BK183" s="1170"/>
      <c r="BL183" s="1179"/>
      <c r="BM183" s="1179"/>
      <c r="BN183" s="1179"/>
      <c r="BO183" s="1170"/>
      <c r="BP183" s="1171"/>
      <c r="BQ183" s="1171"/>
      <c r="BR183" s="1171"/>
      <c r="BS183" s="1171"/>
      <c r="BT183" s="1171"/>
      <c r="BU183" s="1171"/>
      <c r="BV183" s="1180"/>
      <c r="BW183" s="1179"/>
      <c r="BX183" s="1179"/>
      <c r="BY183" s="1179"/>
      <c r="BZ183" s="1170"/>
      <c r="CA183" s="1170"/>
      <c r="CB183" s="1170"/>
      <c r="CC183" s="1170"/>
      <c r="CD183" s="1163"/>
      <c r="CE183" s="1163"/>
      <c r="CF183" s="1163"/>
      <c r="CG183" s="1163"/>
      <c r="CH183" s="1163"/>
      <c r="CI183" s="1163"/>
      <c r="CJ183" s="1163"/>
      <c r="CK183" s="1170"/>
      <c r="CL183" s="1170"/>
      <c r="CM183" s="1170"/>
      <c r="CN183" s="1170"/>
      <c r="CO183" s="1170"/>
      <c r="CP183" s="1172"/>
      <c r="CQ183" s="1591"/>
      <c r="CR183" s="1181"/>
      <c r="CS183" s="1177"/>
      <c r="CT183" s="1177"/>
      <c r="CU183" s="1177"/>
      <c r="CV183" s="1182"/>
      <c r="CW183" s="1183"/>
      <c r="CX183" s="1178"/>
      <c r="CY183" s="1172"/>
      <c r="CZ183" s="1179"/>
      <c r="DA183" s="1181"/>
      <c r="DB183" s="1179"/>
      <c r="DC183" s="1179"/>
      <c r="DD183" s="1179"/>
      <c r="DE183" s="1179"/>
      <c r="DF183" s="1170"/>
      <c r="DG183" s="1170"/>
      <c r="DH183" s="1171"/>
      <c r="DI183" s="1171"/>
      <c r="DJ183" s="1181"/>
      <c r="DK183" s="1152"/>
      <c r="DL183" s="1153"/>
      <c r="DM183" s="1153"/>
      <c r="DN183" s="1153"/>
      <c r="DO183" s="1171"/>
      <c r="DP183" s="1171"/>
      <c r="DQ183" s="1156"/>
      <c r="DR183" s="1169"/>
      <c r="DS183" s="1156"/>
      <c r="DT183" s="1156"/>
      <c r="DU183" s="1156"/>
      <c r="DV183" s="1164"/>
      <c r="DW183" s="1164">
        <f t="shared" si="246"/>
        <v>0</v>
      </c>
      <c r="DX183" s="1143" t="str">
        <f t="shared" si="247"/>
        <v>Заявка на Производство на ближайшие 46-52 дней, кг</v>
      </c>
      <c r="DY183" s="659"/>
    </row>
    <row r="184" spans="1:129" ht="16.350000000000001" customHeight="1" thickBot="1">
      <c r="A184" s="1121" t="s">
        <v>673</v>
      </c>
      <c r="B184" s="1170"/>
      <c r="C184" s="1170"/>
      <c r="D184" s="1170"/>
      <c r="E184" s="1170"/>
      <c r="F184" s="1170"/>
      <c r="G184" s="1171"/>
      <c r="H184" s="1171"/>
      <c r="I184" s="1171"/>
      <c r="J184" s="1171"/>
      <c r="K184" s="1171"/>
      <c r="L184" s="1171"/>
      <c r="M184" s="1171"/>
      <c r="N184" s="1172"/>
      <c r="O184" s="1172"/>
      <c r="P184" s="1163"/>
      <c r="Q184" s="1156"/>
      <c r="R184" s="1156"/>
      <c r="S184" s="1184"/>
      <c r="T184" s="1185"/>
      <c r="U184" s="1186"/>
      <c r="V184" s="1187"/>
      <c r="W184" s="1187"/>
      <c r="X184" s="1187"/>
      <c r="Y184" s="1161"/>
      <c r="Z184" s="1171"/>
      <c r="AA184" s="1170"/>
      <c r="AB184" s="1188"/>
      <c r="AC184" s="1188"/>
      <c r="AD184" s="1188"/>
      <c r="AE184" s="1188"/>
      <c r="AF184" s="1188"/>
      <c r="AG184" s="1188"/>
      <c r="AH184" s="1188"/>
      <c r="AI184" s="1188"/>
      <c r="AJ184" s="1188"/>
      <c r="AK184" s="1188"/>
      <c r="AL184" s="1170"/>
      <c r="AM184" s="1162"/>
      <c r="AN184" s="1162"/>
      <c r="AO184" s="1163"/>
      <c r="AP184" s="1163"/>
      <c r="AQ184" s="1171"/>
      <c r="AR184" s="1189"/>
      <c r="AS184" s="1189"/>
      <c r="AT184" s="1189"/>
      <c r="AU184" s="1189"/>
      <c r="AV184" s="1189"/>
      <c r="AW184" s="1190"/>
      <c r="AX184" s="1191"/>
      <c r="AY184" s="1179"/>
      <c r="AZ184" s="1179"/>
      <c r="BA184" s="1170"/>
      <c r="BB184" s="1170"/>
      <c r="BC184" s="1171"/>
      <c r="BD184" s="1170"/>
      <c r="BE184" s="1170"/>
      <c r="BF184" s="1170"/>
      <c r="BG184" s="1170"/>
      <c r="BH184" s="1170"/>
      <c r="BI184" s="1170"/>
      <c r="BJ184" s="1170"/>
      <c r="BK184" s="1170"/>
      <c r="BL184" s="1179"/>
      <c r="BM184" s="1179"/>
      <c r="BN184" s="1179"/>
      <c r="BO184" s="1170"/>
      <c r="BP184" s="1171"/>
      <c r="BQ184" s="1171"/>
      <c r="BR184" s="1171"/>
      <c r="BS184" s="1171"/>
      <c r="BT184" s="1171"/>
      <c r="BU184" s="1171"/>
      <c r="BV184" s="1192"/>
      <c r="BW184" s="1193"/>
      <c r="BX184" s="1193"/>
      <c r="BY184" s="1193"/>
      <c r="BZ184" s="1194"/>
      <c r="CA184" s="1194"/>
      <c r="CB184" s="1194"/>
      <c r="CC184" s="1194"/>
      <c r="CD184" s="1195"/>
      <c r="CE184" s="1195"/>
      <c r="CF184" s="1195"/>
      <c r="CG184" s="1195"/>
      <c r="CH184" s="1195"/>
      <c r="CI184" s="1195"/>
      <c r="CJ184" s="1195"/>
      <c r="CK184" s="1194"/>
      <c r="CL184" s="1194"/>
      <c r="CM184" s="1194"/>
      <c r="CN184" s="1194"/>
      <c r="CO184" s="1194"/>
      <c r="CP184" s="1172"/>
      <c r="CQ184" s="1592"/>
      <c r="CR184" s="1196"/>
      <c r="CS184" s="1190"/>
      <c r="CT184" s="1190"/>
      <c r="CU184" s="1190"/>
      <c r="CV184" s="1197"/>
      <c r="CW184" s="1198"/>
      <c r="CX184" s="1199"/>
      <c r="CY184" s="1172"/>
      <c r="CZ184" s="1179"/>
      <c r="DA184" s="1181"/>
      <c r="DB184" s="1179"/>
      <c r="DC184" s="1179"/>
      <c r="DD184" s="1179"/>
      <c r="DE184" s="1179"/>
      <c r="DF184" s="1170"/>
      <c r="DG184" s="1170"/>
      <c r="DH184" s="1171"/>
      <c r="DI184" s="1171"/>
      <c r="DJ184" s="1181"/>
      <c r="DK184" s="1170"/>
      <c r="DL184" s="1200"/>
      <c r="DM184" s="1200"/>
      <c r="DN184" s="1200"/>
      <c r="DO184" s="1200"/>
      <c r="DP184" s="1200"/>
      <c r="DQ184" s="1201"/>
      <c r="DR184" s="1202"/>
      <c r="DS184" s="1201"/>
      <c r="DT184" s="1201"/>
      <c r="DU184" s="1201"/>
      <c r="DV184" s="1203"/>
      <c r="DW184" s="1203">
        <f t="shared" si="246"/>
        <v>0</v>
      </c>
      <c r="DX184" s="1143" t="str">
        <f t="shared" si="247"/>
        <v>Заявка на Производство на ближайшие 53-59 дней, кг</v>
      </c>
      <c r="DY184" s="659"/>
    </row>
    <row r="185" spans="1:129" ht="6.75" customHeight="1" thickTop="1" thickBot="1">
      <c r="A185" s="844"/>
      <c r="B185" s="665"/>
      <c r="C185" s="665"/>
      <c r="D185" s="665"/>
      <c r="E185" s="665"/>
      <c r="F185" s="665"/>
      <c r="G185" s="665"/>
      <c r="H185" s="665"/>
      <c r="I185" s="665"/>
      <c r="J185" s="665"/>
      <c r="K185" s="665"/>
      <c r="L185" s="665"/>
      <c r="M185" s="665"/>
      <c r="N185" s="1204"/>
      <c r="O185" s="1204"/>
      <c r="P185" s="666"/>
      <c r="Q185" s="665"/>
      <c r="R185" s="665"/>
      <c r="S185" s="665"/>
      <c r="T185" s="667"/>
      <c r="U185" s="665"/>
      <c r="V185" s="665"/>
      <c r="W185" s="665"/>
      <c r="X185" s="665"/>
      <c r="Y185" s="665"/>
      <c r="Z185" s="665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6"/>
      <c r="AP185" s="666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65"/>
      <c r="BL185" s="665"/>
      <c r="BM185" s="665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  <c r="BX185" s="665"/>
      <c r="BY185" s="665"/>
      <c r="BZ185" s="665"/>
      <c r="CA185" s="665"/>
      <c r="CB185" s="665"/>
      <c r="CC185" s="665"/>
      <c r="CD185" s="666"/>
      <c r="CE185" s="666"/>
      <c r="CF185" s="666"/>
      <c r="CG185" s="666"/>
      <c r="CH185" s="666"/>
      <c r="CI185" s="666"/>
      <c r="CJ185" s="666"/>
      <c r="CK185" s="665"/>
      <c r="CL185" s="665"/>
      <c r="CM185" s="665"/>
      <c r="CN185" s="665"/>
      <c r="CO185" s="665"/>
      <c r="CP185" s="665"/>
      <c r="CQ185" s="665"/>
      <c r="CR185" s="665"/>
      <c r="CS185" s="665"/>
      <c r="CT185" s="665"/>
      <c r="CU185" s="665"/>
      <c r="CV185" s="665"/>
      <c r="CW185" s="665"/>
      <c r="CX185" s="665"/>
      <c r="CY185" s="665"/>
      <c r="CZ185" s="665"/>
      <c r="DA185" s="665"/>
      <c r="DB185" s="665"/>
      <c r="DC185" s="665"/>
      <c r="DD185" s="665"/>
      <c r="DE185" s="665"/>
      <c r="DF185" s="665"/>
      <c r="DG185" s="665"/>
      <c r="DH185" s="665"/>
      <c r="DI185" s="665"/>
      <c r="DJ185" s="668"/>
      <c r="DK185" s="665"/>
      <c r="DL185" s="665"/>
      <c r="DM185" s="665"/>
      <c r="DN185" s="665"/>
      <c r="DO185" s="665"/>
      <c r="DP185" s="665"/>
      <c r="DQ185" s="665"/>
      <c r="DR185" s="669"/>
      <c r="DS185" s="665"/>
      <c r="DT185" s="665"/>
      <c r="DU185" s="665"/>
      <c r="DV185" s="670"/>
      <c r="DW185" s="665"/>
      <c r="DX185" s="844"/>
      <c r="DY185" s="659"/>
    </row>
    <row r="186" spans="1:129" ht="41.25" customHeight="1" thickTop="1">
      <c r="A186" s="1205" t="s">
        <v>675</v>
      </c>
      <c r="B186" s="1206">
        <f t="shared" ref="B186:BA186" si="248">SUM(B187:B192)</f>
        <v>-9050.907011904761</v>
      </c>
      <c r="C186" s="1206">
        <f t="shared" si="248"/>
        <v>-273.76290476190474</v>
      </c>
      <c r="D186" s="1206">
        <f t="shared" si="248"/>
        <v>-4390.2111190476189</v>
      </c>
      <c r="E186" s="1206">
        <f t="shared" si="248"/>
        <v>-395.35990476190477</v>
      </c>
      <c r="F186" s="1206">
        <f t="shared" si="248"/>
        <v>-6492.844761904762</v>
      </c>
      <c r="G186" s="1207">
        <f t="shared" si="248"/>
        <v>-209.42857142857144</v>
      </c>
      <c r="H186" s="1207">
        <f>SUM(H187:H192)</f>
        <v>-497.04</v>
      </c>
      <c r="I186" s="1207">
        <f t="shared" si="248"/>
        <v>-1111.4931666666666</v>
      </c>
      <c r="J186" s="1207">
        <f t="shared" si="248"/>
        <v>-2320.5173333333332</v>
      </c>
      <c r="K186" s="1207">
        <f t="shared" si="248"/>
        <v>-374.06542857142858</v>
      </c>
      <c r="L186" s="1207">
        <f t="shared" si="248"/>
        <v>-653.48522023809528</v>
      </c>
      <c r="M186" s="1207">
        <f t="shared" ref="M186" si="249">SUM(M187:M192)</f>
        <v>0</v>
      </c>
      <c r="N186" s="1208">
        <f t="shared" si="248"/>
        <v>-1385.7910714285713</v>
      </c>
      <c r="O186" s="1208">
        <f t="shared" si="248"/>
        <v>-707.21648809523811</v>
      </c>
      <c r="P186" s="1209">
        <f t="shared" si="248"/>
        <v>-922.32190476190499</v>
      </c>
      <c r="Q186" s="1210">
        <f t="shared" si="248"/>
        <v>-5091.0933333333342</v>
      </c>
      <c r="R186" s="1210">
        <f t="shared" si="248"/>
        <v>-1350.1193904761906</v>
      </c>
      <c r="S186" s="1211">
        <f t="shared" si="248"/>
        <v>-42685.138333333336</v>
      </c>
      <c r="T186" s="1212">
        <f t="shared" si="248"/>
        <v>-461.03958333333338</v>
      </c>
      <c r="U186" s="1213">
        <f t="shared" si="248"/>
        <v>-2697.5421428571426</v>
      </c>
      <c r="V186" s="1214">
        <f t="shared" ref="V186" si="250">SUM(V187:V192)</f>
        <v>-2174.0728571428572</v>
      </c>
      <c r="W186" s="1214">
        <f>SUM(W187:W192)</f>
        <v>-65.257142857142867</v>
      </c>
      <c r="X186" s="1214">
        <f>SUM(X187:X192)</f>
        <v>-273.75</v>
      </c>
      <c r="Y186" s="1215">
        <f t="shared" si="248"/>
        <v>-3048.7814880952383</v>
      </c>
      <c r="Z186" s="1207">
        <f t="shared" si="248"/>
        <v>-345.42142857142846</v>
      </c>
      <c r="AA186" s="1206">
        <f t="shared" si="248"/>
        <v>-7416.8144761904759</v>
      </c>
      <c r="AB186" s="1206">
        <f t="shared" si="248"/>
        <v>-964.61142857142841</v>
      </c>
      <c r="AC186" s="1206">
        <f>SUM(AC187:AC192)</f>
        <v>-339.90523809523808</v>
      </c>
      <c r="AD186" s="1206">
        <f t="shared" si="248"/>
        <v>-1654.8071428571429</v>
      </c>
      <c r="AE186" s="1206">
        <f>SUM(AE187:AE192)</f>
        <v>-111.71428571428572</v>
      </c>
      <c r="AF186" s="1206">
        <f>SUM(AF187:AF192)</f>
        <v>-489.01333333333332</v>
      </c>
      <c r="AG186" s="1206">
        <f t="shared" si="248"/>
        <v>-2292.6293333333333</v>
      </c>
      <c r="AH186" s="1206">
        <f t="shared" ref="AH186" si="251">SUM(AH187:AH192)</f>
        <v>-49.959333333333461</v>
      </c>
      <c r="AI186" s="1206">
        <f t="shared" si="248"/>
        <v>-7962.307142857142</v>
      </c>
      <c r="AJ186" s="1206">
        <f>SUM(AJ187:AJ192)</f>
        <v>0</v>
      </c>
      <c r="AK186" s="1206">
        <f>SUM(AK187:AK192)</f>
        <v>-2648.5523809523811</v>
      </c>
      <c r="AL186" s="1206">
        <f t="shared" si="248"/>
        <v>-1702.8597619047621</v>
      </c>
      <c r="AM186" s="1209">
        <f t="shared" si="248"/>
        <v>-10501.98857142857</v>
      </c>
      <c r="AN186" s="1209">
        <f t="shared" ref="AN186" si="252">SUM(AN187:AN192)</f>
        <v>-250.19999999999996</v>
      </c>
      <c r="AO186" s="1209">
        <f t="shared" si="248"/>
        <v>-3904.6428571428569</v>
      </c>
      <c r="AP186" s="1209">
        <f t="shared" si="248"/>
        <v>-75.687142857142845</v>
      </c>
      <c r="AQ186" s="1207">
        <f t="shared" si="248"/>
        <v>-2031.0492857142863</v>
      </c>
      <c r="AR186" s="1216">
        <f t="shared" si="248"/>
        <v>0</v>
      </c>
      <c r="AS186" s="1216">
        <f t="shared" si="248"/>
        <v>-214.51392857142858</v>
      </c>
      <c r="AT186" s="1216">
        <f t="shared" ref="AT186" si="253">SUM(AT187:AT192)</f>
        <v>-202.90142857142857</v>
      </c>
      <c r="AU186" s="1216">
        <f t="shared" si="248"/>
        <v>-66.766964285714295</v>
      </c>
      <c r="AV186" s="1216">
        <f t="shared" si="248"/>
        <v>0</v>
      </c>
      <c r="AW186" s="1217">
        <f t="shared" si="248"/>
        <v>0</v>
      </c>
      <c r="AX186" s="1218">
        <f t="shared" si="248"/>
        <v>0</v>
      </c>
      <c r="AY186" s="1219">
        <f t="shared" si="248"/>
        <v>-2765.4849523809521</v>
      </c>
      <c r="AZ186" s="1206">
        <f t="shared" si="248"/>
        <v>-450.37</v>
      </c>
      <c r="BA186" s="1206">
        <f t="shared" si="248"/>
        <v>-683.78125</v>
      </c>
      <c r="BB186" s="1206">
        <f t="shared" ref="BB186:DV186" si="254">SUM(BB187:BB192)</f>
        <v>-1320.5386904761906</v>
      </c>
      <c r="BC186" s="1207">
        <f t="shared" si="254"/>
        <v>-642</v>
      </c>
      <c r="BD186" s="1207">
        <f t="shared" si="254"/>
        <v>-1041.5</v>
      </c>
      <c r="BE186" s="1207">
        <f t="shared" si="254"/>
        <v>-202.3125</v>
      </c>
      <c r="BF186" s="1207">
        <f t="shared" si="254"/>
        <v>-252.10000000000002</v>
      </c>
      <c r="BG186" s="1207">
        <f>SUM(BG187:BG192)</f>
        <v>0</v>
      </c>
      <c r="BH186" s="1207">
        <f>SUM(BH187:BH192)</f>
        <v>-170.4</v>
      </c>
      <c r="BI186" s="1207">
        <f>SUM(BI187:BI192)</f>
        <v>-105</v>
      </c>
      <c r="BJ186" s="1207">
        <f t="shared" si="254"/>
        <v>-463.75</v>
      </c>
      <c r="BK186" s="1207">
        <f t="shared" si="254"/>
        <v>-91.641249999999999</v>
      </c>
      <c r="BL186" s="1207">
        <f t="shared" si="254"/>
        <v>-293.3416666666667</v>
      </c>
      <c r="BM186" s="1207">
        <f t="shared" si="254"/>
        <v>-5270.0791666666664</v>
      </c>
      <c r="BN186" s="1207">
        <f t="shared" si="254"/>
        <v>-151.875</v>
      </c>
      <c r="BO186" s="1207">
        <f t="shared" si="254"/>
        <v>-4419.6934523809541</v>
      </c>
      <c r="BP186" s="1207">
        <f t="shared" si="254"/>
        <v>0</v>
      </c>
      <c r="BQ186" s="1207">
        <f t="shared" si="254"/>
        <v>-156.15625</v>
      </c>
      <c r="BR186" s="1207">
        <f>SUM(BR187:BR192)</f>
        <v>-350</v>
      </c>
      <c r="BS186" s="1207">
        <f>SUM(BS187:BS192)</f>
        <v>-56</v>
      </c>
      <c r="BT186" s="1207">
        <f t="shared" si="254"/>
        <v>-115.10000000000008</v>
      </c>
      <c r="BU186" s="1207">
        <f t="shared" si="254"/>
        <v>-740</v>
      </c>
      <c r="BV186" s="1207">
        <f t="shared" si="254"/>
        <v>-886</v>
      </c>
      <c r="BW186" s="1207">
        <f t="shared" si="254"/>
        <v>-4048.0151785714279</v>
      </c>
      <c r="BX186" s="1207">
        <f t="shared" si="254"/>
        <v>-184.93214285714294</v>
      </c>
      <c r="BY186" s="1207">
        <f t="shared" si="254"/>
        <v>0</v>
      </c>
      <c r="BZ186" s="1220">
        <f t="shared" si="254"/>
        <v>-1166.634642857143</v>
      </c>
      <c r="CA186" s="1220">
        <f t="shared" si="254"/>
        <v>-5972.1350000000011</v>
      </c>
      <c r="CB186" s="1220">
        <f t="shared" si="254"/>
        <v>-630.01250000000005</v>
      </c>
      <c r="CC186" s="1220">
        <f t="shared" si="254"/>
        <v>0</v>
      </c>
      <c r="CD186" s="1221">
        <f t="shared" si="254"/>
        <v>-38110.52678571429</v>
      </c>
      <c r="CE186" s="1221">
        <f t="shared" si="254"/>
        <v>-28161.828571428574</v>
      </c>
      <c r="CF186" s="1221">
        <f t="shared" si="254"/>
        <v>-45.771428571428544</v>
      </c>
      <c r="CG186" s="1221">
        <f t="shared" si="254"/>
        <v>-3986.0292857142858</v>
      </c>
      <c r="CH186" s="1221">
        <f t="shared" si="254"/>
        <v>-1029.5357142857142</v>
      </c>
      <c r="CI186" s="1221">
        <f>SUM(CI187:CI192)</f>
        <v>-136.17142857142858</v>
      </c>
      <c r="CJ186" s="1221">
        <f>SUM(CJ187:CJ192)</f>
        <v>-179.77142857142857</v>
      </c>
      <c r="CK186" s="1220">
        <f t="shared" si="254"/>
        <v>0</v>
      </c>
      <c r="CL186" s="1220">
        <f t="shared" si="254"/>
        <v>-937.95714285714291</v>
      </c>
      <c r="CM186" s="1220">
        <f t="shared" si="254"/>
        <v>-727.43714285714293</v>
      </c>
      <c r="CN186" s="1220">
        <f t="shared" si="254"/>
        <v>-1128.5478571428571</v>
      </c>
      <c r="CO186" s="1220">
        <f t="shared" si="254"/>
        <v>-28.671428571428578</v>
      </c>
      <c r="CP186" s="1208">
        <f t="shared" si="254"/>
        <v>-487.09226190476193</v>
      </c>
      <c r="CQ186" s="1208">
        <f>SUM(CQ187:CQ192)</f>
        <v>-147.07142857142858</v>
      </c>
      <c r="CR186" s="1215">
        <f t="shared" si="254"/>
        <v>-1038.9375</v>
      </c>
      <c r="CS186" s="1215">
        <f>SUM(CS187:CS192)</f>
        <v>-126.17142857142858</v>
      </c>
      <c r="CT186" s="1220">
        <f t="shared" si="254"/>
        <v>-951.92142857142881</v>
      </c>
      <c r="CU186" s="1220">
        <f t="shared" si="254"/>
        <v>-3390.0749999999998</v>
      </c>
      <c r="CV186" s="1220">
        <f t="shared" si="254"/>
        <v>-189.27857142857141</v>
      </c>
      <c r="CW186" s="1207">
        <f t="shared" si="254"/>
        <v>-3229.0820000000003</v>
      </c>
      <c r="CX186" s="1208">
        <f t="shared" si="254"/>
        <v>-156.92785714285714</v>
      </c>
      <c r="CY186" s="1208">
        <f t="shared" si="254"/>
        <v>-1460.6183928571425</v>
      </c>
      <c r="CZ186" s="1206">
        <f t="shared" si="254"/>
        <v>-660.27464285714279</v>
      </c>
      <c r="DA186" s="1215">
        <f t="shared" si="254"/>
        <v>-12326.875446428572</v>
      </c>
      <c r="DB186" s="1206">
        <f t="shared" si="254"/>
        <v>-7505.635416666667</v>
      </c>
      <c r="DC186" s="1206">
        <f t="shared" si="254"/>
        <v>-9218.0696428571428</v>
      </c>
      <c r="DD186" s="1206">
        <f t="shared" si="254"/>
        <v>-2454.0714285714284</v>
      </c>
      <c r="DE186" s="1206">
        <f>SUM(DE187:DE192)</f>
        <v>-51.371428571428567</v>
      </c>
      <c r="DF186" s="1206">
        <f t="shared" si="254"/>
        <v>-2319.4285714285716</v>
      </c>
      <c r="DG186" s="1206">
        <f t="shared" si="254"/>
        <v>-44.314285714285717</v>
      </c>
      <c r="DH186" s="1206">
        <f t="shared" si="254"/>
        <v>-1260.0482142857143</v>
      </c>
      <c r="DI186" s="1206">
        <f t="shared" si="254"/>
        <v>-1060.8660714285713</v>
      </c>
      <c r="DJ186" s="1215">
        <f t="shared" si="254"/>
        <v>0</v>
      </c>
      <c r="DK186" s="1206">
        <f t="shared" si="254"/>
        <v>0</v>
      </c>
      <c r="DL186" s="1206">
        <f t="shared" si="254"/>
        <v>0</v>
      </c>
      <c r="DM186" s="1206">
        <f t="shared" si="254"/>
        <v>0</v>
      </c>
      <c r="DN186" s="1206">
        <f t="shared" si="254"/>
        <v>0</v>
      </c>
      <c r="DO186" s="1206">
        <f t="shared" si="254"/>
        <v>0</v>
      </c>
      <c r="DP186" s="1207">
        <f t="shared" si="254"/>
        <v>-429.46428571428578</v>
      </c>
      <c r="DQ186" s="1210">
        <f t="shared" si="254"/>
        <v>0</v>
      </c>
      <c r="DR186" s="1222">
        <f t="shared" si="254"/>
        <v>0</v>
      </c>
      <c r="DS186" s="1222">
        <f t="shared" si="254"/>
        <v>0</v>
      </c>
      <c r="DT186" s="1210">
        <f t="shared" si="254"/>
        <v>0</v>
      </c>
      <c r="DU186" s="1222">
        <f t="shared" si="254"/>
        <v>0</v>
      </c>
      <c r="DV186" s="1218">
        <f t="shared" si="254"/>
        <v>0</v>
      </c>
      <c r="DW186" s="1218">
        <f t="shared" ref="DW186:DW199" si="255">SUM(B186:DV186)</f>
        <v>-285466.28178333328</v>
      </c>
      <c r="DX186" s="1205" t="s">
        <v>675</v>
      </c>
      <c r="DY186" s="659"/>
    </row>
    <row r="187" spans="1:129" ht="14.4">
      <c r="A187" s="1223" t="str">
        <f t="shared" ref="A187:A189" si="256">A142</f>
        <v>на 22 января</v>
      </c>
      <c r="B187" s="1224">
        <f t="shared" ref="B187:BM190" si="257">B172-B157</f>
        <v>-390.31076190476199</v>
      </c>
      <c r="C187" s="1224">
        <f t="shared" si="257"/>
        <v>-40.08790476190476</v>
      </c>
      <c r="D187" s="1224">
        <f t="shared" si="257"/>
        <v>-544.55361904761901</v>
      </c>
      <c r="E187" s="1224">
        <f t="shared" si="257"/>
        <v>-92.359904761904758</v>
      </c>
      <c r="F187" s="1224">
        <f t="shared" si="257"/>
        <v>-398.29619047619059</v>
      </c>
      <c r="G187" s="1225">
        <f t="shared" si="257"/>
        <v>-35.428571428571431</v>
      </c>
      <c r="H187" s="1225">
        <f t="shared" si="257"/>
        <v>0</v>
      </c>
      <c r="I187" s="1225">
        <f t="shared" si="257"/>
        <v>-198.44066666666671</v>
      </c>
      <c r="J187" s="1225">
        <f t="shared" si="257"/>
        <v>-302.66666666666663</v>
      </c>
      <c r="K187" s="1225">
        <f t="shared" si="257"/>
        <v>-83.715428571428575</v>
      </c>
      <c r="L187" s="1225">
        <f t="shared" si="257"/>
        <v>-84.782095238095238</v>
      </c>
      <c r="M187" s="1225">
        <f t="shared" si="257"/>
        <v>0</v>
      </c>
      <c r="N187" s="1226">
        <f t="shared" si="257"/>
        <v>-116.70857142857142</v>
      </c>
      <c r="O187" s="1226">
        <f t="shared" si="257"/>
        <v>-162.83523809523808</v>
      </c>
      <c r="P187" s="1227">
        <f t="shared" si="257"/>
        <v>-157.16190476190476</v>
      </c>
      <c r="Q187" s="1228">
        <f t="shared" si="257"/>
        <v>-307.4133333333333</v>
      </c>
      <c r="R187" s="1228">
        <f t="shared" si="257"/>
        <v>-327.83939047619049</v>
      </c>
      <c r="S187" s="1229">
        <f t="shared" si="257"/>
        <v>-742.3066666666673</v>
      </c>
      <c r="T187" s="1230">
        <f t="shared" si="257"/>
        <v>0</v>
      </c>
      <c r="U187" s="1231">
        <f t="shared" si="257"/>
        <v>-361.17714285714277</v>
      </c>
      <c r="V187" s="1232">
        <f t="shared" si="257"/>
        <v>-306.66285714285715</v>
      </c>
      <c r="W187" s="1232">
        <f t="shared" si="257"/>
        <v>0</v>
      </c>
      <c r="X187" s="1232">
        <f t="shared" si="257"/>
        <v>0</v>
      </c>
      <c r="Y187" s="1233">
        <f t="shared" si="257"/>
        <v>0</v>
      </c>
      <c r="Z187" s="1225">
        <f t="shared" si="257"/>
        <v>-111.21142857142857</v>
      </c>
      <c r="AA187" s="1224">
        <f t="shared" si="257"/>
        <v>-2188.7238095238099</v>
      </c>
      <c r="AB187" s="1224">
        <f t="shared" si="257"/>
        <v>-136.09142857142854</v>
      </c>
      <c r="AC187" s="1224">
        <f t="shared" si="257"/>
        <v>-83.715238095238092</v>
      </c>
      <c r="AD187" s="1224">
        <f t="shared" si="257"/>
        <v>0</v>
      </c>
      <c r="AE187" s="1224">
        <f t="shared" si="257"/>
        <v>0</v>
      </c>
      <c r="AF187" s="1224">
        <f t="shared" si="257"/>
        <v>0</v>
      </c>
      <c r="AG187" s="1224">
        <f t="shared" si="257"/>
        <v>-970.90666666666652</v>
      </c>
      <c r="AH187" s="1224">
        <f t="shared" si="257"/>
        <v>0</v>
      </c>
      <c r="AI187" s="1224">
        <f t="shared" si="257"/>
        <v>-2647.6571428571424</v>
      </c>
      <c r="AJ187" s="1224">
        <f t="shared" si="257"/>
        <v>0</v>
      </c>
      <c r="AK187" s="1224">
        <f t="shared" si="257"/>
        <v>-733.35238095238083</v>
      </c>
      <c r="AL187" s="1224">
        <f t="shared" si="257"/>
        <v>-596.90476190476193</v>
      </c>
      <c r="AM187" s="1227">
        <f t="shared" si="257"/>
        <v>-4801.1428571428569</v>
      </c>
      <c r="AN187" s="1227">
        <f t="shared" si="257"/>
        <v>-71.999999999999972</v>
      </c>
      <c r="AO187" s="1227">
        <f t="shared" si="257"/>
        <v>-609.14285714285711</v>
      </c>
      <c r="AP187" s="1227">
        <f t="shared" si="257"/>
        <v>-6.0571428571428587</v>
      </c>
      <c r="AQ187" s="1225">
        <f t="shared" si="257"/>
        <v>-642.27428571428561</v>
      </c>
      <c r="AR187" s="1234">
        <f t="shared" si="257"/>
        <v>0</v>
      </c>
      <c r="AS187" s="1234">
        <f t="shared" si="257"/>
        <v>-116.85017857142857</v>
      </c>
      <c r="AT187" s="1234">
        <f t="shared" si="257"/>
        <v>-98.636428571428581</v>
      </c>
      <c r="AU187" s="1234">
        <f t="shared" si="257"/>
        <v>-26.245714285714289</v>
      </c>
      <c r="AV187" s="1234">
        <f t="shared" si="257"/>
        <v>0</v>
      </c>
      <c r="AW187" s="1235">
        <f t="shared" si="257"/>
        <v>0</v>
      </c>
      <c r="AX187" s="1236">
        <f t="shared" si="257"/>
        <v>0</v>
      </c>
      <c r="AY187" s="1237">
        <f t="shared" si="257"/>
        <v>0</v>
      </c>
      <c r="AZ187" s="1224">
        <f t="shared" si="257"/>
        <v>0</v>
      </c>
      <c r="BA187" s="1224">
        <f t="shared" si="257"/>
        <v>0</v>
      </c>
      <c r="BB187" s="1224">
        <f t="shared" si="257"/>
        <v>0</v>
      </c>
      <c r="BC187" s="1225">
        <f t="shared" si="257"/>
        <v>0</v>
      </c>
      <c r="BD187" s="1225">
        <f t="shared" si="257"/>
        <v>0</v>
      </c>
      <c r="BE187" s="1225">
        <f t="shared" si="257"/>
        <v>0</v>
      </c>
      <c r="BF187" s="1225">
        <f t="shared" si="257"/>
        <v>0</v>
      </c>
      <c r="BG187" s="1225">
        <f t="shared" si="257"/>
        <v>0</v>
      </c>
      <c r="BH187" s="1225">
        <f t="shared" si="257"/>
        <v>0</v>
      </c>
      <c r="BI187" s="1225">
        <f t="shared" si="257"/>
        <v>0</v>
      </c>
      <c r="BJ187" s="1225">
        <f t="shared" si="257"/>
        <v>0</v>
      </c>
      <c r="BK187" s="1225">
        <f t="shared" si="257"/>
        <v>0</v>
      </c>
      <c r="BL187" s="1225">
        <f t="shared" si="257"/>
        <v>0</v>
      </c>
      <c r="BM187" s="1225">
        <f t="shared" si="257"/>
        <v>0</v>
      </c>
      <c r="BN187" s="1225">
        <f t="shared" ref="BN187:DV191" si="258">BN172-BN157</f>
        <v>0</v>
      </c>
      <c r="BO187" s="1225">
        <f t="shared" si="258"/>
        <v>0</v>
      </c>
      <c r="BP187" s="1225">
        <f t="shared" si="258"/>
        <v>0</v>
      </c>
      <c r="BQ187" s="1225">
        <f t="shared" si="258"/>
        <v>0</v>
      </c>
      <c r="BR187" s="1225">
        <f t="shared" si="258"/>
        <v>0</v>
      </c>
      <c r="BS187" s="1225">
        <f t="shared" si="258"/>
        <v>0</v>
      </c>
      <c r="BT187" s="1225">
        <f t="shared" si="258"/>
        <v>0</v>
      </c>
      <c r="BU187" s="1225">
        <f t="shared" si="258"/>
        <v>0</v>
      </c>
      <c r="BV187" s="1225">
        <f t="shared" si="258"/>
        <v>0</v>
      </c>
      <c r="BW187" s="1225">
        <f t="shared" si="258"/>
        <v>-1666.3214285714284</v>
      </c>
      <c r="BX187" s="1225">
        <f t="shared" si="258"/>
        <v>0</v>
      </c>
      <c r="BY187" s="1225">
        <f t="shared" si="258"/>
        <v>0</v>
      </c>
      <c r="BZ187" s="1224">
        <f t="shared" si="258"/>
        <v>-432.19285714285718</v>
      </c>
      <c r="CA187" s="1224">
        <f t="shared" si="258"/>
        <v>-5860.380000000001</v>
      </c>
      <c r="CB187" s="1224">
        <f t="shared" si="258"/>
        <v>0</v>
      </c>
      <c r="CC187" s="1224">
        <f t="shared" si="258"/>
        <v>0</v>
      </c>
      <c r="CD187" s="1227">
        <f t="shared" si="258"/>
        <v>-20584.71428571429</v>
      </c>
      <c r="CE187" s="1227">
        <f t="shared" si="258"/>
        <v>-11052.342857142858</v>
      </c>
      <c r="CF187" s="1227">
        <f t="shared" si="258"/>
        <v>0</v>
      </c>
      <c r="CG187" s="1227">
        <f t="shared" si="258"/>
        <v>-544.47428571428554</v>
      </c>
      <c r="CH187" s="1227">
        <f t="shared" si="258"/>
        <v>0</v>
      </c>
      <c r="CI187" s="1227">
        <f t="shared" si="258"/>
        <v>0</v>
      </c>
      <c r="CJ187" s="1227">
        <f t="shared" si="258"/>
        <v>0</v>
      </c>
      <c r="CK187" s="1224">
        <f t="shared" si="258"/>
        <v>0</v>
      </c>
      <c r="CL187" s="1224">
        <f t="shared" si="258"/>
        <v>-448.94285714285706</v>
      </c>
      <c r="CM187" s="1224">
        <f t="shared" si="258"/>
        <v>-295.65714285714296</v>
      </c>
      <c r="CN187" s="1224">
        <f t="shared" si="258"/>
        <v>-601.74285714285713</v>
      </c>
      <c r="CO187" s="1224">
        <f t="shared" si="258"/>
        <v>0</v>
      </c>
      <c r="CP187" s="1226">
        <f t="shared" si="258"/>
        <v>0</v>
      </c>
      <c r="CQ187" s="1226">
        <f t="shared" si="258"/>
        <v>0</v>
      </c>
      <c r="CR187" s="1233">
        <f t="shared" si="258"/>
        <v>-507.5</v>
      </c>
      <c r="CS187" s="1233">
        <f t="shared" si="258"/>
        <v>0</v>
      </c>
      <c r="CT187" s="1224">
        <f t="shared" si="258"/>
        <v>-421.77142857142854</v>
      </c>
      <c r="CU187" s="1224">
        <f t="shared" si="258"/>
        <v>-544.68000000000018</v>
      </c>
      <c r="CV187" s="1224">
        <f t="shared" si="258"/>
        <v>-75.428571428571431</v>
      </c>
      <c r="CW187" s="1225">
        <f t="shared" si="258"/>
        <v>-1454.502857142857</v>
      </c>
      <c r="CX187" s="1226">
        <f t="shared" si="258"/>
        <v>-57.702857142857141</v>
      </c>
      <c r="CY187" s="1226">
        <f t="shared" si="258"/>
        <v>-596.41714285714284</v>
      </c>
      <c r="CZ187" s="1224">
        <f t="shared" si="258"/>
        <v>-43.277142857142792</v>
      </c>
      <c r="DA187" s="1233">
        <f t="shared" si="258"/>
        <v>-10229.428571428572</v>
      </c>
      <c r="DB187" s="1224">
        <f t="shared" si="258"/>
        <v>-4422.4642857142862</v>
      </c>
      <c r="DC187" s="1224">
        <f t="shared" si="258"/>
        <v>-3007.8571428571431</v>
      </c>
      <c r="DD187" s="1224">
        <f t="shared" si="258"/>
        <v>-983.57142857142844</v>
      </c>
      <c r="DE187" s="1224">
        <f t="shared" si="258"/>
        <v>0</v>
      </c>
      <c r="DF187" s="1224">
        <f t="shared" si="258"/>
        <v>-411.42857142857156</v>
      </c>
      <c r="DG187" s="1224">
        <f t="shared" si="258"/>
        <v>0</v>
      </c>
      <c r="DH187" s="1224">
        <f t="shared" si="258"/>
        <v>-685.28571428571422</v>
      </c>
      <c r="DI187" s="1224">
        <f t="shared" si="258"/>
        <v>-376.22857142857146</v>
      </c>
      <c r="DJ187" s="1233">
        <f t="shared" si="258"/>
        <v>0</v>
      </c>
      <c r="DK187" s="1224">
        <f t="shared" si="258"/>
        <v>0</v>
      </c>
      <c r="DL187" s="1224"/>
      <c r="DM187" s="1224"/>
      <c r="DN187" s="1224"/>
      <c r="DO187" s="1224">
        <f t="shared" ref="DO187:DO199" si="259">DO172-DO157</f>
        <v>0</v>
      </c>
      <c r="DP187" s="1225">
        <f t="shared" si="258"/>
        <v>0</v>
      </c>
      <c r="DQ187" s="1228">
        <f t="shared" si="258"/>
        <v>0</v>
      </c>
      <c r="DR187" s="1238">
        <f t="shared" si="258"/>
        <v>0</v>
      </c>
      <c r="DS187" s="1238">
        <f t="shared" si="258"/>
        <v>0</v>
      </c>
      <c r="DT187" s="1228"/>
      <c r="DU187" s="1238">
        <f t="shared" ref="DU187:DU199" si="260">DU172-DU157</f>
        <v>0</v>
      </c>
      <c r="DV187" s="1236">
        <f t="shared" si="258"/>
        <v>0</v>
      </c>
      <c r="DW187" s="1239">
        <f t="shared" si="255"/>
        <v>-83797.972092857162</v>
      </c>
      <c r="DX187" s="1240" t="str">
        <f>A187</f>
        <v>на 22 января</v>
      </c>
      <c r="DY187" s="659"/>
    </row>
    <row r="188" spans="1:129" ht="14.4">
      <c r="A188" s="1223" t="str">
        <f t="shared" si="256"/>
        <v>на 23 января</v>
      </c>
      <c r="B188" s="1224">
        <f t="shared" si="257"/>
        <v>-5474.7</v>
      </c>
      <c r="C188" s="1224">
        <f t="shared" si="257"/>
        <v>0</v>
      </c>
      <c r="D188" s="1224">
        <f t="shared" si="257"/>
        <v>-1620</v>
      </c>
      <c r="E188" s="1224">
        <f t="shared" si="257"/>
        <v>0</v>
      </c>
      <c r="F188" s="1224">
        <f t="shared" si="257"/>
        <v>-1240.2400000000002</v>
      </c>
      <c r="G188" s="1225">
        <f t="shared" si="257"/>
        <v>0</v>
      </c>
      <c r="H188" s="1225">
        <f t="shared" si="257"/>
        <v>0</v>
      </c>
      <c r="I188" s="1225">
        <f t="shared" si="257"/>
        <v>0</v>
      </c>
      <c r="J188" s="1225">
        <f t="shared" si="257"/>
        <v>-159.04000000000008</v>
      </c>
      <c r="K188" s="1225">
        <f t="shared" si="257"/>
        <v>0</v>
      </c>
      <c r="L188" s="1225">
        <f t="shared" si="257"/>
        <v>0</v>
      </c>
      <c r="M188" s="1225">
        <f t="shared" si="257"/>
        <v>0</v>
      </c>
      <c r="N188" s="1226">
        <f t="shared" si="257"/>
        <v>-26.640000000000015</v>
      </c>
      <c r="O188" s="1226">
        <f t="shared" si="257"/>
        <v>-20.72</v>
      </c>
      <c r="P188" s="1227">
        <f t="shared" si="257"/>
        <v>-14.800000000000011</v>
      </c>
      <c r="Q188" s="1228">
        <f t="shared" si="257"/>
        <v>0</v>
      </c>
      <c r="R188" s="1228">
        <f t="shared" si="257"/>
        <v>0</v>
      </c>
      <c r="S188" s="1229">
        <f t="shared" si="257"/>
        <v>-2873.9199999999992</v>
      </c>
      <c r="T188" s="1230">
        <f t="shared" si="257"/>
        <v>0</v>
      </c>
      <c r="U188" s="1231">
        <f t="shared" si="257"/>
        <v>-121.20000000000005</v>
      </c>
      <c r="V188" s="1232">
        <f t="shared" si="257"/>
        <v>-15.600000000000023</v>
      </c>
      <c r="W188" s="1232">
        <f t="shared" si="257"/>
        <v>0</v>
      </c>
      <c r="X188" s="1232">
        <f t="shared" si="257"/>
        <v>0</v>
      </c>
      <c r="Y188" s="1233">
        <f t="shared" si="257"/>
        <v>0</v>
      </c>
      <c r="Z188" s="1225">
        <f t="shared" si="257"/>
        <v>0</v>
      </c>
      <c r="AA188" s="1224">
        <f t="shared" si="257"/>
        <v>-415.84000000000015</v>
      </c>
      <c r="AB188" s="1224">
        <f t="shared" si="257"/>
        <v>-91.32000000000005</v>
      </c>
      <c r="AC188" s="1224">
        <f t="shared" si="257"/>
        <v>0</v>
      </c>
      <c r="AD188" s="1224">
        <f t="shared" si="257"/>
        <v>0</v>
      </c>
      <c r="AE188" s="1224">
        <f t="shared" si="257"/>
        <v>0</v>
      </c>
      <c r="AF188" s="1224">
        <f t="shared" si="257"/>
        <v>0</v>
      </c>
      <c r="AG188" s="1224">
        <f t="shared" si="257"/>
        <v>-170.51999999999998</v>
      </c>
      <c r="AH188" s="1224">
        <f t="shared" si="257"/>
        <v>0</v>
      </c>
      <c r="AI188" s="1224">
        <f t="shared" si="257"/>
        <v>0</v>
      </c>
      <c r="AJ188" s="1224">
        <f t="shared" si="257"/>
        <v>0</v>
      </c>
      <c r="AK188" s="1224">
        <f t="shared" si="257"/>
        <v>0</v>
      </c>
      <c r="AL188" s="1224">
        <f t="shared" si="257"/>
        <v>-184</v>
      </c>
      <c r="AM188" s="1227">
        <f t="shared" si="257"/>
        <v>-325.80000000000018</v>
      </c>
      <c r="AN188" s="1227">
        <f t="shared" si="257"/>
        <v>0</v>
      </c>
      <c r="AO188" s="1227">
        <f t="shared" si="257"/>
        <v>-6</v>
      </c>
      <c r="AP188" s="1227">
        <f t="shared" si="257"/>
        <v>-7.1999999999999993</v>
      </c>
      <c r="AQ188" s="1225">
        <f t="shared" si="257"/>
        <v>0</v>
      </c>
      <c r="AR188" s="1234">
        <f t="shared" si="257"/>
        <v>0</v>
      </c>
      <c r="AS188" s="1234">
        <f t="shared" si="257"/>
        <v>-2.8500000000000085</v>
      </c>
      <c r="AT188" s="1234">
        <f t="shared" si="257"/>
        <v>0</v>
      </c>
      <c r="AU188" s="1234">
        <f t="shared" si="257"/>
        <v>0</v>
      </c>
      <c r="AV188" s="1234">
        <f t="shared" si="257"/>
        <v>0</v>
      </c>
      <c r="AW188" s="1235">
        <f t="shared" si="257"/>
        <v>0</v>
      </c>
      <c r="AX188" s="1236">
        <f t="shared" si="257"/>
        <v>0</v>
      </c>
      <c r="AY188" s="1237">
        <f t="shared" si="257"/>
        <v>0</v>
      </c>
      <c r="AZ188" s="1224">
        <f t="shared" si="257"/>
        <v>-21</v>
      </c>
      <c r="BA188" s="1224">
        <f t="shared" si="257"/>
        <v>0</v>
      </c>
      <c r="BB188" s="1224">
        <f t="shared" si="257"/>
        <v>0</v>
      </c>
      <c r="BC188" s="1225">
        <f t="shared" si="257"/>
        <v>0</v>
      </c>
      <c r="BD188" s="1225">
        <f t="shared" si="257"/>
        <v>0</v>
      </c>
      <c r="BE188" s="1225">
        <f t="shared" si="257"/>
        <v>0</v>
      </c>
      <c r="BF188" s="1225">
        <f t="shared" si="257"/>
        <v>0</v>
      </c>
      <c r="BG188" s="1225">
        <f t="shared" si="257"/>
        <v>0</v>
      </c>
      <c r="BH188" s="1225">
        <f t="shared" si="257"/>
        <v>0</v>
      </c>
      <c r="BI188" s="1225">
        <f t="shared" si="257"/>
        <v>0</v>
      </c>
      <c r="BJ188" s="1225">
        <f t="shared" si="257"/>
        <v>0</v>
      </c>
      <c r="BK188" s="1225">
        <f t="shared" si="257"/>
        <v>0</v>
      </c>
      <c r="BL188" s="1225">
        <f t="shared" si="257"/>
        <v>0</v>
      </c>
      <c r="BM188" s="1225">
        <f t="shared" si="257"/>
        <v>0</v>
      </c>
      <c r="BN188" s="1225">
        <f t="shared" si="258"/>
        <v>0</v>
      </c>
      <c r="BO188" s="1225">
        <f t="shared" si="258"/>
        <v>0</v>
      </c>
      <c r="BP188" s="1225">
        <f t="shared" si="258"/>
        <v>0</v>
      </c>
      <c r="BQ188" s="1225">
        <f t="shared" si="258"/>
        <v>0</v>
      </c>
      <c r="BR188" s="1225">
        <f t="shared" si="258"/>
        <v>0</v>
      </c>
      <c r="BS188" s="1225">
        <f t="shared" si="258"/>
        <v>0</v>
      </c>
      <c r="BT188" s="1225">
        <f t="shared" si="258"/>
        <v>0</v>
      </c>
      <c r="BU188" s="1225">
        <f t="shared" si="258"/>
        <v>0</v>
      </c>
      <c r="BV188" s="1225">
        <f t="shared" si="258"/>
        <v>0</v>
      </c>
      <c r="BW188" s="1225">
        <f t="shared" si="258"/>
        <v>-49.75</v>
      </c>
      <c r="BX188" s="1225">
        <f t="shared" si="258"/>
        <v>0</v>
      </c>
      <c r="BY188" s="1225">
        <f t="shared" si="258"/>
        <v>0</v>
      </c>
      <c r="BZ188" s="1224">
        <f t="shared" si="258"/>
        <v>-108.17999999999995</v>
      </c>
      <c r="CA188" s="1224">
        <f t="shared" si="258"/>
        <v>-1.680000000000291</v>
      </c>
      <c r="CB188" s="1224">
        <f t="shared" si="258"/>
        <v>0</v>
      </c>
      <c r="CC188" s="1224">
        <f t="shared" si="258"/>
        <v>0</v>
      </c>
      <c r="CD188" s="1227">
        <f t="shared" si="258"/>
        <v>-1035</v>
      </c>
      <c r="CE188" s="1227">
        <f t="shared" si="258"/>
        <v>-1299.6000000000004</v>
      </c>
      <c r="CF188" s="1227">
        <f t="shared" si="258"/>
        <v>0</v>
      </c>
      <c r="CG188" s="1227">
        <f t="shared" si="258"/>
        <v>-75.599999999999909</v>
      </c>
      <c r="CH188" s="1227">
        <f t="shared" si="258"/>
        <v>0</v>
      </c>
      <c r="CI188" s="1227">
        <f t="shared" si="258"/>
        <v>0</v>
      </c>
      <c r="CJ188" s="1227">
        <f t="shared" si="258"/>
        <v>0</v>
      </c>
      <c r="CK188" s="1224">
        <f t="shared" si="258"/>
        <v>0</v>
      </c>
      <c r="CL188" s="1224">
        <f t="shared" si="258"/>
        <v>0</v>
      </c>
      <c r="CM188" s="1224">
        <f t="shared" si="258"/>
        <v>0</v>
      </c>
      <c r="CN188" s="1224">
        <f t="shared" si="258"/>
        <v>0</v>
      </c>
      <c r="CO188" s="1224">
        <f t="shared" si="258"/>
        <v>0</v>
      </c>
      <c r="CP188" s="1226">
        <f t="shared" si="258"/>
        <v>-12.404761904761898</v>
      </c>
      <c r="CQ188" s="1226">
        <f t="shared" si="258"/>
        <v>0</v>
      </c>
      <c r="CR188" s="1233">
        <f t="shared" si="258"/>
        <v>-15</v>
      </c>
      <c r="CS188" s="1233">
        <f t="shared" si="258"/>
        <v>0</v>
      </c>
      <c r="CT188" s="1224">
        <f t="shared" si="258"/>
        <v>-1.1999999999999886</v>
      </c>
      <c r="CU188" s="1224">
        <f t="shared" si="258"/>
        <v>-43.200000000000045</v>
      </c>
      <c r="CV188" s="1224">
        <f t="shared" si="258"/>
        <v>0</v>
      </c>
      <c r="CW188" s="1225">
        <f t="shared" si="258"/>
        <v>-164.16000000000008</v>
      </c>
      <c r="CX188" s="1226">
        <f t="shared" si="258"/>
        <v>0</v>
      </c>
      <c r="CY188" s="1226">
        <f t="shared" si="258"/>
        <v>-31.32000000000005</v>
      </c>
      <c r="CZ188" s="1224">
        <f t="shared" si="258"/>
        <v>-5.5799999999999841</v>
      </c>
      <c r="DA188" s="1233">
        <f t="shared" si="258"/>
        <v>-18.25</v>
      </c>
      <c r="DB188" s="1224">
        <f t="shared" si="258"/>
        <v>-30</v>
      </c>
      <c r="DC188" s="1224">
        <f t="shared" si="258"/>
        <v>-114</v>
      </c>
      <c r="DD188" s="1224">
        <f t="shared" si="258"/>
        <v>-22.5</v>
      </c>
      <c r="DE188" s="1224">
        <f t="shared" si="258"/>
        <v>0</v>
      </c>
      <c r="DF188" s="1224">
        <f t="shared" si="258"/>
        <v>-22.5</v>
      </c>
      <c r="DG188" s="1224">
        <f t="shared" si="258"/>
        <v>0</v>
      </c>
      <c r="DH188" s="1224">
        <f t="shared" si="258"/>
        <v>-48</v>
      </c>
      <c r="DI188" s="1224">
        <f t="shared" si="258"/>
        <v>0</v>
      </c>
      <c r="DJ188" s="1233">
        <f t="shared" si="258"/>
        <v>0</v>
      </c>
      <c r="DK188" s="1224">
        <f t="shared" si="258"/>
        <v>0</v>
      </c>
      <c r="DL188" s="1224"/>
      <c r="DM188" s="1224"/>
      <c r="DN188" s="1224"/>
      <c r="DO188" s="1224">
        <f t="shared" si="259"/>
        <v>0</v>
      </c>
      <c r="DP188" s="1225">
        <f t="shared" si="258"/>
        <v>0</v>
      </c>
      <c r="DQ188" s="1228">
        <f t="shared" si="258"/>
        <v>0</v>
      </c>
      <c r="DR188" s="1238">
        <f t="shared" si="258"/>
        <v>0</v>
      </c>
      <c r="DS188" s="1238">
        <f t="shared" si="258"/>
        <v>0</v>
      </c>
      <c r="DT188" s="1228"/>
      <c r="DU188" s="1238">
        <f t="shared" si="260"/>
        <v>0</v>
      </c>
      <c r="DV188" s="1236">
        <f t="shared" si="258"/>
        <v>0</v>
      </c>
      <c r="DW188" s="1239">
        <f t="shared" si="255"/>
        <v>-15889.314761904765</v>
      </c>
      <c r="DX188" s="1240" t="str">
        <f>A188</f>
        <v>на 23 января</v>
      </c>
      <c r="DY188" s="659"/>
    </row>
    <row r="189" spans="1:129" ht="14.4">
      <c r="A189" s="1223" t="str">
        <f t="shared" si="256"/>
        <v>на 24 января</v>
      </c>
      <c r="B189" s="1224">
        <f t="shared" si="257"/>
        <v>-82.5</v>
      </c>
      <c r="C189" s="1224">
        <f t="shared" si="257"/>
        <v>-29.999999999999993</v>
      </c>
      <c r="D189" s="1224">
        <f t="shared" si="257"/>
        <v>-60</v>
      </c>
      <c r="E189" s="1224">
        <f t="shared" si="257"/>
        <v>-33</v>
      </c>
      <c r="F189" s="1224">
        <f t="shared" si="257"/>
        <v>-1133.6799999999998</v>
      </c>
      <c r="G189" s="1225">
        <f t="shared" si="257"/>
        <v>-60</v>
      </c>
      <c r="H189" s="1225">
        <f t="shared" si="257"/>
        <v>0</v>
      </c>
      <c r="I189" s="1225">
        <f t="shared" si="257"/>
        <v>-253.00000000000003</v>
      </c>
      <c r="J189" s="1225">
        <f t="shared" si="257"/>
        <v>-571.20000000000005</v>
      </c>
      <c r="K189" s="1225">
        <f t="shared" si="257"/>
        <v>-35.999999999999986</v>
      </c>
      <c r="L189" s="1225">
        <f t="shared" si="257"/>
        <v>0</v>
      </c>
      <c r="M189" s="1225">
        <f t="shared" si="257"/>
        <v>0</v>
      </c>
      <c r="N189" s="1226">
        <f t="shared" si="257"/>
        <v>-245.68000000000004</v>
      </c>
      <c r="O189" s="1226">
        <f t="shared" si="257"/>
        <v>-59.199999999999989</v>
      </c>
      <c r="P189" s="1227">
        <f t="shared" si="257"/>
        <v>-183.52</v>
      </c>
      <c r="Q189" s="1228">
        <f t="shared" si="257"/>
        <v>-183.68</v>
      </c>
      <c r="R189" s="1228">
        <f t="shared" si="257"/>
        <v>0</v>
      </c>
      <c r="S189" s="1229">
        <f t="shared" si="257"/>
        <v>-5270.72</v>
      </c>
      <c r="T189" s="1230">
        <f t="shared" si="257"/>
        <v>0</v>
      </c>
      <c r="U189" s="1231">
        <f t="shared" si="257"/>
        <v>-434.39999999999986</v>
      </c>
      <c r="V189" s="1232">
        <f t="shared" si="257"/>
        <v>-690.4799999999999</v>
      </c>
      <c r="W189" s="1232">
        <f t="shared" si="257"/>
        <v>0</v>
      </c>
      <c r="X189" s="1232">
        <f t="shared" si="257"/>
        <v>0</v>
      </c>
      <c r="Y189" s="1233">
        <f t="shared" si="257"/>
        <v>-368.925238095238</v>
      </c>
      <c r="Z189" s="1225">
        <f t="shared" si="257"/>
        <v>-31.080000000000013</v>
      </c>
      <c r="AA189" s="1224">
        <f t="shared" si="257"/>
        <v>-1527.1999999999998</v>
      </c>
      <c r="AB189" s="1224">
        <f t="shared" si="257"/>
        <v>-147.59999999999991</v>
      </c>
      <c r="AC189" s="1224">
        <f t="shared" si="257"/>
        <v>0</v>
      </c>
      <c r="AD189" s="1224">
        <f t="shared" si="257"/>
        <v>0</v>
      </c>
      <c r="AE189" s="1224">
        <f t="shared" si="257"/>
        <v>0</v>
      </c>
      <c r="AF189" s="1224">
        <f t="shared" si="257"/>
        <v>0</v>
      </c>
      <c r="AG189" s="1224">
        <f t="shared" si="257"/>
        <v>-226.24</v>
      </c>
      <c r="AH189" s="1224">
        <f t="shared" si="257"/>
        <v>0</v>
      </c>
      <c r="AI189" s="1224">
        <f t="shared" si="257"/>
        <v>-789.59999999999991</v>
      </c>
      <c r="AJ189" s="1224">
        <f t="shared" si="257"/>
        <v>0</v>
      </c>
      <c r="AK189" s="1224">
        <f t="shared" si="257"/>
        <v>0</v>
      </c>
      <c r="AL189" s="1224">
        <f t="shared" si="257"/>
        <v>-283.36000000000013</v>
      </c>
      <c r="AM189" s="1227">
        <f t="shared" si="257"/>
        <v>-617.39999999999964</v>
      </c>
      <c r="AN189" s="1227">
        <f t="shared" si="257"/>
        <v>0</v>
      </c>
      <c r="AO189" s="1227">
        <f t="shared" si="257"/>
        <v>-936</v>
      </c>
      <c r="AP189" s="1227">
        <f t="shared" si="257"/>
        <v>-6.4799999999999986</v>
      </c>
      <c r="AQ189" s="1225">
        <f t="shared" si="257"/>
        <v>-211.60000000000002</v>
      </c>
      <c r="AR189" s="1234">
        <f t="shared" si="257"/>
        <v>0</v>
      </c>
      <c r="AS189" s="1234">
        <f t="shared" si="257"/>
        <v>0</v>
      </c>
      <c r="AT189" s="1234">
        <f t="shared" si="257"/>
        <v>0</v>
      </c>
      <c r="AU189" s="1234">
        <f t="shared" si="257"/>
        <v>-3.8000000000000007</v>
      </c>
      <c r="AV189" s="1234">
        <f t="shared" si="257"/>
        <v>0</v>
      </c>
      <c r="AW189" s="1235">
        <f t="shared" si="257"/>
        <v>0</v>
      </c>
      <c r="AX189" s="1236">
        <f t="shared" si="257"/>
        <v>0</v>
      </c>
      <c r="AY189" s="1237">
        <f t="shared" si="257"/>
        <v>0</v>
      </c>
      <c r="AZ189" s="1224">
        <f t="shared" si="257"/>
        <v>-72.5</v>
      </c>
      <c r="BA189" s="1224">
        <f t="shared" si="257"/>
        <v>-13</v>
      </c>
      <c r="BB189" s="1224">
        <f t="shared" si="257"/>
        <v>-74.400000000000034</v>
      </c>
      <c r="BC189" s="1225">
        <f t="shared" si="257"/>
        <v>-222</v>
      </c>
      <c r="BD189" s="1225">
        <f t="shared" si="257"/>
        <v>-241.5</v>
      </c>
      <c r="BE189" s="1225">
        <f t="shared" si="257"/>
        <v>0</v>
      </c>
      <c r="BF189" s="1225">
        <f t="shared" si="257"/>
        <v>0</v>
      </c>
      <c r="BG189" s="1225">
        <f t="shared" si="257"/>
        <v>0</v>
      </c>
      <c r="BH189" s="1225">
        <f t="shared" si="257"/>
        <v>0</v>
      </c>
      <c r="BI189" s="1225">
        <f t="shared" si="257"/>
        <v>0</v>
      </c>
      <c r="BJ189" s="1225">
        <f t="shared" si="257"/>
        <v>0</v>
      </c>
      <c r="BK189" s="1225">
        <f t="shared" si="257"/>
        <v>-13</v>
      </c>
      <c r="BL189" s="1225">
        <f t="shared" si="257"/>
        <v>0</v>
      </c>
      <c r="BM189" s="1225">
        <f t="shared" si="257"/>
        <v>-79.5</v>
      </c>
      <c r="BN189" s="1225">
        <f t="shared" si="258"/>
        <v>0</v>
      </c>
      <c r="BO189" s="1225">
        <f t="shared" si="258"/>
        <v>-518.40000000000009</v>
      </c>
      <c r="BP189" s="1225">
        <f t="shared" si="258"/>
        <v>0</v>
      </c>
      <c r="BQ189" s="1225">
        <f t="shared" si="258"/>
        <v>0</v>
      </c>
      <c r="BR189" s="1225">
        <f t="shared" si="258"/>
        <v>0</v>
      </c>
      <c r="BS189" s="1225">
        <f t="shared" si="258"/>
        <v>0</v>
      </c>
      <c r="BT189" s="1225">
        <f t="shared" si="258"/>
        <v>0</v>
      </c>
      <c r="BU189" s="1225">
        <f t="shared" si="258"/>
        <v>-240</v>
      </c>
      <c r="BV189" s="1225">
        <f t="shared" si="258"/>
        <v>0</v>
      </c>
      <c r="BW189" s="1225">
        <f t="shared" si="258"/>
        <v>-361</v>
      </c>
      <c r="BX189" s="1225">
        <f t="shared" si="258"/>
        <v>0</v>
      </c>
      <c r="BY189" s="1225">
        <f t="shared" si="258"/>
        <v>0</v>
      </c>
      <c r="BZ189" s="1224">
        <f t="shared" si="258"/>
        <v>-268.92000000000007</v>
      </c>
      <c r="CA189" s="1224">
        <f t="shared" si="258"/>
        <v>-7.2799999999997453</v>
      </c>
      <c r="CB189" s="1224">
        <f t="shared" si="258"/>
        <v>0</v>
      </c>
      <c r="CC189" s="1224">
        <f t="shared" si="258"/>
        <v>0</v>
      </c>
      <c r="CD189" s="1227">
        <f t="shared" si="258"/>
        <v>-3177</v>
      </c>
      <c r="CE189" s="1227">
        <f t="shared" si="258"/>
        <v>-2138.3999999999996</v>
      </c>
      <c r="CF189" s="1227">
        <f t="shared" si="258"/>
        <v>0</v>
      </c>
      <c r="CG189" s="1227">
        <f t="shared" si="258"/>
        <v>-939.59999999999991</v>
      </c>
      <c r="CH189" s="1227">
        <f t="shared" si="258"/>
        <v>-116.78571428571422</v>
      </c>
      <c r="CI189" s="1227">
        <f t="shared" si="258"/>
        <v>0</v>
      </c>
      <c r="CJ189" s="1227">
        <f t="shared" si="258"/>
        <v>0</v>
      </c>
      <c r="CK189" s="1224">
        <f t="shared" si="258"/>
        <v>0</v>
      </c>
      <c r="CL189" s="1224">
        <f t="shared" si="258"/>
        <v>0</v>
      </c>
      <c r="CM189" s="1224">
        <f t="shared" si="258"/>
        <v>0</v>
      </c>
      <c r="CN189" s="1224">
        <f t="shared" si="258"/>
        <v>0</v>
      </c>
      <c r="CO189" s="1224">
        <f t="shared" si="258"/>
        <v>0</v>
      </c>
      <c r="CP189" s="1226">
        <f t="shared" si="258"/>
        <v>-48</v>
      </c>
      <c r="CQ189" s="1226">
        <f t="shared" si="258"/>
        <v>0</v>
      </c>
      <c r="CR189" s="1233">
        <f t="shared" si="258"/>
        <v>-36</v>
      </c>
      <c r="CS189" s="1233">
        <f t="shared" si="258"/>
        <v>0</v>
      </c>
      <c r="CT189" s="1224">
        <f t="shared" si="258"/>
        <v>-92</v>
      </c>
      <c r="CU189" s="1224">
        <f t="shared" si="258"/>
        <v>-712.80000000000007</v>
      </c>
      <c r="CV189" s="1224">
        <f t="shared" si="258"/>
        <v>0</v>
      </c>
      <c r="CW189" s="1225">
        <f t="shared" si="258"/>
        <v>-273.23999999999978</v>
      </c>
      <c r="CX189" s="1226">
        <f t="shared" si="258"/>
        <v>0</v>
      </c>
      <c r="CY189" s="1226">
        <f t="shared" si="258"/>
        <v>-127.43999999999994</v>
      </c>
      <c r="CZ189" s="1224">
        <f t="shared" si="258"/>
        <v>-100.44</v>
      </c>
      <c r="DA189" s="1233">
        <f t="shared" si="258"/>
        <v>-493.5</v>
      </c>
      <c r="DB189" s="1224">
        <f t="shared" si="258"/>
        <v>-523.5</v>
      </c>
      <c r="DC189" s="1224">
        <f t="shared" si="258"/>
        <v>-612</v>
      </c>
      <c r="DD189" s="1224">
        <f t="shared" si="258"/>
        <v>-348</v>
      </c>
      <c r="DE189" s="1224">
        <f t="shared" si="258"/>
        <v>0</v>
      </c>
      <c r="DF189" s="1224">
        <f t="shared" si="258"/>
        <v>-367.5</v>
      </c>
      <c r="DG189" s="1224">
        <f t="shared" si="258"/>
        <v>0</v>
      </c>
      <c r="DH189" s="1224">
        <f t="shared" si="258"/>
        <v>-27</v>
      </c>
      <c r="DI189" s="1224">
        <f t="shared" si="258"/>
        <v>0</v>
      </c>
      <c r="DJ189" s="1233">
        <f t="shared" si="258"/>
        <v>0</v>
      </c>
      <c r="DK189" s="1224">
        <f t="shared" si="258"/>
        <v>0</v>
      </c>
      <c r="DL189" s="1224"/>
      <c r="DM189" s="1224"/>
      <c r="DN189" s="1224"/>
      <c r="DO189" s="1224">
        <f t="shared" si="259"/>
        <v>0</v>
      </c>
      <c r="DP189" s="1225">
        <f t="shared" si="258"/>
        <v>0</v>
      </c>
      <c r="DQ189" s="1228">
        <f t="shared" si="258"/>
        <v>0</v>
      </c>
      <c r="DR189" s="1238">
        <f t="shared" si="258"/>
        <v>0</v>
      </c>
      <c r="DS189" s="1238">
        <f t="shared" si="258"/>
        <v>0</v>
      </c>
      <c r="DT189" s="1228"/>
      <c r="DU189" s="1238">
        <f t="shared" si="260"/>
        <v>0</v>
      </c>
      <c r="DV189" s="1236">
        <f t="shared" si="258"/>
        <v>0</v>
      </c>
      <c r="DW189" s="1239">
        <f t="shared" si="255"/>
        <v>-26721.050952380945</v>
      </c>
      <c r="DX189" s="1240" t="str">
        <f>A189</f>
        <v>на 24 января</v>
      </c>
      <c r="DY189" s="659"/>
    </row>
    <row r="190" spans="1:129" ht="14.4" customHeight="1" outlineLevel="1">
      <c r="A190" s="1223"/>
      <c r="B190" s="1224">
        <f t="shared" si="257"/>
        <v>0</v>
      </c>
      <c r="C190" s="1224">
        <f t="shared" si="257"/>
        <v>0</v>
      </c>
      <c r="D190" s="1224">
        <f t="shared" si="257"/>
        <v>0</v>
      </c>
      <c r="E190" s="1224">
        <f t="shared" si="257"/>
        <v>0</v>
      </c>
      <c r="F190" s="1224">
        <f t="shared" si="257"/>
        <v>0</v>
      </c>
      <c r="G190" s="1225">
        <f t="shared" si="257"/>
        <v>0</v>
      </c>
      <c r="H190" s="1225">
        <f t="shared" si="257"/>
        <v>0</v>
      </c>
      <c r="I190" s="1225">
        <f t="shared" si="257"/>
        <v>0</v>
      </c>
      <c r="J190" s="1225">
        <f t="shared" si="257"/>
        <v>0</v>
      </c>
      <c r="K190" s="1225">
        <f t="shared" si="257"/>
        <v>0</v>
      </c>
      <c r="L190" s="1225">
        <f t="shared" si="257"/>
        <v>0</v>
      </c>
      <c r="M190" s="1225">
        <f t="shared" si="257"/>
        <v>0</v>
      </c>
      <c r="N190" s="1226">
        <f t="shared" si="257"/>
        <v>0</v>
      </c>
      <c r="O190" s="1226">
        <f t="shared" si="257"/>
        <v>0</v>
      </c>
      <c r="P190" s="1227">
        <f t="shared" si="257"/>
        <v>0</v>
      </c>
      <c r="Q190" s="1228">
        <f t="shared" si="257"/>
        <v>0</v>
      </c>
      <c r="R190" s="1228">
        <f t="shared" si="257"/>
        <v>0</v>
      </c>
      <c r="S190" s="1229">
        <f t="shared" si="257"/>
        <v>0</v>
      </c>
      <c r="T190" s="1230">
        <f t="shared" si="257"/>
        <v>0</v>
      </c>
      <c r="U190" s="1231">
        <f t="shared" si="257"/>
        <v>0</v>
      </c>
      <c r="V190" s="1232">
        <f t="shared" si="257"/>
        <v>0</v>
      </c>
      <c r="W190" s="1232">
        <f t="shared" si="257"/>
        <v>0</v>
      </c>
      <c r="X190" s="1232">
        <f t="shared" si="257"/>
        <v>0</v>
      </c>
      <c r="Y190" s="1233">
        <f t="shared" si="257"/>
        <v>0</v>
      </c>
      <c r="Z190" s="1225">
        <f t="shared" si="257"/>
        <v>0</v>
      </c>
      <c r="AA190" s="1224">
        <f t="shared" si="257"/>
        <v>0</v>
      </c>
      <c r="AB190" s="1224">
        <f t="shared" si="257"/>
        <v>0</v>
      </c>
      <c r="AC190" s="1224">
        <f t="shared" si="257"/>
        <v>0</v>
      </c>
      <c r="AD190" s="1224">
        <f t="shared" si="257"/>
        <v>0</v>
      </c>
      <c r="AE190" s="1224">
        <f t="shared" si="257"/>
        <v>0</v>
      </c>
      <c r="AF190" s="1224">
        <f t="shared" si="257"/>
        <v>0</v>
      </c>
      <c r="AG190" s="1224">
        <f t="shared" si="257"/>
        <v>0</v>
      </c>
      <c r="AH190" s="1224">
        <f t="shared" si="257"/>
        <v>0</v>
      </c>
      <c r="AI190" s="1224">
        <f t="shared" si="257"/>
        <v>0</v>
      </c>
      <c r="AJ190" s="1224">
        <f t="shared" si="257"/>
        <v>0</v>
      </c>
      <c r="AK190" s="1224">
        <f t="shared" si="257"/>
        <v>0</v>
      </c>
      <c r="AL190" s="1224">
        <f t="shared" si="257"/>
        <v>0</v>
      </c>
      <c r="AM190" s="1227">
        <f t="shared" si="257"/>
        <v>0</v>
      </c>
      <c r="AN190" s="1227">
        <f t="shared" si="257"/>
        <v>0</v>
      </c>
      <c r="AO190" s="1227">
        <f t="shared" si="257"/>
        <v>0</v>
      </c>
      <c r="AP190" s="1227">
        <f t="shared" si="257"/>
        <v>0</v>
      </c>
      <c r="AQ190" s="1225">
        <f t="shared" si="257"/>
        <v>0</v>
      </c>
      <c r="AR190" s="1234">
        <f t="shared" si="257"/>
        <v>0</v>
      </c>
      <c r="AS190" s="1234">
        <f t="shared" si="257"/>
        <v>0</v>
      </c>
      <c r="AT190" s="1234">
        <f t="shared" si="257"/>
        <v>0</v>
      </c>
      <c r="AU190" s="1234">
        <f t="shared" si="257"/>
        <v>0</v>
      </c>
      <c r="AV190" s="1234">
        <f t="shared" si="257"/>
        <v>0</v>
      </c>
      <c r="AW190" s="1235">
        <f t="shared" si="257"/>
        <v>0</v>
      </c>
      <c r="AX190" s="1236">
        <f t="shared" si="257"/>
        <v>0</v>
      </c>
      <c r="AY190" s="1237">
        <f t="shared" si="257"/>
        <v>0</v>
      </c>
      <c r="AZ190" s="1224">
        <f t="shared" si="257"/>
        <v>0</v>
      </c>
      <c r="BA190" s="1224">
        <f t="shared" si="257"/>
        <v>0</v>
      </c>
      <c r="BB190" s="1224">
        <f t="shared" si="257"/>
        <v>0</v>
      </c>
      <c r="BC190" s="1225">
        <f t="shared" si="257"/>
        <v>0</v>
      </c>
      <c r="BD190" s="1225">
        <f t="shared" si="257"/>
        <v>0</v>
      </c>
      <c r="BE190" s="1225">
        <f t="shared" si="257"/>
        <v>0</v>
      </c>
      <c r="BF190" s="1225">
        <f t="shared" si="257"/>
        <v>0</v>
      </c>
      <c r="BG190" s="1225">
        <f t="shared" si="257"/>
        <v>0</v>
      </c>
      <c r="BH190" s="1225">
        <f t="shared" si="257"/>
        <v>0</v>
      </c>
      <c r="BI190" s="1225">
        <f t="shared" si="257"/>
        <v>0</v>
      </c>
      <c r="BJ190" s="1225">
        <f t="shared" si="257"/>
        <v>0</v>
      </c>
      <c r="BK190" s="1225">
        <f t="shared" si="257"/>
        <v>0</v>
      </c>
      <c r="BL190" s="1225">
        <f t="shared" si="257"/>
        <v>0</v>
      </c>
      <c r="BM190" s="1225">
        <f t="shared" ref="BM190:CF199" si="261">BM175-BM160</f>
        <v>0</v>
      </c>
      <c r="BN190" s="1225">
        <f t="shared" si="261"/>
        <v>0</v>
      </c>
      <c r="BO190" s="1225">
        <f t="shared" si="261"/>
        <v>0</v>
      </c>
      <c r="BP190" s="1225">
        <f t="shared" si="261"/>
        <v>0</v>
      </c>
      <c r="BQ190" s="1225">
        <f t="shared" si="261"/>
        <v>0</v>
      </c>
      <c r="BR190" s="1225">
        <f t="shared" si="258"/>
        <v>0</v>
      </c>
      <c r="BS190" s="1225">
        <f t="shared" si="258"/>
        <v>0</v>
      </c>
      <c r="BT190" s="1225">
        <f t="shared" si="261"/>
        <v>0</v>
      </c>
      <c r="BU190" s="1225">
        <f t="shared" si="261"/>
        <v>0</v>
      </c>
      <c r="BV190" s="1225">
        <f t="shared" si="261"/>
        <v>0</v>
      </c>
      <c r="BW190" s="1225">
        <f t="shared" si="261"/>
        <v>0</v>
      </c>
      <c r="BX190" s="1225">
        <f t="shared" si="261"/>
        <v>0</v>
      </c>
      <c r="BY190" s="1225">
        <f t="shared" si="261"/>
        <v>0</v>
      </c>
      <c r="BZ190" s="1224">
        <f t="shared" si="258"/>
        <v>0</v>
      </c>
      <c r="CA190" s="1224">
        <f t="shared" si="258"/>
        <v>0</v>
      </c>
      <c r="CB190" s="1224">
        <f t="shared" si="258"/>
        <v>0</v>
      </c>
      <c r="CC190" s="1224">
        <f t="shared" si="258"/>
        <v>0</v>
      </c>
      <c r="CD190" s="1227">
        <f t="shared" si="258"/>
        <v>0</v>
      </c>
      <c r="CE190" s="1227">
        <f t="shared" si="258"/>
        <v>0</v>
      </c>
      <c r="CF190" s="1227">
        <f t="shared" si="258"/>
        <v>0</v>
      </c>
      <c r="CG190" s="1227">
        <f t="shared" si="258"/>
        <v>0</v>
      </c>
      <c r="CH190" s="1227">
        <f t="shared" si="258"/>
        <v>0</v>
      </c>
      <c r="CI190" s="1227">
        <f t="shared" si="258"/>
        <v>0</v>
      </c>
      <c r="CJ190" s="1227">
        <f t="shared" si="258"/>
        <v>0</v>
      </c>
      <c r="CK190" s="1224">
        <f t="shared" si="258"/>
        <v>0</v>
      </c>
      <c r="CL190" s="1224">
        <f t="shared" si="258"/>
        <v>0</v>
      </c>
      <c r="CM190" s="1224">
        <f t="shared" si="258"/>
        <v>0</v>
      </c>
      <c r="CN190" s="1224">
        <f t="shared" si="258"/>
        <v>0</v>
      </c>
      <c r="CO190" s="1224">
        <f t="shared" si="258"/>
        <v>0</v>
      </c>
      <c r="CP190" s="1226">
        <f t="shared" si="258"/>
        <v>0</v>
      </c>
      <c r="CQ190" s="1226">
        <f t="shared" si="258"/>
        <v>0</v>
      </c>
      <c r="CR190" s="1233">
        <f t="shared" si="258"/>
        <v>0</v>
      </c>
      <c r="CS190" s="1233">
        <f t="shared" si="258"/>
        <v>0</v>
      </c>
      <c r="CT190" s="1224">
        <f t="shared" si="258"/>
        <v>0</v>
      </c>
      <c r="CU190" s="1224">
        <f t="shared" si="258"/>
        <v>0</v>
      </c>
      <c r="CV190" s="1224">
        <f t="shared" si="258"/>
        <v>0</v>
      </c>
      <c r="CW190" s="1225">
        <f t="shared" si="258"/>
        <v>0</v>
      </c>
      <c r="CX190" s="1226">
        <f t="shared" si="258"/>
        <v>0</v>
      </c>
      <c r="CY190" s="1226">
        <f t="shared" si="258"/>
        <v>0</v>
      </c>
      <c r="CZ190" s="1224">
        <f t="shared" si="258"/>
        <v>0</v>
      </c>
      <c r="DA190" s="1233">
        <f t="shared" si="258"/>
        <v>0</v>
      </c>
      <c r="DB190" s="1224">
        <f t="shared" si="258"/>
        <v>0</v>
      </c>
      <c r="DC190" s="1224">
        <f t="shared" si="258"/>
        <v>0</v>
      </c>
      <c r="DD190" s="1224">
        <f t="shared" si="258"/>
        <v>0</v>
      </c>
      <c r="DE190" s="1224">
        <f t="shared" si="258"/>
        <v>0</v>
      </c>
      <c r="DF190" s="1224">
        <f t="shared" si="258"/>
        <v>0</v>
      </c>
      <c r="DG190" s="1224">
        <f t="shared" si="258"/>
        <v>0</v>
      </c>
      <c r="DH190" s="1224">
        <f t="shared" si="258"/>
        <v>0</v>
      </c>
      <c r="DI190" s="1224">
        <f t="shared" si="258"/>
        <v>0</v>
      </c>
      <c r="DJ190" s="1233">
        <f t="shared" si="258"/>
        <v>0</v>
      </c>
      <c r="DK190" s="1224">
        <f t="shared" si="258"/>
        <v>0</v>
      </c>
      <c r="DL190" s="1224"/>
      <c r="DM190" s="1224"/>
      <c r="DN190" s="1224"/>
      <c r="DO190" s="1224">
        <f t="shared" si="259"/>
        <v>0</v>
      </c>
      <c r="DP190" s="1225">
        <f t="shared" si="258"/>
        <v>0</v>
      </c>
      <c r="DQ190" s="1228">
        <f t="shared" si="258"/>
        <v>0</v>
      </c>
      <c r="DR190" s="1238">
        <f t="shared" si="258"/>
        <v>0</v>
      </c>
      <c r="DS190" s="1238">
        <f t="shared" si="258"/>
        <v>0</v>
      </c>
      <c r="DT190" s="1228"/>
      <c r="DU190" s="1238">
        <f t="shared" si="260"/>
        <v>0</v>
      </c>
      <c r="DV190" s="1236">
        <f t="shared" si="258"/>
        <v>0</v>
      </c>
      <c r="DW190" s="1239">
        <f t="shared" si="255"/>
        <v>0</v>
      </c>
      <c r="DX190" s="1240"/>
      <c r="DY190" s="659"/>
    </row>
    <row r="191" spans="1:129" ht="14.4" customHeight="1" outlineLevel="1">
      <c r="A191" s="1223"/>
      <c r="B191" s="1224">
        <f t="shared" ref="B191:BM194" si="262">B176-B161</f>
        <v>0</v>
      </c>
      <c r="C191" s="1224">
        <f t="shared" si="262"/>
        <v>0</v>
      </c>
      <c r="D191" s="1224">
        <f t="shared" si="262"/>
        <v>0</v>
      </c>
      <c r="E191" s="1224">
        <f t="shared" si="262"/>
        <v>0</v>
      </c>
      <c r="F191" s="1224">
        <f t="shared" si="262"/>
        <v>0</v>
      </c>
      <c r="G191" s="1225">
        <f t="shared" si="262"/>
        <v>0</v>
      </c>
      <c r="H191" s="1225">
        <f t="shared" si="262"/>
        <v>0</v>
      </c>
      <c r="I191" s="1225">
        <f t="shared" si="262"/>
        <v>0</v>
      </c>
      <c r="J191" s="1225">
        <f t="shared" si="262"/>
        <v>0</v>
      </c>
      <c r="K191" s="1225">
        <f t="shared" si="262"/>
        <v>0</v>
      </c>
      <c r="L191" s="1225">
        <f t="shared" si="262"/>
        <v>0</v>
      </c>
      <c r="M191" s="1225">
        <f t="shared" si="262"/>
        <v>0</v>
      </c>
      <c r="N191" s="1226">
        <f t="shared" si="262"/>
        <v>0</v>
      </c>
      <c r="O191" s="1226">
        <f t="shared" si="262"/>
        <v>0</v>
      </c>
      <c r="P191" s="1227">
        <f t="shared" si="262"/>
        <v>0</v>
      </c>
      <c r="Q191" s="1228">
        <f t="shared" si="262"/>
        <v>0</v>
      </c>
      <c r="R191" s="1228">
        <f t="shared" si="262"/>
        <v>0</v>
      </c>
      <c r="S191" s="1229">
        <f t="shared" si="262"/>
        <v>0</v>
      </c>
      <c r="T191" s="1230">
        <f t="shared" si="262"/>
        <v>0</v>
      </c>
      <c r="U191" s="1231">
        <f t="shared" si="262"/>
        <v>0</v>
      </c>
      <c r="V191" s="1232">
        <f t="shared" si="262"/>
        <v>0</v>
      </c>
      <c r="W191" s="1232">
        <f t="shared" si="262"/>
        <v>0</v>
      </c>
      <c r="X191" s="1232">
        <f t="shared" si="262"/>
        <v>0</v>
      </c>
      <c r="Y191" s="1233">
        <f t="shared" si="262"/>
        <v>0</v>
      </c>
      <c r="Z191" s="1225">
        <f t="shared" si="262"/>
        <v>0</v>
      </c>
      <c r="AA191" s="1224">
        <f t="shared" si="262"/>
        <v>0</v>
      </c>
      <c r="AB191" s="1224">
        <f t="shared" si="262"/>
        <v>0</v>
      </c>
      <c r="AC191" s="1224">
        <f t="shared" si="262"/>
        <v>0</v>
      </c>
      <c r="AD191" s="1224">
        <f t="shared" si="262"/>
        <v>0</v>
      </c>
      <c r="AE191" s="1224">
        <f t="shared" si="262"/>
        <v>0</v>
      </c>
      <c r="AF191" s="1224">
        <f t="shared" si="262"/>
        <v>0</v>
      </c>
      <c r="AG191" s="1224">
        <f t="shared" si="262"/>
        <v>0</v>
      </c>
      <c r="AH191" s="1224">
        <f t="shared" si="262"/>
        <v>0</v>
      </c>
      <c r="AI191" s="1224">
        <f t="shared" si="262"/>
        <v>0</v>
      </c>
      <c r="AJ191" s="1224">
        <f t="shared" si="262"/>
        <v>0</v>
      </c>
      <c r="AK191" s="1224">
        <f t="shared" si="262"/>
        <v>0</v>
      </c>
      <c r="AL191" s="1224">
        <f t="shared" si="262"/>
        <v>0</v>
      </c>
      <c r="AM191" s="1227">
        <f t="shared" si="262"/>
        <v>0</v>
      </c>
      <c r="AN191" s="1227">
        <f t="shared" si="262"/>
        <v>0</v>
      </c>
      <c r="AO191" s="1227">
        <f t="shared" si="262"/>
        <v>0</v>
      </c>
      <c r="AP191" s="1227">
        <f t="shared" si="262"/>
        <v>0</v>
      </c>
      <c r="AQ191" s="1225">
        <f t="shared" si="262"/>
        <v>0</v>
      </c>
      <c r="AR191" s="1234">
        <f t="shared" si="262"/>
        <v>0</v>
      </c>
      <c r="AS191" s="1234">
        <f t="shared" si="262"/>
        <v>0</v>
      </c>
      <c r="AT191" s="1234">
        <f t="shared" si="262"/>
        <v>0</v>
      </c>
      <c r="AU191" s="1234">
        <f t="shared" si="262"/>
        <v>0</v>
      </c>
      <c r="AV191" s="1234">
        <f t="shared" si="262"/>
        <v>0</v>
      </c>
      <c r="AW191" s="1235">
        <f t="shared" si="262"/>
        <v>0</v>
      </c>
      <c r="AX191" s="1236">
        <f t="shared" si="262"/>
        <v>0</v>
      </c>
      <c r="AY191" s="1237">
        <f t="shared" si="262"/>
        <v>0</v>
      </c>
      <c r="AZ191" s="1224">
        <f t="shared" si="262"/>
        <v>0</v>
      </c>
      <c r="BA191" s="1224">
        <f t="shared" si="262"/>
        <v>0</v>
      </c>
      <c r="BB191" s="1224">
        <f t="shared" si="262"/>
        <v>0</v>
      </c>
      <c r="BC191" s="1225">
        <f t="shared" si="262"/>
        <v>0</v>
      </c>
      <c r="BD191" s="1225">
        <f t="shared" si="262"/>
        <v>0</v>
      </c>
      <c r="BE191" s="1225">
        <f t="shared" si="262"/>
        <v>0</v>
      </c>
      <c r="BF191" s="1225">
        <f t="shared" si="262"/>
        <v>0</v>
      </c>
      <c r="BG191" s="1225">
        <f t="shared" si="262"/>
        <v>0</v>
      </c>
      <c r="BH191" s="1225">
        <f t="shared" si="262"/>
        <v>0</v>
      </c>
      <c r="BI191" s="1225">
        <f t="shared" si="262"/>
        <v>0</v>
      </c>
      <c r="BJ191" s="1225">
        <f t="shared" si="262"/>
        <v>0</v>
      </c>
      <c r="BK191" s="1225">
        <f t="shared" si="262"/>
        <v>0</v>
      </c>
      <c r="BL191" s="1225">
        <f t="shared" si="262"/>
        <v>0</v>
      </c>
      <c r="BM191" s="1225">
        <f t="shared" si="262"/>
        <v>0</v>
      </c>
      <c r="BN191" s="1225">
        <f t="shared" si="261"/>
        <v>0</v>
      </c>
      <c r="BO191" s="1225">
        <f t="shared" si="261"/>
        <v>0</v>
      </c>
      <c r="BP191" s="1225">
        <f t="shared" si="261"/>
        <v>0</v>
      </c>
      <c r="BQ191" s="1225">
        <f t="shared" si="261"/>
        <v>0</v>
      </c>
      <c r="BR191" s="1225">
        <f t="shared" si="258"/>
        <v>0</v>
      </c>
      <c r="BS191" s="1225">
        <f t="shared" si="258"/>
        <v>0</v>
      </c>
      <c r="BT191" s="1225">
        <f t="shared" si="261"/>
        <v>0</v>
      </c>
      <c r="BU191" s="1225">
        <f t="shared" si="261"/>
        <v>0</v>
      </c>
      <c r="BV191" s="1225">
        <f t="shared" si="261"/>
        <v>0</v>
      </c>
      <c r="BW191" s="1225">
        <f t="shared" si="261"/>
        <v>0</v>
      </c>
      <c r="BX191" s="1225">
        <f t="shared" si="261"/>
        <v>0</v>
      </c>
      <c r="BY191" s="1225">
        <f t="shared" si="261"/>
        <v>0</v>
      </c>
      <c r="BZ191" s="1224">
        <f t="shared" si="258"/>
        <v>0</v>
      </c>
      <c r="CA191" s="1224">
        <f t="shared" si="258"/>
        <v>0</v>
      </c>
      <c r="CB191" s="1224">
        <f t="shared" si="258"/>
        <v>0</v>
      </c>
      <c r="CC191" s="1224">
        <f t="shared" si="258"/>
        <v>0</v>
      </c>
      <c r="CD191" s="1227">
        <f t="shared" si="258"/>
        <v>0</v>
      </c>
      <c r="CE191" s="1227">
        <f t="shared" si="258"/>
        <v>0</v>
      </c>
      <c r="CF191" s="1227">
        <f t="shared" si="258"/>
        <v>0</v>
      </c>
      <c r="CG191" s="1227">
        <f t="shared" si="258"/>
        <v>0</v>
      </c>
      <c r="CH191" s="1227">
        <f t="shared" si="258"/>
        <v>0</v>
      </c>
      <c r="CI191" s="1227">
        <f t="shared" si="258"/>
        <v>0</v>
      </c>
      <c r="CJ191" s="1227">
        <f t="shared" si="258"/>
        <v>0</v>
      </c>
      <c r="CK191" s="1224">
        <f t="shared" si="258"/>
        <v>0</v>
      </c>
      <c r="CL191" s="1224">
        <f t="shared" si="258"/>
        <v>0</v>
      </c>
      <c r="CM191" s="1224">
        <f t="shared" si="258"/>
        <v>0</v>
      </c>
      <c r="CN191" s="1224">
        <f t="shared" si="258"/>
        <v>0</v>
      </c>
      <c r="CO191" s="1224">
        <f t="shared" si="258"/>
        <v>0</v>
      </c>
      <c r="CP191" s="1226">
        <f t="shared" si="258"/>
        <v>0</v>
      </c>
      <c r="CQ191" s="1226">
        <f t="shared" si="258"/>
        <v>0</v>
      </c>
      <c r="CR191" s="1233">
        <f t="shared" si="258"/>
        <v>0</v>
      </c>
      <c r="CS191" s="1233">
        <f t="shared" si="258"/>
        <v>0</v>
      </c>
      <c r="CT191" s="1224">
        <f t="shared" si="258"/>
        <v>0</v>
      </c>
      <c r="CU191" s="1224">
        <f t="shared" si="258"/>
        <v>0</v>
      </c>
      <c r="CV191" s="1224">
        <f t="shared" si="258"/>
        <v>0</v>
      </c>
      <c r="CW191" s="1225">
        <f t="shared" si="258"/>
        <v>0</v>
      </c>
      <c r="CX191" s="1226">
        <f t="shared" si="258"/>
        <v>0</v>
      </c>
      <c r="CY191" s="1226">
        <f t="shared" si="258"/>
        <v>0</v>
      </c>
      <c r="CZ191" s="1224">
        <f t="shared" si="258"/>
        <v>0</v>
      </c>
      <c r="DA191" s="1233">
        <f t="shared" si="258"/>
        <v>0</v>
      </c>
      <c r="DB191" s="1224">
        <f t="shared" si="258"/>
        <v>0</v>
      </c>
      <c r="DC191" s="1224">
        <f t="shared" si="258"/>
        <v>0</v>
      </c>
      <c r="DD191" s="1224">
        <f t="shared" si="258"/>
        <v>0</v>
      </c>
      <c r="DE191" s="1224">
        <f t="shared" si="258"/>
        <v>0</v>
      </c>
      <c r="DF191" s="1224">
        <f t="shared" si="258"/>
        <v>0</v>
      </c>
      <c r="DG191" s="1224">
        <f t="shared" si="258"/>
        <v>0</v>
      </c>
      <c r="DH191" s="1224">
        <f t="shared" si="258"/>
        <v>0</v>
      </c>
      <c r="DI191" s="1224">
        <f t="shared" si="258"/>
        <v>0</v>
      </c>
      <c r="DJ191" s="1233">
        <f t="shared" si="258"/>
        <v>0</v>
      </c>
      <c r="DK191" s="1224">
        <f t="shared" si="258"/>
        <v>0</v>
      </c>
      <c r="DL191" s="1224"/>
      <c r="DM191" s="1224"/>
      <c r="DN191" s="1224"/>
      <c r="DO191" s="1224">
        <f t="shared" si="259"/>
        <v>0</v>
      </c>
      <c r="DP191" s="1225">
        <f t="shared" si="258"/>
        <v>0</v>
      </c>
      <c r="DQ191" s="1228">
        <f t="shared" si="258"/>
        <v>0</v>
      </c>
      <c r="DR191" s="1238">
        <f t="shared" si="258"/>
        <v>0</v>
      </c>
      <c r="DS191" s="1238">
        <f t="shared" si="258"/>
        <v>0</v>
      </c>
      <c r="DT191" s="1228"/>
      <c r="DU191" s="1238">
        <f t="shared" si="260"/>
        <v>0</v>
      </c>
      <c r="DV191" s="1236">
        <f t="shared" si="258"/>
        <v>0</v>
      </c>
      <c r="DW191" s="1239">
        <f t="shared" si="255"/>
        <v>0</v>
      </c>
      <c r="DX191" s="1240"/>
      <c r="DY191" s="659"/>
    </row>
    <row r="192" spans="1:129" ht="27.6" customHeight="1" collapsed="1">
      <c r="A192" s="1223" t="s">
        <v>676</v>
      </c>
      <c r="B192" s="1224">
        <f t="shared" si="262"/>
        <v>-3103.3962499999989</v>
      </c>
      <c r="C192" s="1224">
        <f t="shared" si="262"/>
        <v>-203.67499999999998</v>
      </c>
      <c r="D192" s="1224">
        <f t="shared" si="262"/>
        <v>-2165.6574999999998</v>
      </c>
      <c r="E192" s="1224">
        <f t="shared" si="262"/>
        <v>-270</v>
      </c>
      <c r="F192" s="1224">
        <f t="shared" si="262"/>
        <v>-3720.6285714285718</v>
      </c>
      <c r="G192" s="1225">
        <f t="shared" si="262"/>
        <v>-114</v>
      </c>
      <c r="H192" s="1225">
        <f t="shared" si="262"/>
        <v>-497.04</v>
      </c>
      <c r="I192" s="1225">
        <f t="shared" si="262"/>
        <v>-660.0524999999999</v>
      </c>
      <c r="J192" s="1225">
        <f t="shared" si="262"/>
        <v>-1287.6106666666662</v>
      </c>
      <c r="K192" s="1225">
        <f t="shared" si="262"/>
        <v>-254.35000000000002</v>
      </c>
      <c r="L192" s="1225">
        <f t="shared" si="262"/>
        <v>-568.703125</v>
      </c>
      <c r="M192" s="1225">
        <f t="shared" si="262"/>
        <v>0</v>
      </c>
      <c r="N192" s="1226">
        <f t="shared" si="262"/>
        <v>-996.76249999999982</v>
      </c>
      <c r="O192" s="1226">
        <f t="shared" si="262"/>
        <v>-464.46125000000001</v>
      </c>
      <c r="P192" s="1227">
        <f t="shared" si="262"/>
        <v>-566.84000000000015</v>
      </c>
      <c r="Q192" s="1228">
        <f t="shared" si="262"/>
        <v>-4600.0000000000009</v>
      </c>
      <c r="R192" s="1228">
        <f t="shared" si="262"/>
        <v>-1022.2800000000001</v>
      </c>
      <c r="S192" s="1229">
        <f t="shared" si="262"/>
        <v>-33798.191666666666</v>
      </c>
      <c r="T192" s="1230">
        <f t="shared" si="262"/>
        <v>-461.03958333333338</v>
      </c>
      <c r="U192" s="1231">
        <f t="shared" si="262"/>
        <v>-1780.7650000000001</v>
      </c>
      <c r="V192" s="1232">
        <f t="shared" si="262"/>
        <v>-1161.3300000000004</v>
      </c>
      <c r="W192" s="1232">
        <f t="shared" si="262"/>
        <v>-65.257142857142867</v>
      </c>
      <c r="X192" s="1232">
        <f t="shared" si="262"/>
        <v>-273.75</v>
      </c>
      <c r="Y192" s="1233">
        <f t="shared" si="262"/>
        <v>-2679.8562500000003</v>
      </c>
      <c r="Z192" s="1225">
        <f t="shared" si="262"/>
        <v>-203.12999999999988</v>
      </c>
      <c r="AA192" s="1224">
        <f t="shared" si="262"/>
        <v>-3285.0506666666661</v>
      </c>
      <c r="AB192" s="1224">
        <f t="shared" si="262"/>
        <v>-589.59999999999991</v>
      </c>
      <c r="AC192" s="1224">
        <f t="shared" si="262"/>
        <v>-256.19</v>
      </c>
      <c r="AD192" s="1224">
        <f t="shared" si="262"/>
        <v>-1654.8071428571429</v>
      </c>
      <c r="AE192" s="1224">
        <f t="shared" si="262"/>
        <v>-111.71428571428572</v>
      </c>
      <c r="AF192" s="1224">
        <f t="shared" si="262"/>
        <v>-489.01333333333332</v>
      </c>
      <c r="AG192" s="1224">
        <f t="shared" si="262"/>
        <v>-924.96266666666679</v>
      </c>
      <c r="AH192" s="1224">
        <f t="shared" si="262"/>
        <v>-49.959333333333461</v>
      </c>
      <c r="AI192" s="1224">
        <f t="shared" si="262"/>
        <v>-4525.0499999999993</v>
      </c>
      <c r="AJ192" s="1224">
        <f t="shared" si="262"/>
        <v>0</v>
      </c>
      <c r="AK192" s="1224">
        <f t="shared" si="262"/>
        <v>-1915.2000000000003</v>
      </c>
      <c r="AL192" s="1224">
        <f t="shared" si="262"/>
        <v>-638.59500000000003</v>
      </c>
      <c r="AM192" s="1227">
        <f t="shared" si="262"/>
        <v>-4757.6457142857134</v>
      </c>
      <c r="AN192" s="1227">
        <f t="shared" si="262"/>
        <v>-178.2</v>
      </c>
      <c r="AO192" s="1227">
        <f t="shared" si="262"/>
        <v>-2353.5</v>
      </c>
      <c r="AP192" s="1227">
        <f t="shared" si="262"/>
        <v>-55.949999999999982</v>
      </c>
      <c r="AQ192" s="1225">
        <f t="shared" si="262"/>
        <v>-1177.1750000000006</v>
      </c>
      <c r="AR192" s="1234">
        <f t="shared" si="262"/>
        <v>0</v>
      </c>
      <c r="AS192" s="1234">
        <f t="shared" si="262"/>
        <v>-94.813749999999999</v>
      </c>
      <c r="AT192" s="1234">
        <f t="shared" si="262"/>
        <v>-104.26499999999999</v>
      </c>
      <c r="AU192" s="1234">
        <f t="shared" si="262"/>
        <v>-36.721249999999998</v>
      </c>
      <c r="AV192" s="1234">
        <f t="shared" si="262"/>
        <v>0</v>
      </c>
      <c r="AW192" s="1235">
        <f t="shared" si="262"/>
        <v>0</v>
      </c>
      <c r="AX192" s="1236">
        <f t="shared" si="262"/>
        <v>0</v>
      </c>
      <c r="AY192" s="1237">
        <f t="shared" si="262"/>
        <v>-2765.4849523809521</v>
      </c>
      <c r="AZ192" s="1224">
        <f t="shared" si="262"/>
        <v>-356.87</v>
      </c>
      <c r="BA192" s="1224">
        <f t="shared" si="262"/>
        <v>-670.78125</v>
      </c>
      <c r="BB192" s="1224">
        <f t="shared" si="262"/>
        <v>-1246.1386904761905</v>
      </c>
      <c r="BC192" s="1225">
        <f t="shared" si="262"/>
        <v>-420</v>
      </c>
      <c r="BD192" s="1225">
        <f t="shared" si="262"/>
        <v>-800</v>
      </c>
      <c r="BE192" s="1225">
        <f t="shared" si="262"/>
        <v>-202.3125</v>
      </c>
      <c r="BF192" s="1225">
        <f t="shared" si="262"/>
        <v>-252.10000000000002</v>
      </c>
      <c r="BG192" s="1225">
        <f t="shared" si="262"/>
        <v>0</v>
      </c>
      <c r="BH192" s="1225">
        <f t="shared" si="262"/>
        <v>-170.4</v>
      </c>
      <c r="BI192" s="1225">
        <f t="shared" si="262"/>
        <v>-105</v>
      </c>
      <c r="BJ192" s="1225">
        <f t="shared" si="262"/>
        <v>-463.75</v>
      </c>
      <c r="BK192" s="1225">
        <f t="shared" si="262"/>
        <v>-78.641249999999999</v>
      </c>
      <c r="BL192" s="1225">
        <f t="shared" si="262"/>
        <v>-293.3416666666667</v>
      </c>
      <c r="BM192" s="1225">
        <f t="shared" si="262"/>
        <v>-5190.5791666666664</v>
      </c>
      <c r="BN192" s="1225">
        <f t="shared" si="261"/>
        <v>-151.875</v>
      </c>
      <c r="BO192" s="1225">
        <f t="shared" si="261"/>
        <v>-3901.293452380954</v>
      </c>
      <c r="BP192" s="1225">
        <f t="shared" si="261"/>
        <v>0</v>
      </c>
      <c r="BQ192" s="1225">
        <f t="shared" si="261"/>
        <v>-156.15625</v>
      </c>
      <c r="BR192" s="1225">
        <f t="shared" si="261"/>
        <v>-350</v>
      </c>
      <c r="BS192" s="1225">
        <f t="shared" si="261"/>
        <v>-56</v>
      </c>
      <c r="BT192" s="1225">
        <f t="shared" si="261"/>
        <v>-115.10000000000008</v>
      </c>
      <c r="BU192" s="1225">
        <f t="shared" si="261"/>
        <v>-500</v>
      </c>
      <c r="BV192" s="1225">
        <f t="shared" si="261"/>
        <v>-886</v>
      </c>
      <c r="BW192" s="1225">
        <f t="shared" si="261"/>
        <v>-1970.9437499999995</v>
      </c>
      <c r="BX192" s="1225">
        <f t="shared" si="261"/>
        <v>-184.93214285714294</v>
      </c>
      <c r="BY192" s="1225">
        <f t="shared" si="261"/>
        <v>0</v>
      </c>
      <c r="BZ192" s="1224">
        <f t="shared" si="261"/>
        <v>-357.34178571428583</v>
      </c>
      <c r="CA192" s="1224">
        <f t="shared" si="261"/>
        <v>-102.79500000000007</v>
      </c>
      <c r="CB192" s="1224">
        <f t="shared" si="261"/>
        <v>-630.01250000000005</v>
      </c>
      <c r="CC192" s="1224">
        <f t="shared" si="261"/>
        <v>0</v>
      </c>
      <c r="CD192" s="1227">
        <f t="shared" si="261"/>
        <v>-13313.8125</v>
      </c>
      <c r="CE192" s="1227">
        <f t="shared" si="261"/>
        <v>-13671.485714285714</v>
      </c>
      <c r="CF192" s="1227">
        <f t="shared" si="261"/>
        <v>-45.771428571428544</v>
      </c>
      <c r="CG192" s="1227">
        <f t="shared" ref="CG192:DV199" si="263">CG177-CG162</f>
        <v>-2426.3550000000005</v>
      </c>
      <c r="CH192" s="1227">
        <f t="shared" si="263"/>
        <v>-912.75</v>
      </c>
      <c r="CI192" s="1227">
        <f t="shared" si="263"/>
        <v>-136.17142857142858</v>
      </c>
      <c r="CJ192" s="1227">
        <f t="shared" si="263"/>
        <v>-179.77142857142857</v>
      </c>
      <c r="CK192" s="1224">
        <f t="shared" si="263"/>
        <v>0</v>
      </c>
      <c r="CL192" s="1224">
        <f t="shared" si="263"/>
        <v>-489.01428571428585</v>
      </c>
      <c r="CM192" s="1224">
        <f t="shared" si="263"/>
        <v>-431.78</v>
      </c>
      <c r="CN192" s="1224">
        <f t="shared" si="263"/>
        <v>-526.80499999999995</v>
      </c>
      <c r="CO192" s="1224">
        <f t="shared" si="263"/>
        <v>-28.671428571428578</v>
      </c>
      <c r="CP192" s="1226">
        <f t="shared" si="263"/>
        <v>-426.6875</v>
      </c>
      <c r="CQ192" s="1226">
        <f t="shared" si="263"/>
        <v>-147.07142857142858</v>
      </c>
      <c r="CR192" s="1233">
        <f t="shared" si="263"/>
        <v>-480.4375</v>
      </c>
      <c r="CS192" s="1233">
        <f t="shared" si="263"/>
        <v>-126.17142857142858</v>
      </c>
      <c r="CT192" s="1224">
        <f t="shared" si="263"/>
        <v>-436.95000000000027</v>
      </c>
      <c r="CU192" s="1224">
        <f t="shared" si="263"/>
        <v>-2089.3949999999995</v>
      </c>
      <c r="CV192" s="1224">
        <f t="shared" si="263"/>
        <v>-113.84999999999998</v>
      </c>
      <c r="CW192" s="1225">
        <f t="shared" si="263"/>
        <v>-1337.1791428571435</v>
      </c>
      <c r="CX192" s="1226">
        <f t="shared" si="263"/>
        <v>-99.224999999999994</v>
      </c>
      <c r="CY192" s="1226">
        <f t="shared" si="263"/>
        <v>-705.44124999999963</v>
      </c>
      <c r="CZ192" s="1224">
        <f t="shared" si="263"/>
        <v>-510.97750000000002</v>
      </c>
      <c r="DA192" s="1233">
        <f t="shared" si="263"/>
        <v>-1585.6968749999996</v>
      </c>
      <c r="DB192" s="1224">
        <f t="shared" si="263"/>
        <v>-2529.6711309523807</v>
      </c>
      <c r="DC192" s="1224">
        <f t="shared" si="263"/>
        <v>-5484.2124999999996</v>
      </c>
      <c r="DD192" s="1224">
        <f t="shared" si="263"/>
        <v>-1100</v>
      </c>
      <c r="DE192" s="1224">
        <f t="shared" si="263"/>
        <v>-51.371428571428567</v>
      </c>
      <c r="DF192" s="1224">
        <f t="shared" si="263"/>
        <v>-1518</v>
      </c>
      <c r="DG192" s="1224">
        <f t="shared" si="263"/>
        <v>-44.314285714285717</v>
      </c>
      <c r="DH192" s="1224">
        <f t="shared" si="263"/>
        <v>-499.76250000000005</v>
      </c>
      <c r="DI192" s="1224">
        <f t="shared" si="263"/>
        <v>-684.63749999999982</v>
      </c>
      <c r="DJ192" s="1233">
        <f t="shared" si="263"/>
        <v>0</v>
      </c>
      <c r="DK192" s="1224">
        <f t="shared" si="263"/>
        <v>0</v>
      </c>
      <c r="DL192" s="1224"/>
      <c r="DM192" s="1224"/>
      <c r="DN192" s="1224"/>
      <c r="DO192" s="1224">
        <f t="shared" si="259"/>
        <v>0</v>
      </c>
      <c r="DP192" s="1225">
        <f t="shared" si="263"/>
        <v>-429.46428571428578</v>
      </c>
      <c r="DQ192" s="1228">
        <f t="shared" si="263"/>
        <v>0</v>
      </c>
      <c r="DR192" s="1238">
        <f t="shared" si="263"/>
        <v>0</v>
      </c>
      <c r="DS192" s="1238">
        <f t="shared" si="263"/>
        <v>0</v>
      </c>
      <c r="DT192" s="1228"/>
      <c r="DU192" s="1238">
        <f t="shared" si="260"/>
        <v>0</v>
      </c>
      <c r="DV192" s="1236">
        <f t="shared" si="263"/>
        <v>0</v>
      </c>
      <c r="DW192" s="1239">
        <f t="shared" si="255"/>
        <v>-159057.94397619052</v>
      </c>
      <c r="DX192" s="1240" t="str">
        <f t="shared" ref="DX192:DX199" si="264">A192</f>
        <v>Отклонение между Планом производства и Заявкой на производство на ближайшие 04-10 дней, кг</v>
      </c>
      <c r="DY192" s="659"/>
    </row>
    <row r="193" spans="1:129" ht="27.6" customHeight="1">
      <c r="A193" s="1223" t="s">
        <v>677</v>
      </c>
      <c r="B193" s="1224">
        <f t="shared" si="262"/>
        <v>-2746.3450000000012</v>
      </c>
      <c r="C193" s="1224">
        <f t="shared" si="262"/>
        <v>-203.67499999999998</v>
      </c>
      <c r="D193" s="1224">
        <f t="shared" si="262"/>
        <v>-2165.6574999999998</v>
      </c>
      <c r="E193" s="1224">
        <f t="shared" si="262"/>
        <v>-270</v>
      </c>
      <c r="F193" s="1224">
        <f t="shared" si="262"/>
        <v>-3720.6285714285709</v>
      </c>
      <c r="G193" s="1225">
        <f t="shared" si="262"/>
        <v>-114</v>
      </c>
      <c r="H193" s="1225">
        <f t="shared" si="262"/>
        <v>-499.99999999999994</v>
      </c>
      <c r="I193" s="1225">
        <f t="shared" si="262"/>
        <v>-660.05250000000012</v>
      </c>
      <c r="J193" s="1225">
        <f t="shared" si="262"/>
        <v>-1287.6106666666658</v>
      </c>
      <c r="K193" s="1225">
        <f t="shared" si="262"/>
        <v>-254.35000000000002</v>
      </c>
      <c r="L193" s="1225">
        <f t="shared" si="262"/>
        <v>-568.703125</v>
      </c>
      <c r="M193" s="1225">
        <f t="shared" si="262"/>
        <v>0</v>
      </c>
      <c r="N193" s="1226">
        <f t="shared" si="262"/>
        <v>-1643.1825000000008</v>
      </c>
      <c r="O193" s="1226">
        <f t="shared" si="262"/>
        <v>-331.75124999999986</v>
      </c>
      <c r="P193" s="1227">
        <f t="shared" si="262"/>
        <v>-566.84000000000037</v>
      </c>
      <c r="Q193" s="1228">
        <f t="shared" si="262"/>
        <v>-1400</v>
      </c>
      <c r="R193" s="1228">
        <f t="shared" si="262"/>
        <v>-1022.2800000000003</v>
      </c>
      <c r="S193" s="1229">
        <f t="shared" si="262"/>
        <v>-13947.19166666668</v>
      </c>
      <c r="T193" s="1230">
        <f t="shared" si="262"/>
        <v>-477.84910714285712</v>
      </c>
      <c r="U193" s="1231">
        <f t="shared" si="262"/>
        <v>-1950.7650000000015</v>
      </c>
      <c r="V193" s="1232">
        <f t="shared" si="262"/>
        <v>-1161.3300000000004</v>
      </c>
      <c r="W193" s="1232">
        <f t="shared" si="262"/>
        <v>-69.999999999999972</v>
      </c>
      <c r="X193" s="1232">
        <f t="shared" si="262"/>
        <v>-298.94999999999993</v>
      </c>
      <c r="Y193" s="1233">
        <f t="shared" si="262"/>
        <v>-1611.318749999999</v>
      </c>
      <c r="Z193" s="1225">
        <f t="shared" si="262"/>
        <v>-203.12999999999988</v>
      </c>
      <c r="AA193" s="1224">
        <f t="shared" si="262"/>
        <v>-2414.4106666666694</v>
      </c>
      <c r="AB193" s="1224">
        <f t="shared" si="262"/>
        <v>-589.59999999999945</v>
      </c>
      <c r="AC193" s="1224">
        <f t="shared" si="262"/>
        <v>-167.04000000000002</v>
      </c>
      <c r="AD193" s="1224">
        <f t="shared" si="262"/>
        <v>-1707.15</v>
      </c>
      <c r="AE193" s="1224">
        <f t="shared" si="262"/>
        <v>-150</v>
      </c>
      <c r="AF193" s="1224">
        <f t="shared" si="262"/>
        <v>-500</v>
      </c>
      <c r="AG193" s="1224">
        <f t="shared" si="262"/>
        <v>-1304.9626666666668</v>
      </c>
      <c r="AH193" s="1224">
        <f t="shared" si="262"/>
        <v>-187.02600000000007</v>
      </c>
      <c r="AI193" s="1224">
        <f t="shared" si="262"/>
        <v>-4525.0499999999993</v>
      </c>
      <c r="AJ193" s="1224">
        <f t="shared" si="262"/>
        <v>0</v>
      </c>
      <c r="AK193" s="1224">
        <f t="shared" si="262"/>
        <v>-1915.1999999999998</v>
      </c>
      <c r="AL193" s="1224">
        <f t="shared" si="262"/>
        <v>-638.59500000000003</v>
      </c>
      <c r="AM193" s="1227">
        <f t="shared" si="262"/>
        <v>-8579.8957142857107</v>
      </c>
      <c r="AN193" s="1227">
        <f t="shared" si="262"/>
        <v>-178.2</v>
      </c>
      <c r="AO193" s="1227">
        <f t="shared" si="262"/>
        <v>-2353.5</v>
      </c>
      <c r="AP193" s="1227">
        <f t="shared" si="262"/>
        <v>-55.949999999999982</v>
      </c>
      <c r="AQ193" s="1225">
        <f t="shared" si="262"/>
        <v>-1177.1750000000002</v>
      </c>
      <c r="AR193" s="1234">
        <f t="shared" si="262"/>
        <v>-91.20828571428558</v>
      </c>
      <c r="AS193" s="1234">
        <f t="shared" si="262"/>
        <v>-94.813749999999999</v>
      </c>
      <c r="AT193" s="1234">
        <f t="shared" si="262"/>
        <v>-104.26500000000001</v>
      </c>
      <c r="AU193" s="1234">
        <f t="shared" si="262"/>
        <v>-36.721249999999998</v>
      </c>
      <c r="AV193" s="1234">
        <f t="shared" si="262"/>
        <v>0</v>
      </c>
      <c r="AW193" s="1235">
        <f t="shared" si="262"/>
        <v>0</v>
      </c>
      <c r="AX193" s="1236">
        <f t="shared" si="262"/>
        <v>0</v>
      </c>
      <c r="AY193" s="1237">
        <f t="shared" si="262"/>
        <v>-2203.654</v>
      </c>
      <c r="AZ193" s="1224">
        <f t="shared" si="262"/>
        <v>-356.87</v>
      </c>
      <c r="BA193" s="1224">
        <f t="shared" si="262"/>
        <v>-670.78125</v>
      </c>
      <c r="BB193" s="1224">
        <f t="shared" si="262"/>
        <v>-2719.9386904761914</v>
      </c>
      <c r="BC193" s="1225">
        <f t="shared" si="262"/>
        <v>-420</v>
      </c>
      <c r="BD193" s="1225">
        <f t="shared" si="262"/>
        <v>-800</v>
      </c>
      <c r="BE193" s="1225">
        <f t="shared" si="262"/>
        <v>-211.3125</v>
      </c>
      <c r="BF193" s="1225">
        <f t="shared" si="262"/>
        <v>-252.90000000000003</v>
      </c>
      <c r="BG193" s="1225">
        <f t="shared" si="262"/>
        <v>-258</v>
      </c>
      <c r="BH193" s="1225">
        <f t="shared" si="262"/>
        <v>-300</v>
      </c>
      <c r="BI193" s="1225">
        <f t="shared" si="262"/>
        <v>-170</v>
      </c>
      <c r="BJ193" s="1225">
        <f t="shared" si="262"/>
        <v>-861.75</v>
      </c>
      <c r="BK193" s="1225">
        <f t="shared" si="262"/>
        <v>-78.641249999999999</v>
      </c>
      <c r="BL193" s="1225">
        <f t="shared" si="262"/>
        <v>-414.74166666666656</v>
      </c>
      <c r="BM193" s="1225">
        <f t="shared" si="262"/>
        <v>-4613.7124999999996</v>
      </c>
      <c r="BN193" s="1225">
        <f t="shared" si="261"/>
        <v>-313.625</v>
      </c>
      <c r="BO193" s="1225">
        <f t="shared" si="261"/>
        <v>-4978.5184523809512</v>
      </c>
      <c r="BP193" s="1225">
        <f t="shared" si="261"/>
        <v>0</v>
      </c>
      <c r="BQ193" s="1225">
        <f t="shared" si="261"/>
        <v>-175.65625</v>
      </c>
      <c r="BR193" s="1225">
        <f t="shared" si="261"/>
        <v>-350</v>
      </c>
      <c r="BS193" s="1225">
        <f t="shared" si="261"/>
        <v>-170</v>
      </c>
      <c r="BT193" s="1225">
        <f t="shared" si="261"/>
        <v>-475.90000000000015</v>
      </c>
      <c r="BU193" s="1225">
        <f t="shared" si="261"/>
        <v>-500</v>
      </c>
      <c r="BV193" s="1225">
        <f t="shared" si="261"/>
        <v>-1000</v>
      </c>
      <c r="BW193" s="1225">
        <f t="shared" si="261"/>
        <v>-2181.8187500000004</v>
      </c>
      <c r="BX193" s="1225">
        <f t="shared" si="261"/>
        <v>-234.07499999999993</v>
      </c>
      <c r="BY193" s="1225">
        <f t="shared" si="261"/>
        <v>0</v>
      </c>
      <c r="BZ193" s="1224">
        <f t="shared" si="261"/>
        <v>-357.34178571428572</v>
      </c>
      <c r="CA193" s="1224">
        <f t="shared" si="261"/>
        <v>-102.79500000000007</v>
      </c>
      <c r="CB193" s="1224">
        <f t="shared" si="261"/>
        <v>-176.73750000000007</v>
      </c>
      <c r="CC193" s="1224">
        <f t="shared" si="261"/>
        <v>0</v>
      </c>
      <c r="CD193" s="1227">
        <f t="shared" si="261"/>
        <v>-13463.8125</v>
      </c>
      <c r="CE193" s="1227">
        <f t="shared" si="261"/>
        <v>-6059.5982142857101</v>
      </c>
      <c r="CF193" s="1227">
        <f t="shared" si="261"/>
        <v>-258</v>
      </c>
      <c r="CG193" s="1227">
        <f t="shared" si="263"/>
        <v>-2426.3549999999987</v>
      </c>
      <c r="CH193" s="1227">
        <f t="shared" si="263"/>
        <v>-912.75</v>
      </c>
      <c r="CI193" s="1227">
        <f t="shared" si="263"/>
        <v>-250</v>
      </c>
      <c r="CJ193" s="1227">
        <f t="shared" si="263"/>
        <v>-200.00000000000003</v>
      </c>
      <c r="CK193" s="1224">
        <f t="shared" si="263"/>
        <v>-45.771428571428601</v>
      </c>
      <c r="CL193" s="1224">
        <f t="shared" si="263"/>
        <v>-370.36428571428576</v>
      </c>
      <c r="CM193" s="1224">
        <f t="shared" si="263"/>
        <v>-431.78000000000031</v>
      </c>
      <c r="CN193" s="1224">
        <f t="shared" si="263"/>
        <v>-1276.8049999999998</v>
      </c>
      <c r="CO193" s="1224">
        <f t="shared" si="263"/>
        <v>-57.599999999999966</v>
      </c>
      <c r="CP193" s="1226">
        <f t="shared" si="263"/>
        <v>-426.6875</v>
      </c>
      <c r="CQ193" s="1226">
        <f t="shared" si="263"/>
        <v>-149.99999999999997</v>
      </c>
      <c r="CR193" s="1233">
        <f t="shared" si="263"/>
        <v>-480.4375</v>
      </c>
      <c r="CS193" s="1233">
        <f t="shared" si="263"/>
        <v>-150</v>
      </c>
      <c r="CT193" s="1224">
        <f t="shared" si="263"/>
        <v>-586.95000000000005</v>
      </c>
      <c r="CU193" s="1224">
        <f t="shared" si="263"/>
        <v>-2089.3950000000004</v>
      </c>
      <c r="CV193" s="1224">
        <f t="shared" si="263"/>
        <v>-113.85000000000001</v>
      </c>
      <c r="CW193" s="1225">
        <f t="shared" si="263"/>
        <v>-1025.3319999999992</v>
      </c>
      <c r="CX193" s="1226">
        <f t="shared" si="263"/>
        <v>-99.225000000000023</v>
      </c>
      <c r="CY193" s="1226">
        <f t="shared" si="263"/>
        <v>-1695.2862499999994</v>
      </c>
      <c r="CZ193" s="1224">
        <f t="shared" si="263"/>
        <v>-298.10249999999991</v>
      </c>
      <c r="DA193" s="1233">
        <f t="shared" si="263"/>
        <v>-1633.1968749999996</v>
      </c>
      <c r="DB193" s="1224">
        <f t="shared" si="263"/>
        <v>-3233.4461309523804</v>
      </c>
      <c r="DC193" s="1224">
        <f t="shared" si="263"/>
        <v>-5484.2124999999996</v>
      </c>
      <c r="DD193" s="1224">
        <f t="shared" si="263"/>
        <v>-1100</v>
      </c>
      <c r="DE193" s="1224">
        <f t="shared" si="263"/>
        <v>-230</v>
      </c>
      <c r="DF193" s="1224">
        <f t="shared" si="263"/>
        <v>-1518</v>
      </c>
      <c r="DG193" s="1224">
        <f t="shared" si="263"/>
        <v>-47.099999999999994</v>
      </c>
      <c r="DH193" s="1224">
        <f t="shared" si="263"/>
        <v>-499.76250000000005</v>
      </c>
      <c r="DI193" s="1224">
        <f t="shared" si="263"/>
        <v>-597.9375</v>
      </c>
      <c r="DJ193" s="1233">
        <f t="shared" si="263"/>
        <v>0</v>
      </c>
      <c r="DK193" s="1224">
        <f t="shared" si="263"/>
        <v>-1031.5</v>
      </c>
      <c r="DL193" s="1224"/>
      <c r="DM193" s="1224"/>
      <c r="DN193" s="1224"/>
      <c r="DO193" s="1224">
        <f t="shared" si="259"/>
        <v>-71.880952380952408</v>
      </c>
      <c r="DP193" s="1225">
        <f t="shared" si="263"/>
        <v>-909.75</v>
      </c>
      <c r="DQ193" s="1228">
        <f t="shared" si="263"/>
        <v>0</v>
      </c>
      <c r="DR193" s="1238">
        <f t="shared" si="263"/>
        <v>0</v>
      </c>
      <c r="DS193" s="1238">
        <f t="shared" si="263"/>
        <v>0</v>
      </c>
      <c r="DT193" s="1228"/>
      <c r="DU193" s="1238">
        <f t="shared" si="260"/>
        <v>0</v>
      </c>
      <c r="DV193" s="1236">
        <f t="shared" si="263"/>
        <v>0</v>
      </c>
      <c r="DW193" s="1239">
        <f t="shared" si="255"/>
        <v>-138520.03220238094</v>
      </c>
      <c r="DX193" s="1240" t="str">
        <f t="shared" si="264"/>
        <v>Отклонение между Планом производства и Заявкой на производство на ближайшие 11-17 дней, кг</v>
      </c>
      <c r="DY193" s="659"/>
    </row>
    <row r="194" spans="1:129" ht="27.6" customHeight="1">
      <c r="A194" s="1241" t="s">
        <v>678</v>
      </c>
      <c r="B194" s="1224">
        <f t="shared" si="262"/>
        <v>-2746.3450000000003</v>
      </c>
      <c r="C194" s="1224">
        <f t="shared" si="262"/>
        <v>-203.67500000000004</v>
      </c>
      <c r="D194" s="1224">
        <f t="shared" si="262"/>
        <v>-2165.6575000000007</v>
      </c>
      <c r="E194" s="1224">
        <f t="shared" si="262"/>
        <v>-270</v>
      </c>
      <c r="F194" s="1224">
        <f t="shared" si="262"/>
        <v>-3720.6285714285718</v>
      </c>
      <c r="G194" s="1225">
        <f>G179-G164</f>
        <v>-114</v>
      </c>
      <c r="H194" s="1225">
        <f t="shared" si="262"/>
        <v>-500.00000000000006</v>
      </c>
      <c r="I194" s="1225">
        <f t="shared" si="262"/>
        <v>-660.05250000000035</v>
      </c>
      <c r="J194" s="1225">
        <f t="shared" si="262"/>
        <v>-1387.6106666666662</v>
      </c>
      <c r="K194" s="1225">
        <f t="shared" si="262"/>
        <v>-254.35000000000002</v>
      </c>
      <c r="L194" s="1225">
        <f t="shared" si="262"/>
        <v>-568.703125</v>
      </c>
      <c r="M194" s="1225">
        <f t="shared" si="262"/>
        <v>0</v>
      </c>
      <c r="N194" s="1226">
        <f t="shared" si="262"/>
        <v>-1643.1824999999999</v>
      </c>
      <c r="O194" s="1226">
        <f t="shared" si="262"/>
        <v>-331.75124999999997</v>
      </c>
      <c r="P194" s="1227">
        <f t="shared" si="262"/>
        <v>-566.84000000000015</v>
      </c>
      <c r="Q194" s="1228">
        <f t="shared" si="262"/>
        <v>-767.76000000000022</v>
      </c>
      <c r="R194" s="1228">
        <f t="shared" si="262"/>
        <v>-1022.2800000000001</v>
      </c>
      <c r="S194" s="1229">
        <f t="shared" si="262"/>
        <v>-19849.591666666674</v>
      </c>
      <c r="T194" s="1230">
        <f t="shared" si="262"/>
        <v>-477.84910714285701</v>
      </c>
      <c r="U194" s="1231">
        <f t="shared" si="262"/>
        <v>-1950.7650000000001</v>
      </c>
      <c r="V194" s="1232">
        <f t="shared" si="262"/>
        <v>-1161.3299999999995</v>
      </c>
      <c r="W194" s="1232">
        <f t="shared" si="262"/>
        <v>-70</v>
      </c>
      <c r="X194" s="1232">
        <f t="shared" si="262"/>
        <v>-298.94999999999993</v>
      </c>
      <c r="Y194" s="1233">
        <f t="shared" si="262"/>
        <v>-2442.4537500000006</v>
      </c>
      <c r="Z194" s="1225">
        <f t="shared" si="262"/>
        <v>-203.12999999999988</v>
      </c>
      <c r="AA194" s="1224">
        <f t="shared" si="262"/>
        <v>-2414.0773333333327</v>
      </c>
      <c r="AB194" s="1224">
        <f t="shared" si="262"/>
        <v>-589.59999999999991</v>
      </c>
      <c r="AC194" s="1224">
        <f t="shared" si="262"/>
        <v>-167.03999999999996</v>
      </c>
      <c r="AD194" s="1224">
        <f t="shared" si="262"/>
        <v>-1707.15</v>
      </c>
      <c r="AE194" s="1224">
        <f t="shared" si="262"/>
        <v>-150</v>
      </c>
      <c r="AF194" s="1224">
        <f t="shared" si="262"/>
        <v>-500</v>
      </c>
      <c r="AG194" s="1224">
        <f t="shared" si="262"/>
        <v>-1304.9626666666672</v>
      </c>
      <c r="AH194" s="1224">
        <f t="shared" si="262"/>
        <v>-337.02600000000007</v>
      </c>
      <c r="AI194" s="1224">
        <f t="shared" si="262"/>
        <v>-4525.0499999999993</v>
      </c>
      <c r="AJ194" s="1224">
        <f t="shared" si="262"/>
        <v>0</v>
      </c>
      <c r="AK194" s="1224">
        <f t="shared" si="262"/>
        <v>-1915.2000000000003</v>
      </c>
      <c r="AL194" s="1224">
        <f t="shared" si="262"/>
        <v>-638.59500000000025</v>
      </c>
      <c r="AM194" s="1227">
        <f t="shared" si="262"/>
        <v>-4781.4957142857202</v>
      </c>
      <c r="AN194" s="1227">
        <f t="shared" si="262"/>
        <v>-178.19999999999993</v>
      </c>
      <c r="AO194" s="1227">
        <f t="shared" si="262"/>
        <v>-2353.5</v>
      </c>
      <c r="AP194" s="1227">
        <f t="shared" si="262"/>
        <v>-55.950000000000024</v>
      </c>
      <c r="AQ194" s="1225">
        <f t="shared" si="262"/>
        <v>-1177.1750000000011</v>
      </c>
      <c r="AR194" s="1234">
        <f t="shared" si="262"/>
        <v>-292.09700000000009</v>
      </c>
      <c r="AS194" s="1234">
        <f t="shared" si="262"/>
        <v>-94.813750000000027</v>
      </c>
      <c r="AT194" s="1234">
        <f t="shared" si="262"/>
        <v>-104.26499999999996</v>
      </c>
      <c r="AU194" s="1234">
        <f t="shared" si="262"/>
        <v>-36.721250000000012</v>
      </c>
      <c r="AV194" s="1234">
        <f t="shared" si="262"/>
        <v>0</v>
      </c>
      <c r="AW194" s="1235">
        <f t="shared" si="262"/>
        <v>0</v>
      </c>
      <c r="AX194" s="1236">
        <f t="shared" si="262"/>
        <v>0</v>
      </c>
      <c r="AY194" s="1237">
        <f t="shared" si="262"/>
        <v>-4677.8206666666665</v>
      </c>
      <c r="AZ194" s="1224">
        <f t="shared" si="262"/>
        <v>-356.87000000000012</v>
      </c>
      <c r="BA194" s="1224">
        <f t="shared" si="262"/>
        <v>-670.78125</v>
      </c>
      <c r="BB194" s="1224">
        <f t="shared" si="262"/>
        <v>-2719.9386904761905</v>
      </c>
      <c r="BC194" s="1225">
        <f t="shared" si="262"/>
        <v>-420</v>
      </c>
      <c r="BD194" s="1225">
        <f t="shared" si="262"/>
        <v>-800</v>
      </c>
      <c r="BE194" s="1225">
        <f t="shared" si="262"/>
        <v>-211.3125</v>
      </c>
      <c r="BF194" s="1225">
        <f t="shared" si="262"/>
        <v>-252.90000000000003</v>
      </c>
      <c r="BG194" s="1225">
        <f t="shared" si="262"/>
        <v>-274.19999999999993</v>
      </c>
      <c r="BH194" s="1225">
        <f t="shared" si="262"/>
        <v>-300</v>
      </c>
      <c r="BI194" s="1225">
        <f t="shared" si="262"/>
        <v>-170</v>
      </c>
      <c r="BJ194" s="1225">
        <f t="shared" si="262"/>
        <v>-861.75</v>
      </c>
      <c r="BK194" s="1225">
        <f t="shared" si="262"/>
        <v>-78.641249999999971</v>
      </c>
      <c r="BL194" s="1225">
        <f t="shared" si="262"/>
        <v>-414.74166666666679</v>
      </c>
      <c r="BM194" s="1225">
        <f t="shared" si="262"/>
        <v>-3113.7124999999996</v>
      </c>
      <c r="BN194" s="1225">
        <f t="shared" si="261"/>
        <v>-313.625</v>
      </c>
      <c r="BO194" s="1225">
        <f t="shared" si="261"/>
        <v>-5727.9184523809508</v>
      </c>
      <c r="BP194" s="1225">
        <f t="shared" si="261"/>
        <v>0</v>
      </c>
      <c r="BQ194" s="1225">
        <f t="shared" si="261"/>
        <v>-175.65625</v>
      </c>
      <c r="BR194" s="1225">
        <f t="shared" si="261"/>
        <v>-350</v>
      </c>
      <c r="BS194" s="1225">
        <f t="shared" si="261"/>
        <v>-170</v>
      </c>
      <c r="BT194" s="1225">
        <f t="shared" si="261"/>
        <v>-475.90000000000003</v>
      </c>
      <c r="BU194" s="1225">
        <f t="shared" si="261"/>
        <v>-500</v>
      </c>
      <c r="BV194" s="1225">
        <f t="shared" si="261"/>
        <v>-1000</v>
      </c>
      <c r="BW194" s="1225">
        <f t="shared" si="261"/>
        <v>-2181.8187499999985</v>
      </c>
      <c r="BX194" s="1225">
        <f t="shared" si="261"/>
        <v>-234.07499999999993</v>
      </c>
      <c r="BY194" s="1225">
        <f t="shared" si="261"/>
        <v>0</v>
      </c>
      <c r="BZ194" s="1224">
        <f t="shared" si="261"/>
        <v>-357.34178571428595</v>
      </c>
      <c r="CA194" s="1224">
        <f t="shared" si="261"/>
        <v>-102.79500000000007</v>
      </c>
      <c r="CB194" s="1224">
        <f t="shared" si="261"/>
        <v>-566.73749999999984</v>
      </c>
      <c r="CC194" s="1224">
        <f t="shared" si="261"/>
        <v>0</v>
      </c>
      <c r="CD194" s="1227">
        <f t="shared" si="261"/>
        <v>-13463.8125</v>
      </c>
      <c r="CE194" s="1227">
        <f t="shared" si="261"/>
        <v>-8059.9315476190459</v>
      </c>
      <c r="CF194" s="1227">
        <f t="shared" si="261"/>
        <v>-258</v>
      </c>
      <c r="CG194" s="1227">
        <f t="shared" si="263"/>
        <v>-2426.3549999999996</v>
      </c>
      <c r="CH194" s="1227">
        <f t="shared" si="263"/>
        <v>-912.75</v>
      </c>
      <c r="CI194" s="1227">
        <f t="shared" si="263"/>
        <v>-250</v>
      </c>
      <c r="CJ194" s="1227">
        <f t="shared" si="263"/>
        <v>-199.99999999999997</v>
      </c>
      <c r="CK194" s="1224">
        <f t="shared" si="263"/>
        <v>-255</v>
      </c>
      <c r="CL194" s="1224">
        <f t="shared" si="263"/>
        <v>-610.3642857142861</v>
      </c>
      <c r="CM194" s="1224">
        <f t="shared" si="263"/>
        <v>-671.77999999999986</v>
      </c>
      <c r="CN194" s="1224">
        <f t="shared" si="263"/>
        <v>-717.90499999999975</v>
      </c>
      <c r="CO194" s="1224">
        <f t="shared" si="263"/>
        <v>-57.600000000000023</v>
      </c>
      <c r="CP194" s="1226">
        <f t="shared" si="263"/>
        <v>-426.6875</v>
      </c>
      <c r="CQ194" s="1226">
        <f t="shared" si="263"/>
        <v>-150.00000000000003</v>
      </c>
      <c r="CR194" s="1233">
        <f t="shared" si="263"/>
        <v>-480.4375</v>
      </c>
      <c r="CS194" s="1233">
        <f t="shared" si="263"/>
        <v>-150</v>
      </c>
      <c r="CT194" s="1224">
        <f t="shared" si="263"/>
        <v>-5402.95</v>
      </c>
      <c r="CU194" s="1224">
        <f t="shared" si="263"/>
        <v>-2089.3949999999995</v>
      </c>
      <c r="CV194" s="1224">
        <f t="shared" si="263"/>
        <v>-113.84999999999998</v>
      </c>
      <c r="CW194" s="1225">
        <f t="shared" si="263"/>
        <v>-1025.6653333333327</v>
      </c>
      <c r="CX194" s="1226">
        <f t="shared" si="263"/>
        <v>-99.225000000000051</v>
      </c>
      <c r="CY194" s="1226">
        <f t="shared" si="263"/>
        <v>-1695.2862499999999</v>
      </c>
      <c r="CZ194" s="1224">
        <f t="shared" si="263"/>
        <v>-298.10250000000002</v>
      </c>
      <c r="DA194" s="1233">
        <f t="shared" si="263"/>
        <v>-1632.8635416666675</v>
      </c>
      <c r="DB194" s="1224">
        <f t="shared" si="263"/>
        <v>-3587.6336309523813</v>
      </c>
      <c r="DC194" s="1224">
        <f t="shared" si="263"/>
        <v>-5001.4624999999978</v>
      </c>
      <c r="DD194" s="1224">
        <f t="shared" si="263"/>
        <v>-1100</v>
      </c>
      <c r="DE194" s="1224">
        <f t="shared" si="263"/>
        <v>-230</v>
      </c>
      <c r="DF194" s="1224">
        <f t="shared" si="263"/>
        <v>-1518</v>
      </c>
      <c r="DG194" s="1224">
        <f t="shared" si="263"/>
        <v>-47.100000000000023</v>
      </c>
      <c r="DH194" s="1224">
        <f t="shared" si="263"/>
        <v>-499.76249999999982</v>
      </c>
      <c r="DI194" s="1224">
        <f t="shared" si="263"/>
        <v>-447.93749999999977</v>
      </c>
      <c r="DJ194" s="1233">
        <f t="shared" si="263"/>
        <v>-592.77976190476147</v>
      </c>
      <c r="DK194" s="1224">
        <f t="shared" si="263"/>
        <v>-1321.75</v>
      </c>
      <c r="DL194" s="1224"/>
      <c r="DM194" s="1224"/>
      <c r="DN194" s="1224"/>
      <c r="DO194" s="1224">
        <f t="shared" si="259"/>
        <v>-277.24999999999989</v>
      </c>
      <c r="DP194" s="1225">
        <f t="shared" si="263"/>
        <v>-909.75</v>
      </c>
      <c r="DQ194" s="1228">
        <f t="shared" si="263"/>
        <v>0</v>
      </c>
      <c r="DR194" s="1238">
        <f t="shared" si="263"/>
        <v>0</v>
      </c>
      <c r="DS194" s="1238">
        <f t="shared" si="263"/>
        <v>0</v>
      </c>
      <c r="DT194" s="1228"/>
      <c r="DU194" s="1238">
        <f t="shared" si="260"/>
        <v>0</v>
      </c>
      <c r="DV194" s="1236">
        <f t="shared" si="263"/>
        <v>0</v>
      </c>
      <c r="DW194" s="1239">
        <f t="shared" si="255"/>
        <v>-151159.74746428573</v>
      </c>
      <c r="DX194" s="1240" t="str">
        <f t="shared" si="264"/>
        <v>Отклонение между Планом производства и Заявкой на производство на ближайшие 18-24 дней, кг</v>
      </c>
      <c r="DY194" s="659"/>
    </row>
    <row r="195" spans="1:129" ht="27.6" customHeight="1">
      <c r="A195" s="1241" t="s">
        <v>679</v>
      </c>
      <c r="B195" s="1224">
        <f t="shared" ref="B195:BM198" si="265">B180-B165</f>
        <v>-2746.3450000000021</v>
      </c>
      <c r="C195" s="1224">
        <f t="shared" si="265"/>
        <v>-203.67499999999998</v>
      </c>
      <c r="D195" s="1224">
        <f t="shared" si="265"/>
        <v>-1750</v>
      </c>
      <c r="E195" s="1224">
        <f t="shared" si="265"/>
        <v>-270</v>
      </c>
      <c r="F195" s="1224">
        <f t="shared" si="265"/>
        <v>-3120.6285714285691</v>
      </c>
      <c r="G195" s="1225">
        <f t="shared" si="265"/>
        <v>-114</v>
      </c>
      <c r="H195" s="1225">
        <f t="shared" si="265"/>
        <v>-499.99999999999994</v>
      </c>
      <c r="I195" s="1225">
        <f t="shared" si="265"/>
        <v>-660.05249999999967</v>
      </c>
      <c r="J195" s="1225">
        <f t="shared" si="265"/>
        <v>-1387.6106666666658</v>
      </c>
      <c r="K195" s="1225">
        <f t="shared" si="265"/>
        <v>-254.3499999999998</v>
      </c>
      <c r="L195" s="1225">
        <f t="shared" si="265"/>
        <v>-68.703125</v>
      </c>
      <c r="M195" s="1225">
        <f t="shared" si="265"/>
        <v>0</v>
      </c>
      <c r="N195" s="1226">
        <f t="shared" si="265"/>
        <v>-1600.0625</v>
      </c>
      <c r="O195" s="1226">
        <f t="shared" si="265"/>
        <v>-331.75125000000008</v>
      </c>
      <c r="P195" s="1227">
        <f t="shared" si="265"/>
        <v>-566.83999999999992</v>
      </c>
      <c r="Q195" s="1228">
        <f t="shared" si="265"/>
        <v>-767.76000000000022</v>
      </c>
      <c r="R195" s="1228">
        <f t="shared" si="265"/>
        <v>-1022.2800000000003</v>
      </c>
      <c r="S195" s="1229">
        <f t="shared" si="265"/>
        <v>-22587.471666666679</v>
      </c>
      <c r="T195" s="1230">
        <f t="shared" si="265"/>
        <v>-477.84910714285712</v>
      </c>
      <c r="U195" s="1231">
        <f t="shared" si="265"/>
        <v>-1950.7650000000006</v>
      </c>
      <c r="V195" s="1232">
        <f t="shared" si="265"/>
        <v>-1161.3300000000004</v>
      </c>
      <c r="W195" s="1232">
        <f t="shared" si="265"/>
        <v>-70.000000000000028</v>
      </c>
      <c r="X195" s="1232">
        <f t="shared" si="265"/>
        <v>-298.95000000000005</v>
      </c>
      <c r="Y195" s="1233">
        <f t="shared" si="265"/>
        <v>-2180.2937500000007</v>
      </c>
      <c r="Z195" s="1225">
        <f t="shared" si="265"/>
        <v>-203.12999999999988</v>
      </c>
      <c r="AA195" s="1224">
        <f t="shared" si="265"/>
        <v>-3464.0773333333336</v>
      </c>
      <c r="AB195" s="1224">
        <f t="shared" si="265"/>
        <v>-589.59999999999991</v>
      </c>
      <c r="AC195" s="1224">
        <f t="shared" si="265"/>
        <v>-317.03999999999991</v>
      </c>
      <c r="AD195" s="1224">
        <f t="shared" si="265"/>
        <v>-1707.1499999999996</v>
      </c>
      <c r="AE195" s="1224">
        <f t="shared" si="265"/>
        <v>-150.00000000000006</v>
      </c>
      <c r="AF195" s="1224">
        <f t="shared" si="265"/>
        <v>-500</v>
      </c>
      <c r="AG195" s="1224">
        <f t="shared" si="265"/>
        <v>-1304.9626666666682</v>
      </c>
      <c r="AH195" s="1224">
        <f t="shared" si="265"/>
        <v>-787.02600000000029</v>
      </c>
      <c r="AI195" s="1224">
        <f t="shared" si="265"/>
        <v>-4525.0499999999993</v>
      </c>
      <c r="AJ195" s="1224">
        <f t="shared" si="265"/>
        <v>0</v>
      </c>
      <c r="AK195" s="1224">
        <f t="shared" si="265"/>
        <v>-1915.1999999999985</v>
      </c>
      <c r="AL195" s="1224">
        <f t="shared" si="265"/>
        <v>-638.59500000000025</v>
      </c>
      <c r="AM195" s="1227">
        <f t="shared" si="265"/>
        <v>-4757.6457142857107</v>
      </c>
      <c r="AN195" s="1227">
        <f t="shared" si="265"/>
        <v>-178.2</v>
      </c>
      <c r="AO195" s="1227">
        <f t="shared" si="265"/>
        <v>-2353.5</v>
      </c>
      <c r="AP195" s="1227">
        <f t="shared" si="265"/>
        <v>-55.949999999999982</v>
      </c>
      <c r="AQ195" s="1225">
        <f t="shared" si="265"/>
        <v>-1177.1750000000006</v>
      </c>
      <c r="AR195" s="1234">
        <f t="shared" si="265"/>
        <v>-263.05699999999979</v>
      </c>
      <c r="AS195" s="1234">
        <f t="shared" si="265"/>
        <v>-94.813750000000056</v>
      </c>
      <c r="AT195" s="1234">
        <f t="shared" si="265"/>
        <v>-104.26499999999999</v>
      </c>
      <c r="AU195" s="1234">
        <f t="shared" si="265"/>
        <v>-36.721250000000012</v>
      </c>
      <c r="AV195" s="1234">
        <f t="shared" si="265"/>
        <v>0</v>
      </c>
      <c r="AW195" s="1235">
        <f t="shared" si="265"/>
        <v>0</v>
      </c>
      <c r="AX195" s="1236">
        <f t="shared" si="265"/>
        <v>0</v>
      </c>
      <c r="AY195" s="1237">
        <f t="shared" si="265"/>
        <v>-4477.8206666666665</v>
      </c>
      <c r="AZ195" s="1224">
        <f t="shared" si="265"/>
        <v>-356.87</v>
      </c>
      <c r="BA195" s="1224">
        <f t="shared" si="265"/>
        <v>-670.78125</v>
      </c>
      <c r="BB195" s="1224">
        <f t="shared" si="265"/>
        <v>-2719.9386904761905</v>
      </c>
      <c r="BC195" s="1225">
        <f t="shared" si="265"/>
        <v>-420</v>
      </c>
      <c r="BD195" s="1225">
        <f t="shared" si="265"/>
        <v>-800</v>
      </c>
      <c r="BE195" s="1225">
        <f t="shared" si="265"/>
        <v>-211.3125</v>
      </c>
      <c r="BF195" s="1225">
        <f t="shared" si="265"/>
        <v>-252.90000000000009</v>
      </c>
      <c r="BG195" s="1225">
        <f t="shared" si="265"/>
        <v>-274.20000000000005</v>
      </c>
      <c r="BH195" s="1225">
        <f t="shared" si="265"/>
        <v>-300.00000000000011</v>
      </c>
      <c r="BI195" s="1225">
        <f t="shared" si="265"/>
        <v>-170</v>
      </c>
      <c r="BJ195" s="1225">
        <f t="shared" si="265"/>
        <v>-861.75</v>
      </c>
      <c r="BK195" s="1225">
        <f t="shared" si="265"/>
        <v>-78.641249999999999</v>
      </c>
      <c r="BL195" s="1225">
        <f t="shared" si="265"/>
        <v>-114.74166666666679</v>
      </c>
      <c r="BM195" s="1225">
        <f t="shared" si="265"/>
        <v>-1256.3791666666657</v>
      </c>
      <c r="BN195" s="1225">
        <f t="shared" si="261"/>
        <v>-157.375</v>
      </c>
      <c r="BO195" s="1225">
        <f t="shared" si="261"/>
        <v>-5036.3184523809541</v>
      </c>
      <c r="BP195" s="1225">
        <f t="shared" si="261"/>
        <v>0</v>
      </c>
      <c r="BQ195" s="1225">
        <f t="shared" si="261"/>
        <v>-175.65625</v>
      </c>
      <c r="BR195" s="1225">
        <f t="shared" si="261"/>
        <v>-350</v>
      </c>
      <c r="BS195" s="1225">
        <f t="shared" si="261"/>
        <v>-170</v>
      </c>
      <c r="BT195" s="1225">
        <f t="shared" si="261"/>
        <v>-475.90000000000015</v>
      </c>
      <c r="BU195" s="1225">
        <f t="shared" si="261"/>
        <v>-500</v>
      </c>
      <c r="BV195" s="1225">
        <f t="shared" si="261"/>
        <v>-1000</v>
      </c>
      <c r="BW195" s="1225">
        <f t="shared" si="261"/>
        <v>-2455.6937500000031</v>
      </c>
      <c r="BX195" s="1225">
        <f t="shared" si="261"/>
        <v>-234.07500000000005</v>
      </c>
      <c r="BY195" s="1225">
        <f t="shared" si="261"/>
        <v>0</v>
      </c>
      <c r="BZ195" s="1224">
        <f t="shared" si="261"/>
        <v>-357.34178571428629</v>
      </c>
      <c r="CA195" s="1224">
        <f t="shared" si="261"/>
        <v>-102.79500000000007</v>
      </c>
      <c r="CB195" s="1224">
        <f t="shared" si="261"/>
        <v>-528.76607142857154</v>
      </c>
      <c r="CC195" s="1224">
        <f t="shared" si="261"/>
        <v>0</v>
      </c>
      <c r="CD195" s="1227">
        <f t="shared" si="261"/>
        <v>-13413.8125</v>
      </c>
      <c r="CE195" s="1227">
        <f t="shared" si="261"/>
        <v>-8010.4315476190459</v>
      </c>
      <c r="CF195" s="1227">
        <f t="shared" si="261"/>
        <v>-258.00000000000023</v>
      </c>
      <c r="CG195" s="1227">
        <f t="shared" si="263"/>
        <v>-2426.3549999999996</v>
      </c>
      <c r="CH195" s="1227">
        <f t="shared" si="263"/>
        <v>-912.75000000000045</v>
      </c>
      <c r="CI195" s="1227">
        <f t="shared" si="263"/>
        <v>-250</v>
      </c>
      <c r="CJ195" s="1227">
        <f t="shared" si="263"/>
        <v>-200.00000000000003</v>
      </c>
      <c r="CK195" s="1224">
        <f t="shared" si="263"/>
        <v>-254.99999999999989</v>
      </c>
      <c r="CL195" s="1224">
        <f t="shared" si="263"/>
        <v>-760.36428571428519</v>
      </c>
      <c r="CM195" s="1224">
        <f t="shared" si="263"/>
        <v>-621.80500000000018</v>
      </c>
      <c r="CN195" s="1224">
        <f t="shared" si="263"/>
        <v>-1167.9049999999997</v>
      </c>
      <c r="CO195" s="1224">
        <f t="shared" si="263"/>
        <v>-57.599999999999966</v>
      </c>
      <c r="CP195" s="1226">
        <f t="shared" si="263"/>
        <v>-426.6875</v>
      </c>
      <c r="CQ195" s="1226">
        <f t="shared" si="263"/>
        <v>-149.99999999999997</v>
      </c>
      <c r="CR195" s="1233">
        <f t="shared" si="263"/>
        <v>-480.4375</v>
      </c>
      <c r="CS195" s="1233">
        <f t="shared" si="263"/>
        <v>-150</v>
      </c>
      <c r="CT195" s="1224">
        <f t="shared" si="263"/>
        <v>-536.95000000000073</v>
      </c>
      <c r="CU195" s="1224">
        <f t="shared" si="263"/>
        <v>-2089.3950000000004</v>
      </c>
      <c r="CV195" s="1224">
        <f t="shared" si="263"/>
        <v>-113.85000000000001</v>
      </c>
      <c r="CW195" s="1225">
        <f t="shared" si="263"/>
        <v>-1025.6653333333331</v>
      </c>
      <c r="CX195" s="1226">
        <f t="shared" si="263"/>
        <v>-99.224999999999994</v>
      </c>
      <c r="CY195" s="1226">
        <f t="shared" si="263"/>
        <v>-1695.2862499999994</v>
      </c>
      <c r="CZ195" s="1224">
        <f t="shared" si="263"/>
        <v>-298.10249999999991</v>
      </c>
      <c r="DA195" s="1233">
        <f t="shared" si="263"/>
        <v>-1532.8635416666675</v>
      </c>
      <c r="DB195" s="1224">
        <f t="shared" si="263"/>
        <v>-3587.6336309523804</v>
      </c>
      <c r="DC195" s="1224">
        <f t="shared" si="263"/>
        <v>-4749.4625000000015</v>
      </c>
      <c r="DD195" s="1224">
        <f t="shared" si="263"/>
        <v>-1100</v>
      </c>
      <c r="DE195" s="1224">
        <f t="shared" si="263"/>
        <v>-230</v>
      </c>
      <c r="DF195" s="1224">
        <f t="shared" si="263"/>
        <v>-1518</v>
      </c>
      <c r="DG195" s="1224">
        <f t="shared" si="263"/>
        <v>-47.099999999999994</v>
      </c>
      <c r="DH195" s="1224">
        <f t="shared" si="263"/>
        <v>-499.76250000000027</v>
      </c>
      <c r="DI195" s="1224">
        <f t="shared" si="263"/>
        <v>-447.93750000000023</v>
      </c>
      <c r="DJ195" s="1233">
        <f t="shared" si="263"/>
        <v>-1058.25</v>
      </c>
      <c r="DK195" s="1224">
        <f>DK180-DK165</f>
        <v>-1321.75</v>
      </c>
      <c r="DL195" s="1224"/>
      <c r="DM195" s="1224"/>
      <c r="DN195" s="1224"/>
      <c r="DO195" s="1224">
        <f t="shared" si="259"/>
        <v>-277.25</v>
      </c>
      <c r="DP195" s="1225">
        <f>DP180-DP165</f>
        <v>-909.74999999999955</v>
      </c>
      <c r="DQ195" s="1228">
        <f t="shared" si="263"/>
        <v>0</v>
      </c>
      <c r="DR195" s="1238">
        <f t="shared" si="263"/>
        <v>0</v>
      </c>
      <c r="DS195" s="1238">
        <f t="shared" si="263"/>
        <v>0</v>
      </c>
      <c r="DT195" s="1228"/>
      <c r="DU195" s="1238">
        <f t="shared" si="260"/>
        <v>0</v>
      </c>
      <c r="DV195" s="1236">
        <f t="shared" si="263"/>
        <v>0</v>
      </c>
      <c r="DW195" s="1239">
        <f t="shared" si="255"/>
        <v>-146402.51544047621</v>
      </c>
      <c r="DX195" s="1240" t="str">
        <f t="shared" si="264"/>
        <v>Отклонение между Планом производства и Заявкой на производство на ближайшие 25-31 дней, кг</v>
      </c>
      <c r="DY195" s="659"/>
    </row>
    <row r="196" spans="1:129" ht="27.6" customHeight="1">
      <c r="A196" s="1241" t="s">
        <v>680</v>
      </c>
      <c r="B196" s="1224">
        <f t="shared" si="265"/>
        <v>-2746.3450000000012</v>
      </c>
      <c r="C196" s="1224">
        <f t="shared" si="265"/>
        <v>-203.67500000000004</v>
      </c>
      <c r="D196" s="1224">
        <f t="shared" si="265"/>
        <v>-1750.0000000000005</v>
      </c>
      <c r="E196" s="1224">
        <f t="shared" si="265"/>
        <v>-270</v>
      </c>
      <c r="F196" s="1224">
        <f t="shared" si="265"/>
        <v>-3120.6285714285682</v>
      </c>
      <c r="G196" s="1225">
        <f t="shared" si="265"/>
        <v>-114</v>
      </c>
      <c r="H196" s="1225">
        <f t="shared" si="265"/>
        <v>-500.00000000000006</v>
      </c>
      <c r="I196" s="1225">
        <f t="shared" si="265"/>
        <v>-660.0524999999999</v>
      </c>
      <c r="J196" s="1225">
        <f t="shared" si="265"/>
        <v>-1287.6106666666653</v>
      </c>
      <c r="K196" s="1225">
        <f t="shared" si="265"/>
        <v>-254.34999999999991</v>
      </c>
      <c r="L196" s="1225">
        <f t="shared" si="265"/>
        <v>-68.703125</v>
      </c>
      <c r="M196" s="1225">
        <f t="shared" si="265"/>
        <v>0</v>
      </c>
      <c r="N196" s="1226">
        <f t="shared" si="265"/>
        <v>-1600.0625</v>
      </c>
      <c r="O196" s="1226">
        <f t="shared" si="265"/>
        <v>-331.75124999999997</v>
      </c>
      <c r="P196" s="1227">
        <f t="shared" si="265"/>
        <v>-566.84000000000015</v>
      </c>
      <c r="Q196" s="1228">
        <f t="shared" si="265"/>
        <v>-767.75999999999931</v>
      </c>
      <c r="R196" s="1228">
        <f t="shared" si="265"/>
        <v>-1022.2800000000005</v>
      </c>
      <c r="S196" s="1229">
        <f t="shared" si="265"/>
        <v>-14287.471666666679</v>
      </c>
      <c r="T196" s="1230">
        <f t="shared" si="265"/>
        <v>-477.84910714285678</v>
      </c>
      <c r="U196" s="1231">
        <f t="shared" si="265"/>
        <v>-1950.7650000000001</v>
      </c>
      <c r="V196" s="1232">
        <f t="shared" si="265"/>
        <v>-1161.3299999999995</v>
      </c>
      <c r="W196" s="1232">
        <f t="shared" si="265"/>
        <v>-70</v>
      </c>
      <c r="X196" s="1232">
        <f t="shared" si="265"/>
        <v>-298.95000000000005</v>
      </c>
      <c r="Y196" s="1233">
        <f t="shared" si="265"/>
        <v>-2180.2937500000007</v>
      </c>
      <c r="Z196" s="1225">
        <f t="shared" si="265"/>
        <v>-203.13</v>
      </c>
      <c r="AA196" s="1224">
        <f t="shared" si="265"/>
        <v>-3546.4506666666666</v>
      </c>
      <c r="AB196" s="1224">
        <f t="shared" si="265"/>
        <v>-1532.5000000000005</v>
      </c>
      <c r="AC196" s="1224">
        <f t="shared" si="265"/>
        <v>-317.04000000000002</v>
      </c>
      <c r="AD196" s="1224">
        <f t="shared" si="265"/>
        <v>-1707.150000000001</v>
      </c>
      <c r="AE196" s="1224">
        <f t="shared" si="265"/>
        <v>-149.99999999999994</v>
      </c>
      <c r="AF196" s="1224">
        <f t="shared" si="265"/>
        <v>-500</v>
      </c>
      <c r="AG196" s="1224">
        <f t="shared" si="265"/>
        <v>-1304.9626666666668</v>
      </c>
      <c r="AH196" s="1224">
        <f t="shared" si="265"/>
        <v>-1287.0260000000003</v>
      </c>
      <c r="AI196" s="1224">
        <f t="shared" si="265"/>
        <v>-4525.0500000000029</v>
      </c>
      <c r="AJ196" s="1224">
        <f t="shared" si="265"/>
        <v>0</v>
      </c>
      <c r="AK196" s="1224">
        <f t="shared" si="265"/>
        <v>-1915.1999999999989</v>
      </c>
      <c r="AL196" s="1224">
        <f t="shared" si="265"/>
        <v>-638.59499999999957</v>
      </c>
      <c r="AM196" s="1227">
        <f t="shared" si="265"/>
        <v>-4757.645714285718</v>
      </c>
      <c r="AN196" s="1227">
        <f t="shared" si="265"/>
        <v>-178.2</v>
      </c>
      <c r="AO196" s="1227">
        <f t="shared" si="265"/>
        <v>-2353.5</v>
      </c>
      <c r="AP196" s="1227">
        <f t="shared" si="265"/>
        <v>-55.949999999999967</v>
      </c>
      <c r="AQ196" s="1225">
        <f t="shared" si="265"/>
        <v>-1177.1750000000006</v>
      </c>
      <c r="AR196" s="1234">
        <f t="shared" si="265"/>
        <v>-263.05700000000024</v>
      </c>
      <c r="AS196" s="1234">
        <f t="shared" si="265"/>
        <v>-94.813749999999999</v>
      </c>
      <c r="AT196" s="1234">
        <f t="shared" si="265"/>
        <v>-104.26500000000001</v>
      </c>
      <c r="AU196" s="1234">
        <f t="shared" si="265"/>
        <v>-36.721249999999998</v>
      </c>
      <c r="AV196" s="1234">
        <f t="shared" si="265"/>
        <v>0</v>
      </c>
      <c r="AW196" s="1235">
        <f t="shared" si="265"/>
        <v>0</v>
      </c>
      <c r="AX196" s="1236">
        <f t="shared" si="265"/>
        <v>0</v>
      </c>
      <c r="AY196" s="1237">
        <f t="shared" si="265"/>
        <v>-1532.3682857142849</v>
      </c>
      <c r="AZ196" s="1224">
        <f t="shared" si="265"/>
        <v>-356.87</v>
      </c>
      <c r="BA196" s="1224">
        <f t="shared" si="265"/>
        <v>-670.78125</v>
      </c>
      <c r="BB196" s="1224">
        <f t="shared" si="265"/>
        <v>-1519.9386904761895</v>
      </c>
      <c r="BC196" s="1225">
        <f t="shared" si="265"/>
        <v>-420</v>
      </c>
      <c r="BD196" s="1225">
        <f t="shared" si="265"/>
        <v>-800</v>
      </c>
      <c r="BE196" s="1225">
        <f t="shared" si="265"/>
        <v>-211.3125</v>
      </c>
      <c r="BF196" s="1225">
        <f t="shared" si="265"/>
        <v>-252.90000000000015</v>
      </c>
      <c r="BG196" s="1225">
        <f t="shared" si="265"/>
        <v>-274.19999999999993</v>
      </c>
      <c r="BH196" s="1225">
        <f t="shared" si="265"/>
        <v>-299.99999999999989</v>
      </c>
      <c r="BI196" s="1225">
        <f t="shared" si="265"/>
        <v>-170</v>
      </c>
      <c r="BJ196" s="1225">
        <f t="shared" si="265"/>
        <v>-861.75</v>
      </c>
      <c r="BK196" s="1225">
        <f t="shared" si="265"/>
        <v>-78.641250000000028</v>
      </c>
      <c r="BL196" s="1225">
        <f t="shared" si="265"/>
        <v>-174.74166666666679</v>
      </c>
      <c r="BM196" s="1225">
        <f t="shared" si="265"/>
        <v>-1256.3791666666657</v>
      </c>
      <c r="BN196" s="1225">
        <f t="shared" si="261"/>
        <v>-657.375</v>
      </c>
      <c r="BO196" s="1225">
        <f t="shared" si="261"/>
        <v>-4436.3184523809559</v>
      </c>
      <c r="BP196" s="1225">
        <f t="shared" si="261"/>
        <v>0</v>
      </c>
      <c r="BQ196" s="1225">
        <f t="shared" si="261"/>
        <v>-175.65625</v>
      </c>
      <c r="BR196" s="1225">
        <f t="shared" si="261"/>
        <v>-350</v>
      </c>
      <c r="BS196" s="1225">
        <f t="shared" si="261"/>
        <v>-170</v>
      </c>
      <c r="BT196" s="1225">
        <f t="shared" si="261"/>
        <v>-475.90000000000003</v>
      </c>
      <c r="BU196" s="1225">
        <f t="shared" si="261"/>
        <v>-500</v>
      </c>
      <c r="BV196" s="1225">
        <f t="shared" si="261"/>
        <v>-1000</v>
      </c>
      <c r="BW196" s="1225">
        <f t="shared" si="261"/>
        <v>-2455.6937499999995</v>
      </c>
      <c r="BX196" s="1225">
        <f t="shared" si="261"/>
        <v>-234.07500000000005</v>
      </c>
      <c r="BY196" s="1225">
        <f t="shared" si="261"/>
        <v>0</v>
      </c>
      <c r="BZ196" s="1224">
        <f t="shared" si="261"/>
        <v>-357.34178571428572</v>
      </c>
      <c r="CA196" s="1224">
        <f t="shared" si="261"/>
        <v>-102.79500000000098</v>
      </c>
      <c r="CB196" s="1224">
        <f t="shared" si="261"/>
        <v>-478.76607142857165</v>
      </c>
      <c r="CC196" s="1224">
        <f t="shared" si="261"/>
        <v>0</v>
      </c>
      <c r="CD196" s="1227">
        <f t="shared" si="261"/>
        <v>-13413.8125</v>
      </c>
      <c r="CE196" s="1227">
        <f t="shared" si="261"/>
        <v>-7988.2982142857145</v>
      </c>
      <c r="CF196" s="1227">
        <f t="shared" si="261"/>
        <v>-258</v>
      </c>
      <c r="CG196" s="1227">
        <f t="shared" si="263"/>
        <v>-2426.3550000000005</v>
      </c>
      <c r="CH196" s="1227">
        <f t="shared" si="263"/>
        <v>-912.74999999999955</v>
      </c>
      <c r="CI196" s="1227">
        <f t="shared" si="263"/>
        <v>-250</v>
      </c>
      <c r="CJ196" s="1227">
        <f t="shared" si="263"/>
        <v>-199.99999999999997</v>
      </c>
      <c r="CK196" s="1224">
        <f t="shared" si="263"/>
        <v>-255</v>
      </c>
      <c r="CL196" s="1224">
        <f t="shared" si="263"/>
        <v>-760.36428571428632</v>
      </c>
      <c r="CM196" s="1224">
        <f t="shared" si="263"/>
        <v>-621.80499999999995</v>
      </c>
      <c r="CN196" s="1224">
        <f t="shared" si="263"/>
        <v>-892.50500000000011</v>
      </c>
      <c r="CO196" s="1224">
        <f t="shared" si="263"/>
        <v>-57.600000000000023</v>
      </c>
      <c r="CP196" s="1226">
        <f t="shared" si="263"/>
        <v>-466.6875</v>
      </c>
      <c r="CQ196" s="1226">
        <f t="shared" si="263"/>
        <v>-150.00000000000003</v>
      </c>
      <c r="CR196" s="1233">
        <f t="shared" si="263"/>
        <v>-480.4375</v>
      </c>
      <c r="CS196" s="1233">
        <f t="shared" si="263"/>
        <v>-150</v>
      </c>
      <c r="CT196" s="1224">
        <f t="shared" si="263"/>
        <v>-536.94999999999891</v>
      </c>
      <c r="CU196" s="1224">
        <f t="shared" si="263"/>
        <v>-2089.3950000000013</v>
      </c>
      <c r="CV196" s="1224">
        <f t="shared" si="263"/>
        <v>-113.85000000000004</v>
      </c>
      <c r="CW196" s="1225">
        <f t="shared" si="263"/>
        <v>-1228.989142857143</v>
      </c>
      <c r="CX196" s="1226">
        <f t="shared" si="263"/>
        <v>-99.224999999999909</v>
      </c>
      <c r="CY196" s="1226">
        <f t="shared" si="263"/>
        <v>-915.28625000000079</v>
      </c>
      <c r="CZ196" s="1224">
        <f t="shared" si="263"/>
        <v>-298.10250000000002</v>
      </c>
      <c r="DA196" s="1233">
        <f t="shared" si="263"/>
        <v>-1485.6968750000015</v>
      </c>
      <c r="DB196" s="1224">
        <f t="shared" si="263"/>
        <v>-2579.6711309523826</v>
      </c>
      <c r="DC196" s="1224">
        <f t="shared" si="263"/>
        <v>-4732.2124999999996</v>
      </c>
      <c r="DD196" s="1224">
        <f t="shared" si="263"/>
        <v>-1100</v>
      </c>
      <c r="DE196" s="1224">
        <f t="shared" si="263"/>
        <v>-230</v>
      </c>
      <c r="DF196" s="1224">
        <f t="shared" si="263"/>
        <v>-1518.0000000000009</v>
      </c>
      <c r="DG196" s="1224">
        <f t="shared" si="263"/>
        <v>-47.099999999999994</v>
      </c>
      <c r="DH196" s="1224">
        <f t="shared" si="263"/>
        <v>-499.76249999999982</v>
      </c>
      <c r="DI196" s="1224">
        <f t="shared" si="263"/>
        <v>-447.9375</v>
      </c>
      <c r="DJ196" s="1233">
        <f t="shared" si="263"/>
        <v>-1058.25</v>
      </c>
      <c r="DK196" s="1224">
        <f t="shared" si="263"/>
        <v>-1321.75</v>
      </c>
      <c r="DL196" s="1224"/>
      <c r="DM196" s="1224"/>
      <c r="DN196" s="1224"/>
      <c r="DO196" s="1224">
        <f t="shared" si="259"/>
        <v>-277.25</v>
      </c>
      <c r="DP196" s="1225">
        <f t="shared" si="263"/>
        <v>-909.75</v>
      </c>
      <c r="DQ196" s="1228">
        <f t="shared" si="263"/>
        <v>0</v>
      </c>
      <c r="DR196" s="1238">
        <f t="shared" si="263"/>
        <v>0</v>
      </c>
      <c r="DS196" s="1238">
        <f t="shared" si="263"/>
        <v>0</v>
      </c>
      <c r="DT196" s="1228"/>
      <c r="DU196" s="1238">
        <f t="shared" si="260"/>
        <v>0</v>
      </c>
      <c r="DV196" s="1236">
        <f t="shared" si="263"/>
        <v>0</v>
      </c>
      <c r="DW196" s="1239">
        <f t="shared" si="255"/>
        <v>-133385.74770238096</v>
      </c>
      <c r="DX196" s="1240" t="str">
        <f t="shared" si="264"/>
        <v>Отклонение между Планом производства и Заявкой на производство на ближайшие 32-38 дней, кг</v>
      </c>
      <c r="DY196" s="659"/>
    </row>
    <row r="197" spans="1:129" ht="27.6" customHeight="1">
      <c r="A197" s="1241" t="s">
        <v>681</v>
      </c>
      <c r="B197" s="1242">
        <f t="shared" si="265"/>
        <v>-2746.3449999999998</v>
      </c>
      <c r="C197" s="1242">
        <f t="shared" si="265"/>
        <v>-203.67499999999998</v>
      </c>
      <c r="D197" s="1242">
        <f t="shared" si="265"/>
        <v>-2165.6574999999998</v>
      </c>
      <c r="E197" s="1242">
        <f t="shared" si="265"/>
        <v>-270</v>
      </c>
      <c r="F197" s="1242">
        <f t="shared" si="265"/>
        <v>-2120.6285714285709</v>
      </c>
      <c r="G197" s="1243">
        <f t="shared" si="265"/>
        <v>-113.99999999999999</v>
      </c>
      <c r="H197" s="1243">
        <f t="shared" si="265"/>
        <v>-500</v>
      </c>
      <c r="I197" s="1243">
        <f t="shared" si="265"/>
        <v>-660.05250000000012</v>
      </c>
      <c r="J197" s="1243">
        <f t="shared" si="265"/>
        <v>-1287.6106666666656</v>
      </c>
      <c r="K197" s="1243">
        <f t="shared" si="265"/>
        <v>-254.35000000000002</v>
      </c>
      <c r="L197" s="1243">
        <f t="shared" si="265"/>
        <v>-68.703124999999957</v>
      </c>
      <c r="M197" s="1243">
        <f t="shared" si="265"/>
        <v>0</v>
      </c>
      <c r="N197" s="1244">
        <f t="shared" si="265"/>
        <v>-770.06250000000057</v>
      </c>
      <c r="O197" s="1244">
        <f t="shared" si="265"/>
        <v>-331.75124999999991</v>
      </c>
      <c r="P197" s="1245">
        <f t="shared" si="265"/>
        <v>-566.84000000000015</v>
      </c>
      <c r="Q197" s="1246">
        <f t="shared" si="265"/>
        <v>-767.75999999999976</v>
      </c>
      <c r="R197" s="1246">
        <f t="shared" si="265"/>
        <v>-1022.2800000000002</v>
      </c>
      <c r="S197" s="1243">
        <f t="shared" si="265"/>
        <v>-19355.291666666675</v>
      </c>
      <c r="T197" s="1247">
        <f t="shared" si="265"/>
        <v>-477.84910714285712</v>
      </c>
      <c r="U197" s="1248">
        <f t="shared" si="265"/>
        <v>-1780.7650000000008</v>
      </c>
      <c r="V197" s="1249">
        <f t="shared" si="265"/>
        <v>-1161.3300000000006</v>
      </c>
      <c r="W197" s="1249">
        <f t="shared" si="265"/>
        <v>-70</v>
      </c>
      <c r="X197" s="1249">
        <f t="shared" si="265"/>
        <v>-298.95</v>
      </c>
      <c r="Y197" s="1250">
        <f t="shared" si="265"/>
        <v>-1942.4537500000006</v>
      </c>
      <c r="Z197" s="1243">
        <f t="shared" si="265"/>
        <v>-203.12999999999994</v>
      </c>
      <c r="AA197" s="1242">
        <f t="shared" si="265"/>
        <v>-3546.450666666668</v>
      </c>
      <c r="AB197" s="1242">
        <f t="shared" si="265"/>
        <v>-589.59999999999968</v>
      </c>
      <c r="AC197" s="1242">
        <f t="shared" si="265"/>
        <v>-167.04000000000002</v>
      </c>
      <c r="AD197" s="1242">
        <f t="shared" si="265"/>
        <v>-1707.1499999999999</v>
      </c>
      <c r="AE197" s="1242">
        <f t="shared" si="265"/>
        <v>-150</v>
      </c>
      <c r="AF197" s="1242">
        <f t="shared" si="265"/>
        <v>-500</v>
      </c>
      <c r="AG197" s="1242">
        <f t="shared" si="265"/>
        <v>-924.96266666666725</v>
      </c>
      <c r="AH197" s="1242">
        <f t="shared" si="265"/>
        <v>-687.02600000000007</v>
      </c>
      <c r="AI197" s="1224">
        <f t="shared" si="265"/>
        <v>-4525.05</v>
      </c>
      <c r="AJ197" s="1224">
        <f t="shared" si="265"/>
        <v>0</v>
      </c>
      <c r="AK197" s="1224">
        <f t="shared" si="265"/>
        <v>-1915.2</v>
      </c>
      <c r="AL197" s="1242">
        <f t="shared" si="265"/>
        <v>-638.59500000000014</v>
      </c>
      <c r="AM197" s="1245">
        <f t="shared" si="265"/>
        <v>-3781.4957142857133</v>
      </c>
      <c r="AN197" s="1245">
        <f t="shared" si="265"/>
        <v>-178.2</v>
      </c>
      <c r="AO197" s="1245">
        <f t="shared" si="265"/>
        <v>-2353.5</v>
      </c>
      <c r="AP197" s="1245">
        <f t="shared" si="265"/>
        <v>-55.95</v>
      </c>
      <c r="AQ197" s="1243">
        <f t="shared" si="265"/>
        <v>-1177.1750000000002</v>
      </c>
      <c r="AR197" s="1251">
        <f t="shared" si="265"/>
        <v>-91.208285714285637</v>
      </c>
      <c r="AS197" s="1251">
        <f t="shared" si="265"/>
        <v>-94.813750000000013</v>
      </c>
      <c r="AT197" s="1251">
        <f t="shared" si="265"/>
        <v>-104.26499999999999</v>
      </c>
      <c r="AU197" s="1251">
        <f t="shared" si="265"/>
        <v>-36.721249999999984</v>
      </c>
      <c r="AV197" s="1251">
        <f t="shared" si="265"/>
        <v>0</v>
      </c>
      <c r="AW197" s="1252">
        <f t="shared" si="265"/>
        <v>0</v>
      </c>
      <c r="AX197" s="1253">
        <f t="shared" si="265"/>
        <v>0</v>
      </c>
      <c r="AY197" s="1248">
        <f t="shared" si="265"/>
        <v>-2032.3682857142858</v>
      </c>
      <c r="AZ197" s="1242">
        <f t="shared" si="265"/>
        <v>-356.87</v>
      </c>
      <c r="BA197" s="1242">
        <f t="shared" si="265"/>
        <v>-670.78125</v>
      </c>
      <c r="BB197" s="1242">
        <f t="shared" si="265"/>
        <v>-1419.9386904761909</v>
      </c>
      <c r="BC197" s="1243">
        <f t="shared" si="265"/>
        <v>-420</v>
      </c>
      <c r="BD197" s="1243">
        <f t="shared" si="265"/>
        <v>-800</v>
      </c>
      <c r="BE197" s="1243">
        <f t="shared" si="265"/>
        <v>-211.3125</v>
      </c>
      <c r="BF197" s="1243">
        <f t="shared" si="265"/>
        <v>-252.90000000000003</v>
      </c>
      <c r="BG197" s="1243">
        <f t="shared" si="265"/>
        <v>-258</v>
      </c>
      <c r="BH197" s="1243">
        <f t="shared" si="265"/>
        <v>-300</v>
      </c>
      <c r="BI197" s="1243">
        <f t="shared" si="265"/>
        <v>-170</v>
      </c>
      <c r="BJ197" s="1243">
        <f t="shared" si="265"/>
        <v>-861.75</v>
      </c>
      <c r="BK197" s="1243">
        <f t="shared" si="265"/>
        <v>-78.641249999999999</v>
      </c>
      <c r="BL197" s="1243">
        <f t="shared" si="265"/>
        <v>-114.74166666666667</v>
      </c>
      <c r="BM197" s="1243">
        <f t="shared" si="265"/>
        <v>-5256.3791666666666</v>
      </c>
      <c r="BN197" s="1243">
        <f t="shared" si="261"/>
        <v>-857.375</v>
      </c>
      <c r="BO197" s="1243">
        <f t="shared" si="261"/>
        <v>-3878.5184523809512</v>
      </c>
      <c r="BP197" s="1243">
        <f t="shared" si="261"/>
        <v>0</v>
      </c>
      <c r="BQ197" s="1243">
        <f t="shared" si="261"/>
        <v>-175.65625</v>
      </c>
      <c r="BR197" s="1243">
        <f t="shared" si="261"/>
        <v>-350</v>
      </c>
      <c r="BS197" s="1243">
        <f t="shared" si="261"/>
        <v>-170</v>
      </c>
      <c r="BT197" s="1243">
        <f t="shared" si="261"/>
        <v>-475.90000000000009</v>
      </c>
      <c r="BU197" s="1243">
        <f t="shared" si="261"/>
        <v>-500</v>
      </c>
      <c r="BV197" s="1243">
        <f t="shared" si="261"/>
        <v>-1000</v>
      </c>
      <c r="BW197" s="1243">
        <f t="shared" si="261"/>
        <v>-2457.6937500000004</v>
      </c>
      <c r="BX197" s="1243">
        <f t="shared" si="261"/>
        <v>-234.07499999999993</v>
      </c>
      <c r="BY197" s="1243">
        <f t="shared" si="261"/>
        <v>0</v>
      </c>
      <c r="BZ197" s="1242">
        <f t="shared" si="261"/>
        <v>-357.34178571428561</v>
      </c>
      <c r="CA197" s="1242">
        <f t="shared" si="261"/>
        <v>-102.79500000000007</v>
      </c>
      <c r="CB197" s="1242">
        <f t="shared" si="261"/>
        <v>-378.76607142857142</v>
      </c>
      <c r="CC197" s="1242">
        <f t="shared" si="261"/>
        <v>0</v>
      </c>
      <c r="CD197" s="1245">
        <f t="shared" si="261"/>
        <v>-13313.8125</v>
      </c>
      <c r="CE197" s="1245">
        <f t="shared" si="261"/>
        <v>-7827.0982142857119</v>
      </c>
      <c r="CF197" s="1245">
        <f t="shared" si="261"/>
        <v>-258</v>
      </c>
      <c r="CG197" s="1245">
        <f t="shared" si="263"/>
        <v>-2426.355</v>
      </c>
      <c r="CH197" s="1227">
        <f t="shared" si="263"/>
        <v>-912.75000000000011</v>
      </c>
      <c r="CI197" s="1227">
        <f t="shared" si="263"/>
        <v>-250</v>
      </c>
      <c r="CJ197" s="1227">
        <f t="shared" si="263"/>
        <v>-200</v>
      </c>
      <c r="CK197" s="1242">
        <f t="shared" si="263"/>
        <v>-45.771428571428601</v>
      </c>
      <c r="CL197" s="1242">
        <f t="shared" si="263"/>
        <v>-610.36428571428587</v>
      </c>
      <c r="CM197" s="1242">
        <f t="shared" si="263"/>
        <v>-621.80500000000006</v>
      </c>
      <c r="CN197" s="1242">
        <f t="shared" si="263"/>
        <v>-442.50499999999977</v>
      </c>
      <c r="CO197" s="1242">
        <f t="shared" si="263"/>
        <v>-57.599999999999987</v>
      </c>
      <c r="CP197" s="1244">
        <f t="shared" si="263"/>
        <v>-426.6875</v>
      </c>
      <c r="CQ197" s="1244">
        <f t="shared" si="263"/>
        <v>-150</v>
      </c>
      <c r="CR197" s="1250">
        <f t="shared" si="263"/>
        <v>-480.4375</v>
      </c>
      <c r="CS197" s="1250">
        <f t="shared" si="263"/>
        <v>-150</v>
      </c>
      <c r="CT197" s="1242">
        <f t="shared" si="263"/>
        <v>-436.9500000000001</v>
      </c>
      <c r="CU197" s="1242">
        <f t="shared" si="263"/>
        <v>-2089.3950000000004</v>
      </c>
      <c r="CV197" s="1242">
        <f t="shared" si="263"/>
        <v>-113.85000000000001</v>
      </c>
      <c r="CW197" s="1243">
        <f t="shared" si="263"/>
        <v>-1068.9891428571425</v>
      </c>
      <c r="CX197" s="1244">
        <f t="shared" si="263"/>
        <v>-99.225000000000023</v>
      </c>
      <c r="CY197" s="1244">
        <f t="shared" si="263"/>
        <v>-1015.2862499999999</v>
      </c>
      <c r="CZ197" s="1242">
        <f t="shared" si="263"/>
        <v>-298.10249999999985</v>
      </c>
      <c r="DA197" s="1250">
        <f t="shared" si="263"/>
        <v>-1485.6968749999996</v>
      </c>
      <c r="DB197" s="1242">
        <f t="shared" si="263"/>
        <v>-2579.6711309523807</v>
      </c>
      <c r="DC197" s="1242">
        <f t="shared" si="263"/>
        <v>-4699.4624999999996</v>
      </c>
      <c r="DD197" s="1224">
        <f t="shared" si="263"/>
        <v>-1100</v>
      </c>
      <c r="DE197" s="1224">
        <f t="shared" si="263"/>
        <v>-230</v>
      </c>
      <c r="DF197" s="1242">
        <f t="shared" si="263"/>
        <v>-1518</v>
      </c>
      <c r="DG197" s="1242">
        <f t="shared" si="263"/>
        <v>-47.1</v>
      </c>
      <c r="DH197" s="1242">
        <f t="shared" si="263"/>
        <v>-499.76249999999999</v>
      </c>
      <c r="DI197" s="1242">
        <f t="shared" si="263"/>
        <v>-447.93750000000006</v>
      </c>
      <c r="DJ197" s="1250">
        <f t="shared" si="263"/>
        <v>0</v>
      </c>
      <c r="DK197" s="1242">
        <f t="shared" si="263"/>
        <v>-1031.5</v>
      </c>
      <c r="DL197" s="1242"/>
      <c r="DM197" s="1242"/>
      <c r="DN197" s="1242"/>
      <c r="DO197" s="1242">
        <f t="shared" si="259"/>
        <v>-71.88095238095238</v>
      </c>
      <c r="DP197" s="1243">
        <f t="shared" si="263"/>
        <v>-909.74999999999989</v>
      </c>
      <c r="DQ197" s="1246">
        <f t="shared" si="263"/>
        <v>0</v>
      </c>
      <c r="DR197" s="1254">
        <f t="shared" si="263"/>
        <v>0</v>
      </c>
      <c r="DS197" s="1254">
        <f t="shared" si="263"/>
        <v>0</v>
      </c>
      <c r="DT197" s="1246"/>
      <c r="DU197" s="1254">
        <f t="shared" si="260"/>
        <v>0</v>
      </c>
      <c r="DV197" s="1253">
        <f t="shared" si="263"/>
        <v>0</v>
      </c>
      <c r="DW197" s="1253">
        <f t="shared" si="255"/>
        <v>-134421.43886904765</v>
      </c>
      <c r="DX197" s="1240" t="str">
        <f t="shared" si="264"/>
        <v>Отклонение между Планом производства и Заявкой на производство на ближайшие 39-45 дней, кг</v>
      </c>
      <c r="DY197" s="659"/>
    </row>
    <row r="198" spans="1:129" ht="27.6" customHeight="1">
      <c r="A198" s="1241" t="s">
        <v>682</v>
      </c>
      <c r="B198" s="1242">
        <f t="shared" si="265"/>
        <v>-2746.3450000000007</v>
      </c>
      <c r="C198" s="1242">
        <f t="shared" si="265"/>
        <v>-203.67499999999993</v>
      </c>
      <c r="D198" s="1242">
        <f t="shared" si="265"/>
        <v>-2165.6575000000003</v>
      </c>
      <c r="E198" s="1242">
        <f t="shared" si="265"/>
        <v>-304.40999999999997</v>
      </c>
      <c r="F198" s="1242">
        <f t="shared" si="265"/>
        <v>-2620.6285714285705</v>
      </c>
      <c r="G198" s="1243">
        <f t="shared" si="265"/>
        <v>-113.99999999999999</v>
      </c>
      <c r="H198" s="1243">
        <f t="shared" si="265"/>
        <v>-500</v>
      </c>
      <c r="I198" s="1243">
        <f t="shared" si="265"/>
        <v>-660.0524999999999</v>
      </c>
      <c r="J198" s="1243">
        <f t="shared" si="265"/>
        <v>-1287.610666666666</v>
      </c>
      <c r="K198" s="1243">
        <f t="shared" si="265"/>
        <v>-254.35000000000002</v>
      </c>
      <c r="L198" s="1243">
        <f t="shared" si="265"/>
        <v>-68.703124999999957</v>
      </c>
      <c r="M198" s="1243">
        <f t="shared" si="265"/>
        <v>0</v>
      </c>
      <c r="N198" s="1244">
        <f t="shared" si="265"/>
        <v>-770.06250000000045</v>
      </c>
      <c r="O198" s="1244">
        <f t="shared" si="265"/>
        <v>-331.75125000000003</v>
      </c>
      <c r="P198" s="1245">
        <f t="shared" si="265"/>
        <v>-566.84000000000015</v>
      </c>
      <c r="Q198" s="1246">
        <f t="shared" si="265"/>
        <v>-767.75999999999954</v>
      </c>
      <c r="R198" s="1246">
        <f t="shared" si="265"/>
        <v>-1022.2800000000004</v>
      </c>
      <c r="S198" s="1243">
        <f t="shared" si="265"/>
        <v>-13487.311666666665</v>
      </c>
      <c r="T198" s="1247">
        <f t="shared" si="265"/>
        <v>-477.84910714285724</v>
      </c>
      <c r="U198" s="1248">
        <f t="shared" si="265"/>
        <v>-1780.7650000000008</v>
      </c>
      <c r="V198" s="1249">
        <f t="shared" si="265"/>
        <v>-1161.33</v>
      </c>
      <c r="W198" s="1249">
        <f t="shared" si="265"/>
        <v>-69.999999999999986</v>
      </c>
      <c r="X198" s="1249">
        <f t="shared" si="265"/>
        <v>-298.95</v>
      </c>
      <c r="Y198" s="1250">
        <f t="shared" si="265"/>
        <v>-1942.453750000001</v>
      </c>
      <c r="Z198" s="1243">
        <f t="shared" si="265"/>
        <v>-203.12999999999985</v>
      </c>
      <c r="AA198" s="1242">
        <f t="shared" si="265"/>
        <v>-3546.450666666668</v>
      </c>
      <c r="AB198" s="1242">
        <f t="shared" si="265"/>
        <v>-589.6</v>
      </c>
      <c r="AC198" s="1242">
        <f t="shared" si="265"/>
        <v>-167.04000000000002</v>
      </c>
      <c r="AD198" s="1242">
        <f t="shared" si="265"/>
        <v>-1707.1499999999999</v>
      </c>
      <c r="AE198" s="1242">
        <f t="shared" si="265"/>
        <v>-149.99999999999997</v>
      </c>
      <c r="AF198" s="1242">
        <f t="shared" si="265"/>
        <v>-499.99999999999994</v>
      </c>
      <c r="AG198" s="1242">
        <f t="shared" si="265"/>
        <v>-924.96266666666702</v>
      </c>
      <c r="AH198" s="1242">
        <f t="shared" si="265"/>
        <v>-687.02600000000018</v>
      </c>
      <c r="AI198" s="1224">
        <f t="shared" si="265"/>
        <v>-4525.05</v>
      </c>
      <c r="AJ198" s="1224">
        <f t="shared" si="265"/>
        <v>0</v>
      </c>
      <c r="AK198" s="1224">
        <f t="shared" si="265"/>
        <v>-1915.2</v>
      </c>
      <c r="AL198" s="1242">
        <f t="shared" si="265"/>
        <v>-638.59500000000025</v>
      </c>
      <c r="AM198" s="1245">
        <f t="shared" si="265"/>
        <v>-4881.4957142857129</v>
      </c>
      <c r="AN198" s="1245">
        <f t="shared" si="265"/>
        <v>-178.2</v>
      </c>
      <c r="AO198" s="1245">
        <f t="shared" si="265"/>
        <v>-2353.5</v>
      </c>
      <c r="AP198" s="1245">
        <f t="shared" si="265"/>
        <v>-55.95</v>
      </c>
      <c r="AQ198" s="1243">
        <f t="shared" si="265"/>
        <v>-1177.1750000000006</v>
      </c>
      <c r="AR198" s="1251">
        <f t="shared" si="265"/>
        <v>-292.09699999999987</v>
      </c>
      <c r="AS198" s="1251">
        <f t="shared" si="265"/>
        <v>-94.813750000000013</v>
      </c>
      <c r="AT198" s="1251">
        <f t="shared" si="265"/>
        <v>-104.26499999999996</v>
      </c>
      <c r="AU198" s="1251">
        <f t="shared" si="265"/>
        <v>-36.721249999999998</v>
      </c>
      <c r="AV198" s="1251">
        <f t="shared" si="265"/>
        <v>0</v>
      </c>
      <c r="AW198" s="1252">
        <f t="shared" si="265"/>
        <v>0</v>
      </c>
      <c r="AX198" s="1253">
        <f t="shared" si="265"/>
        <v>0</v>
      </c>
      <c r="AY198" s="1248">
        <f t="shared" si="265"/>
        <v>-7532.3682857142849</v>
      </c>
      <c r="AZ198" s="1242">
        <f t="shared" si="265"/>
        <v>-356.87</v>
      </c>
      <c r="BA198" s="1242">
        <f t="shared" si="265"/>
        <v>-670.78125</v>
      </c>
      <c r="BB198" s="1242">
        <f t="shared" si="265"/>
        <v>-1246.1386904761903</v>
      </c>
      <c r="BC198" s="1243">
        <f t="shared" si="265"/>
        <v>-420</v>
      </c>
      <c r="BD198" s="1243">
        <f t="shared" si="265"/>
        <v>-800</v>
      </c>
      <c r="BE198" s="1243">
        <f t="shared" si="265"/>
        <v>-211.3125</v>
      </c>
      <c r="BF198" s="1243">
        <f t="shared" si="265"/>
        <v>-252.90000000000003</v>
      </c>
      <c r="BG198" s="1243">
        <f t="shared" si="265"/>
        <v>-274.2</v>
      </c>
      <c r="BH198" s="1243">
        <f t="shared" si="265"/>
        <v>-300</v>
      </c>
      <c r="BI198" s="1243">
        <f t="shared" si="265"/>
        <v>-170</v>
      </c>
      <c r="BJ198" s="1243">
        <f t="shared" si="265"/>
        <v>-861.75</v>
      </c>
      <c r="BK198" s="1243">
        <f t="shared" si="265"/>
        <v>-78.641249999999999</v>
      </c>
      <c r="BL198" s="1243">
        <f t="shared" si="265"/>
        <v>-114.74166666666667</v>
      </c>
      <c r="BM198" s="1243">
        <f t="shared" ref="BM198:BY199" si="266">BM183-BM168</f>
        <v>-1756.3791666666675</v>
      </c>
      <c r="BN198" s="1243">
        <f t="shared" si="266"/>
        <v>-857.375</v>
      </c>
      <c r="BO198" s="1243">
        <f t="shared" si="266"/>
        <v>-4993.4934523809516</v>
      </c>
      <c r="BP198" s="1243">
        <f t="shared" si="266"/>
        <v>0</v>
      </c>
      <c r="BQ198" s="1243">
        <f t="shared" si="266"/>
        <v>-175.65625</v>
      </c>
      <c r="BR198" s="1243">
        <f t="shared" si="261"/>
        <v>-350</v>
      </c>
      <c r="BS198" s="1243">
        <f t="shared" si="261"/>
        <v>-170</v>
      </c>
      <c r="BT198" s="1243">
        <f t="shared" si="266"/>
        <v>-475.90000000000009</v>
      </c>
      <c r="BU198" s="1243">
        <f t="shared" si="266"/>
        <v>-500</v>
      </c>
      <c r="BV198" s="1243">
        <f t="shared" si="266"/>
        <v>-1000</v>
      </c>
      <c r="BW198" s="1243">
        <f t="shared" si="266"/>
        <v>-2457.6937500000004</v>
      </c>
      <c r="BX198" s="1243">
        <f t="shared" si="266"/>
        <v>-234.07499999999993</v>
      </c>
      <c r="BY198" s="1243">
        <f t="shared" si="266"/>
        <v>0</v>
      </c>
      <c r="BZ198" s="1242">
        <f t="shared" si="261"/>
        <v>-357.34178571428572</v>
      </c>
      <c r="CA198" s="1242">
        <f t="shared" si="261"/>
        <v>-102.79500000000007</v>
      </c>
      <c r="CB198" s="1242">
        <f t="shared" si="261"/>
        <v>-378.76607142857142</v>
      </c>
      <c r="CC198" s="1242">
        <f t="shared" si="261"/>
        <v>0</v>
      </c>
      <c r="CD198" s="1245">
        <f t="shared" si="261"/>
        <v>-13313.8125</v>
      </c>
      <c r="CE198" s="1245">
        <f t="shared" si="261"/>
        <v>-15672.785714285714</v>
      </c>
      <c r="CF198" s="1245">
        <f t="shared" si="261"/>
        <v>-258</v>
      </c>
      <c r="CG198" s="1245">
        <f t="shared" si="263"/>
        <v>-2426.3549999999996</v>
      </c>
      <c r="CH198" s="1227">
        <f t="shared" si="263"/>
        <v>-912.75000000000011</v>
      </c>
      <c r="CI198" s="1227">
        <f t="shared" si="263"/>
        <v>-250</v>
      </c>
      <c r="CJ198" s="1227">
        <f t="shared" si="263"/>
        <v>-200</v>
      </c>
      <c r="CK198" s="1242">
        <f t="shared" si="263"/>
        <v>-255</v>
      </c>
      <c r="CL198" s="1242">
        <f t="shared" si="263"/>
        <v>-610.36428571428587</v>
      </c>
      <c r="CM198" s="1242">
        <f t="shared" si="263"/>
        <v>-621.80500000000006</v>
      </c>
      <c r="CN198" s="1242">
        <f t="shared" si="263"/>
        <v>-442.505</v>
      </c>
      <c r="CO198" s="1242">
        <f t="shared" si="263"/>
        <v>-57.599999999999994</v>
      </c>
      <c r="CP198" s="1244">
        <f t="shared" si="263"/>
        <v>-426.6875</v>
      </c>
      <c r="CQ198" s="1244">
        <f t="shared" si="263"/>
        <v>-150.00000000000003</v>
      </c>
      <c r="CR198" s="1250">
        <f t="shared" si="263"/>
        <v>-480.4375</v>
      </c>
      <c r="CS198" s="1250">
        <f t="shared" si="263"/>
        <v>-150</v>
      </c>
      <c r="CT198" s="1242">
        <f t="shared" si="263"/>
        <v>-436.95000000000022</v>
      </c>
      <c r="CU198" s="1242">
        <f t="shared" si="263"/>
        <v>-2089.395</v>
      </c>
      <c r="CV198" s="1242">
        <f t="shared" si="263"/>
        <v>-113.84999999999998</v>
      </c>
      <c r="CW198" s="1243">
        <f t="shared" si="263"/>
        <v>-1768.9891428571425</v>
      </c>
      <c r="CX198" s="1244">
        <f t="shared" si="263"/>
        <v>-99.225000000000023</v>
      </c>
      <c r="CY198" s="1244">
        <f t="shared" si="263"/>
        <v>-1015.2862499999994</v>
      </c>
      <c r="CZ198" s="1242">
        <f t="shared" si="263"/>
        <v>-298.10250000000002</v>
      </c>
      <c r="DA198" s="1250">
        <f t="shared" si="263"/>
        <v>-1352.8218749999996</v>
      </c>
      <c r="DB198" s="1242">
        <f t="shared" si="263"/>
        <v>-2183.4461309523808</v>
      </c>
      <c r="DC198" s="1242">
        <f t="shared" si="263"/>
        <v>-4699.4624999999996</v>
      </c>
      <c r="DD198" s="1224">
        <f t="shared" si="263"/>
        <v>-1100</v>
      </c>
      <c r="DE198" s="1224">
        <f t="shared" si="263"/>
        <v>-230</v>
      </c>
      <c r="DF198" s="1242">
        <f t="shared" si="263"/>
        <v>-1518</v>
      </c>
      <c r="DG198" s="1242">
        <f t="shared" si="263"/>
        <v>-47.1</v>
      </c>
      <c r="DH198" s="1242">
        <f t="shared" si="263"/>
        <v>-499.76249999999999</v>
      </c>
      <c r="DI198" s="1242">
        <f t="shared" si="263"/>
        <v>-447.93749999999994</v>
      </c>
      <c r="DJ198" s="1250">
        <f t="shared" si="263"/>
        <v>-685.15476190476193</v>
      </c>
      <c r="DK198" s="1242">
        <f t="shared" si="263"/>
        <v>-1321.75</v>
      </c>
      <c r="DL198" s="1242"/>
      <c r="DM198" s="1242"/>
      <c r="DN198" s="1242"/>
      <c r="DO198" s="1242">
        <f t="shared" si="259"/>
        <v>-277.25</v>
      </c>
      <c r="DP198" s="1243">
        <f t="shared" si="263"/>
        <v>-909.74999999999989</v>
      </c>
      <c r="DQ198" s="1246">
        <f t="shared" si="263"/>
        <v>0</v>
      </c>
      <c r="DR198" s="1254">
        <f t="shared" si="263"/>
        <v>0</v>
      </c>
      <c r="DS198" s="1254">
        <f t="shared" si="263"/>
        <v>0</v>
      </c>
      <c r="DT198" s="1246"/>
      <c r="DU198" s="1254">
        <f t="shared" si="260"/>
        <v>0</v>
      </c>
      <c r="DV198" s="1253">
        <f t="shared" si="263"/>
        <v>0</v>
      </c>
      <c r="DW198" s="1253">
        <f t="shared" si="255"/>
        <v>-142752.72246428573</v>
      </c>
      <c r="DX198" s="1240" t="str">
        <f t="shared" si="264"/>
        <v>Отклонение между Планом производства и Заявкой на производство на ближайшие 46-52 дней, кг</v>
      </c>
      <c r="DY198" s="659"/>
    </row>
    <row r="199" spans="1:129" ht="27.6" customHeight="1" thickBot="1">
      <c r="A199" s="1241" t="s">
        <v>683</v>
      </c>
      <c r="B199" s="1255">
        <f t="shared" ref="B199:BM199" si="267">B184-B169</f>
        <v>-2746.3449999999998</v>
      </c>
      <c r="C199" s="1255">
        <f t="shared" si="267"/>
        <v>-203.67500000000004</v>
      </c>
      <c r="D199" s="1255">
        <f t="shared" si="267"/>
        <v>-2165.6574999999984</v>
      </c>
      <c r="E199" s="1255">
        <f t="shared" si="267"/>
        <v>-304.40999999999997</v>
      </c>
      <c r="F199" s="1255">
        <f t="shared" si="267"/>
        <v>-2620.62857142857</v>
      </c>
      <c r="G199" s="1256">
        <f t="shared" si="267"/>
        <v>-113.99999999999999</v>
      </c>
      <c r="H199" s="1256">
        <f t="shared" si="267"/>
        <v>-500</v>
      </c>
      <c r="I199" s="1256">
        <f t="shared" si="267"/>
        <v>-660.05250000000012</v>
      </c>
      <c r="J199" s="1256">
        <f t="shared" si="267"/>
        <v>-1287.6106666666658</v>
      </c>
      <c r="K199" s="1256">
        <f t="shared" si="267"/>
        <v>-254.35000000000002</v>
      </c>
      <c r="L199" s="1256">
        <f t="shared" si="267"/>
        <v>-68.703124999999957</v>
      </c>
      <c r="M199" s="1256">
        <f t="shared" si="267"/>
        <v>0</v>
      </c>
      <c r="N199" s="1257">
        <f t="shared" si="267"/>
        <v>-770.06250000000034</v>
      </c>
      <c r="O199" s="1257">
        <f t="shared" si="267"/>
        <v>-331.75125000000014</v>
      </c>
      <c r="P199" s="1258">
        <f t="shared" si="267"/>
        <v>-566.84</v>
      </c>
      <c r="Q199" s="1259">
        <f t="shared" si="267"/>
        <v>-767.76000000000113</v>
      </c>
      <c r="R199" s="1259">
        <f t="shared" si="267"/>
        <v>-1022.28</v>
      </c>
      <c r="S199" s="1260">
        <f t="shared" si="267"/>
        <v>-16855.291666666675</v>
      </c>
      <c r="T199" s="1261">
        <f t="shared" si="267"/>
        <v>-477.84910714285712</v>
      </c>
      <c r="U199" s="1262">
        <f t="shared" si="267"/>
        <v>-1780.7649999999999</v>
      </c>
      <c r="V199" s="1263">
        <f t="shared" si="267"/>
        <v>-1161.3300000000002</v>
      </c>
      <c r="W199" s="1263">
        <f t="shared" si="267"/>
        <v>-70.000000000000014</v>
      </c>
      <c r="X199" s="1263">
        <f t="shared" si="267"/>
        <v>-298.9500000000001</v>
      </c>
      <c r="Y199" s="1264">
        <f t="shared" si="267"/>
        <v>-1942.4537500000006</v>
      </c>
      <c r="Z199" s="1256">
        <f t="shared" si="267"/>
        <v>-203.12999999999985</v>
      </c>
      <c r="AA199" s="1255">
        <f t="shared" si="267"/>
        <v>-2496.450666666668</v>
      </c>
      <c r="AB199" s="1255">
        <f t="shared" si="267"/>
        <v>-589.59999999999934</v>
      </c>
      <c r="AC199" s="1255">
        <f t="shared" si="267"/>
        <v>-167.04000000000008</v>
      </c>
      <c r="AD199" s="1255">
        <f t="shared" si="267"/>
        <v>-1707.1500000000003</v>
      </c>
      <c r="AE199" s="1255">
        <f t="shared" si="267"/>
        <v>-150.00000000000003</v>
      </c>
      <c r="AF199" s="1255">
        <f t="shared" si="267"/>
        <v>-500.00000000000017</v>
      </c>
      <c r="AG199" s="1255">
        <f t="shared" si="267"/>
        <v>-1224.9626666666666</v>
      </c>
      <c r="AH199" s="1255">
        <f t="shared" si="267"/>
        <v>-187.02599999999984</v>
      </c>
      <c r="AI199" s="1255">
        <f t="shared" si="267"/>
        <v>-4525.05</v>
      </c>
      <c r="AJ199" s="1255">
        <f t="shared" si="267"/>
        <v>0</v>
      </c>
      <c r="AK199" s="1255">
        <f t="shared" si="267"/>
        <v>-1915.2</v>
      </c>
      <c r="AL199" s="1255">
        <f t="shared" si="267"/>
        <v>-638.59499999999957</v>
      </c>
      <c r="AM199" s="1258">
        <f t="shared" si="267"/>
        <v>-10481.495714285713</v>
      </c>
      <c r="AN199" s="1258">
        <f t="shared" si="267"/>
        <v>-178.19999999999993</v>
      </c>
      <c r="AO199" s="1258">
        <f t="shared" si="267"/>
        <v>-2353.5</v>
      </c>
      <c r="AP199" s="1258">
        <f t="shared" si="267"/>
        <v>-55.95</v>
      </c>
      <c r="AQ199" s="1256">
        <f t="shared" si="267"/>
        <v>-1177.1750000000011</v>
      </c>
      <c r="AR199" s="1265">
        <f t="shared" si="267"/>
        <v>-292.09700000000009</v>
      </c>
      <c r="AS199" s="1265">
        <f t="shared" si="267"/>
        <v>-94.813750000000013</v>
      </c>
      <c r="AT199" s="1265">
        <f t="shared" si="267"/>
        <v>-104.26500000000001</v>
      </c>
      <c r="AU199" s="1265">
        <f t="shared" si="267"/>
        <v>-36.721249999999998</v>
      </c>
      <c r="AV199" s="1265">
        <f t="shared" si="267"/>
        <v>0</v>
      </c>
      <c r="AW199" s="1266">
        <f t="shared" si="267"/>
        <v>0</v>
      </c>
      <c r="AX199" s="1267">
        <f t="shared" si="267"/>
        <v>0</v>
      </c>
      <c r="AY199" s="1268">
        <f t="shared" si="267"/>
        <v>-1232.3682857142858</v>
      </c>
      <c r="AZ199" s="1255">
        <f t="shared" si="267"/>
        <v>-356.86999999999989</v>
      </c>
      <c r="BA199" s="1255">
        <f t="shared" si="267"/>
        <v>-670.78125</v>
      </c>
      <c r="BB199" s="1255">
        <f t="shared" si="267"/>
        <v>-1246.1386904761912</v>
      </c>
      <c r="BC199" s="1256">
        <f t="shared" si="267"/>
        <v>-420</v>
      </c>
      <c r="BD199" s="1256">
        <f t="shared" si="267"/>
        <v>-800</v>
      </c>
      <c r="BE199" s="1256">
        <f t="shared" si="267"/>
        <v>-211.3125</v>
      </c>
      <c r="BF199" s="1256">
        <f t="shared" si="267"/>
        <v>-252.90000000000009</v>
      </c>
      <c r="BG199" s="1256">
        <f t="shared" si="267"/>
        <v>-274.2000000000001</v>
      </c>
      <c r="BH199" s="1256">
        <f t="shared" si="267"/>
        <v>-300</v>
      </c>
      <c r="BI199" s="1256">
        <f t="shared" si="267"/>
        <v>-170</v>
      </c>
      <c r="BJ199" s="1256">
        <f t="shared" si="267"/>
        <v>-861.75</v>
      </c>
      <c r="BK199" s="1256">
        <f t="shared" si="267"/>
        <v>-78.641250000000028</v>
      </c>
      <c r="BL199" s="1256">
        <f t="shared" si="267"/>
        <v>-414.74166666666662</v>
      </c>
      <c r="BM199" s="1256">
        <f t="shared" si="267"/>
        <v>-1426.3791666666648</v>
      </c>
      <c r="BN199" s="1256">
        <f t="shared" si="266"/>
        <v>-157.375</v>
      </c>
      <c r="BO199" s="1256">
        <f t="shared" si="266"/>
        <v>-5493.4934523809516</v>
      </c>
      <c r="BP199" s="1256">
        <f t="shared" si="266"/>
        <v>0</v>
      </c>
      <c r="BQ199" s="1256">
        <f t="shared" si="266"/>
        <v>-175.65625</v>
      </c>
      <c r="BR199" s="1256">
        <f t="shared" si="261"/>
        <v>-350</v>
      </c>
      <c r="BS199" s="1256">
        <f t="shared" si="261"/>
        <v>-170</v>
      </c>
      <c r="BT199" s="1256">
        <f t="shared" si="266"/>
        <v>-475.90000000000009</v>
      </c>
      <c r="BU199" s="1256">
        <f t="shared" si="266"/>
        <v>-500</v>
      </c>
      <c r="BV199" s="1256">
        <f t="shared" si="266"/>
        <v>-1000</v>
      </c>
      <c r="BW199" s="1256">
        <f t="shared" si="266"/>
        <v>-1907.6937500000004</v>
      </c>
      <c r="BX199" s="1256">
        <f t="shared" si="266"/>
        <v>-234.07500000000016</v>
      </c>
      <c r="BY199" s="1256">
        <f t="shared" si="266"/>
        <v>0</v>
      </c>
      <c r="BZ199" s="1269">
        <f t="shared" si="261"/>
        <v>-357.34178571428561</v>
      </c>
      <c r="CA199" s="1269">
        <f t="shared" si="261"/>
        <v>-102.79500000000007</v>
      </c>
      <c r="CB199" s="1269">
        <f t="shared" si="261"/>
        <v>-138.76607142857131</v>
      </c>
      <c r="CC199" s="1269">
        <f t="shared" si="261"/>
        <v>0</v>
      </c>
      <c r="CD199" s="1270">
        <f t="shared" si="261"/>
        <v>-13313.8125</v>
      </c>
      <c r="CE199" s="1270">
        <f t="shared" si="261"/>
        <v>-3922.7857142857065</v>
      </c>
      <c r="CF199" s="1270">
        <f t="shared" si="261"/>
        <v>-258</v>
      </c>
      <c r="CG199" s="1270">
        <f t="shared" si="263"/>
        <v>-2426.3549999999996</v>
      </c>
      <c r="CH199" s="1227">
        <f t="shared" si="263"/>
        <v>-912.75000000000011</v>
      </c>
      <c r="CI199" s="1227">
        <f t="shared" si="263"/>
        <v>-250</v>
      </c>
      <c r="CJ199" s="1227">
        <f t="shared" si="263"/>
        <v>-200</v>
      </c>
      <c r="CK199" s="1269">
        <f t="shared" si="263"/>
        <v>-255</v>
      </c>
      <c r="CL199" s="1269">
        <f t="shared" ref="CL199:DV199" si="268">CL184-CL169</f>
        <v>-370.36428571428581</v>
      </c>
      <c r="CM199" s="1269">
        <f t="shared" si="268"/>
        <v>-381.80500000000001</v>
      </c>
      <c r="CN199" s="1269">
        <f t="shared" si="268"/>
        <v>-442.50499999999977</v>
      </c>
      <c r="CO199" s="1269">
        <f t="shared" si="268"/>
        <v>-57.599999999999994</v>
      </c>
      <c r="CP199" s="1257">
        <f t="shared" si="268"/>
        <v>-426.6875</v>
      </c>
      <c r="CQ199" s="1257">
        <f t="shared" si="268"/>
        <v>-149.99999999999997</v>
      </c>
      <c r="CR199" s="1264">
        <f t="shared" si="268"/>
        <v>-480.4375</v>
      </c>
      <c r="CS199" s="1264">
        <f t="shared" si="268"/>
        <v>-150</v>
      </c>
      <c r="CT199" s="1269">
        <f t="shared" si="268"/>
        <v>-436.95000000000022</v>
      </c>
      <c r="CU199" s="1269">
        <f t="shared" si="268"/>
        <v>-2089.3950000000009</v>
      </c>
      <c r="CV199" s="1269">
        <f t="shared" si="268"/>
        <v>-113.85000000000004</v>
      </c>
      <c r="CW199" s="1256">
        <f t="shared" si="268"/>
        <v>-1768.9891428571425</v>
      </c>
      <c r="CX199" s="1257">
        <f t="shared" si="268"/>
        <v>-99.225000000000023</v>
      </c>
      <c r="CY199" s="1257">
        <f t="shared" si="268"/>
        <v>-715.28624999999988</v>
      </c>
      <c r="CZ199" s="1255">
        <f t="shared" si="268"/>
        <v>-298.10250000000002</v>
      </c>
      <c r="DA199" s="1264">
        <f t="shared" si="268"/>
        <v>-1352.8218749999996</v>
      </c>
      <c r="DB199" s="1255">
        <f t="shared" si="268"/>
        <v>-2183.4461309523808</v>
      </c>
      <c r="DC199" s="1255">
        <f t="shared" si="268"/>
        <v>-4449.4624999999996</v>
      </c>
      <c r="DD199" s="1255">
        <f t="shared" si="268"/>
        <v>-1100</v>
      </c>
      <c r="DE199" s="1255">
        <f t="shared" si="268"/>
        <v>-230</v>
      </c>
      <c r="DF199" s="1255">
        <f t="shared" si="268"/>
        <v>-1518</v>
      </c>
      <c r="DG199" s="1255">
        <f t="shared" si="268"/>
        <v>-47.1</v>
      </c>
      <c r="DH199" s="1255">
        <f t="shared" si="268"/>
        <v>-499.76250000000022</v>
      </c>
      <c r="DI199" s="1255">
        <f t="shared" si="268"/>
        <v>-447.93749999999994</v>
      </c>
      <c r="DJ199" s="1264">
        <f t="shared" si="268"/>
        <v>-1150.6250000000005</v>
      </c>
      <c r="DK199" s="1255">
        <f t="shared" si="268"/>
        <v>-1321.75</v>
      </c>
      <c r="DL199" s="1255"/>
      <c r="DM199" s="1255"/>
      <c r="DN199" s="1255"/>
      <c r="DO199" s="1255">
        <f t="shared" si="259"/>
        <v>-277.25000000000011</v>
      </c>
      <c r="DP199" s="1256">
        <f t="shared" si="268"/>
        <v>-909.74999999999989</v>
      </c>
      <c r="DQ199" s="1259">
        <f t="shared" si="268"/>
        <v>0</v>
      </c>
      <c r="DR199" s="1271">
        <f t="shared" si="268"/>
        <v>0</v>
      </c>
      <c r="DS199" s="1271">
        <f t="shared" si="268"/>
        <v>0</v>
      </c>
      <c r="DT199" s="1259"/>
      <c r="DU199" s="1271">
        <f t="shared" si="260"/>
        <v>0</v>
      </c>
      <c r="DV199" s="1272">
        <f t="shared" si="268"/>
        <v>0</v>
      </c>
      <c r="DW199" s="1272">
        <f t="shared" si="255"/>
        <v>-130836.17270238094</v>
      </c>
      <c r="DX199" s="1240" t="str">
        <f t="shared" si="264"/>
        <v>Отклонение между Планом производства и Заявкой на производство на ближайшие 53-59 дней, кг</v>
      </c>
      <c r="DY199" s="659"/>
    </row>
    <row r="200" spans="1:129" ht="15.6" thickTop="1" thickBot="1">
      <c r="A200" s="844"/>
      <c r="B200" s="665"/>
      <c r="C200" s="665"/>
      <c r="D200" s="665"/>
      <c r="E200" s="665"/>
      <c r="F200" s="665"/>
      <c r="G200" s="665"/>
      <c r="H200" s="665"/>
      <c r="I200" s="665"/>
      <c r="J200" s="665"/>
      <c r="K200" s="665"/>
      <c r="L200" s="665"/>
      <c r="M200" s="665"/>
      <c r="N200" s="1204"/>
      <c r="O200" s="1204"/>
      <c r="P200" s="666"/>
      <c r="Q200" s="665"/>
      <c r="R200" s="665"/>
      <c r="S200" s="665"/>
      <c r="T200" s="667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665"/>
      <c r="AE200" s="665"/>
      <c r="AF200" s="665"/>
      <c r="AG200" s="665"/>
      <c r="AH200" s="665"/>
      <c r="AI200" s="665"/>
      <c r="AJ200" s="665"/>
      <c r="AK200" s="665"/>
      <c r="AL200" s="665"/>
      <c r="AM200" s="665"/>
      <c r="AN200" s="665"/>
      <c r="AO200" s="666"/>
      <c r="AP200" s="666"/>
      <c r="AQ200" s="665"/>
      <c r="AR200" s="665"/>
      <c r="AS200" s="665"/>
      <c r="AT200" s="665"/>
      <c r="AU200" s="665"/>
      <c r="AV200" s="665"/>
      <c r="AW200" s="665"/>
      <c r="AX200" s="665"/>
      <c r="AY200" s="665"/>
      <c r="AZ200" s="665"/>
      <c r="BA200" s="665"/>
      <c r="BB200" s="665"/>
      <c r="BC200" s="66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665"/>
      <c r="BO200" s="665"/>
      <c r="BP200" s="665"/>
      <c r="BQ200" s="665"/>
      <c r="BR200" s="665"/>
      <c r="BS200" s="665"/>
      <c r="BT200" s="665"/>
      <c r="BU200" s="665"/>
      <c r="BV200" s="665"/>
      <c r="BW200" s="665"/>
      <c r="BX200" s="665"/>
      <c r="BY200" s="665"/>
      <c r="BZ200" s="665"/>
      <c r="CA200" s="665"/>
      <c r="CB200" s="665"/>
      <c r="CC200" s="665"/>
      <c r="CD200" s="666"/>
      <c r="CE200" s="666"/>
      <c r="CF200" s="666"/>
      <c r="CG200" s="666"/>
      <c r="CH200" s="666"/>
      <c r="CI200" s="666"/>
      <c r="CJ200" s="666"/>
      <c r="CK200" s="665"/>
      <c r="CL200" s="665"/>
      <c r="CM200" s="665"/>
      <c r="CN200" s="665"/>
      <c r="CO200" s="665"/>
      <c r="CP200" s="665"/>
      <c r="CQ200" s="665"/>
      <c r="CR200" s="665"/>
      <c r="CS200" s="665"/>
      <c r="CT200" s="665"/>
      <c r="CU200" s="665"/>
      <c r="CV200" s="665"/>
      <c r="CW200" s="665"/>
      <c r="CX200" s="665"/>
      <c r="CY200" s="665"/>
      <c r="CZ200" s="665"/>
      <c r="DA200" s="665"/>
      <c r="DB200" s="665"/>
      <c r="DC200" s="665"/>
      <c r="DD200" s="665"/>
      <c r="DE200" s="665"/>
      <c r="DF200" s="665"/>
      <c r="DG200" s="665"/>
      <c r="DH200" s="665"/>
      <c r="DI200" s="665"/>
      <c r="DJ200" s="668"/>
      <c r="DK200" s="665"/>
      <c r="DL200" s="665"/>
      <c r="DM200" s="665"/>
      <c r="DN200" s="665"/>
      <c r="DO200" s="665"/>
      <c r="DP200" s="665"/>
      <c r="DQ200" s="665"/>
      <c r="DR200" s="669"/>
      <c r="DS200" s="665"/>
      <c r="DT200" s="665"/>
      <c r="DU200" s="665"/>
      <c r="DV200" s="670"/>
      <c r="DW200" s="665"/>
      <c r="DX200" s="844"/>
      <c r="DY200" s="659"/>
    </row>
    <row r="201" spans="1:129" outlineLevel="1" thickTop="1">
      <c r="A201" s="1273" t="s">
        <v>684</v>
      </c>
      <c r="B201" s="1274">
        <v>0.47499999999999998</v>
      </c>
      <c r="C201" s="1274">
        <v>0.47499999999999998</v>
      </c>
      <c r="D201" s="1274">
        <v>0.47499999999999998</v>
      </c>
      <c r="E201" s="1274">
        <v>0.47499999999999998</v>
      </c>
      <c r="F201" s="1274">
        <v>0.47499999999999998</v>
      </c>
      <c r="G201" s="1275">
        <v>0.47499999999999998</v>
      </c>
      <c r="H201" s="1275"/>
      <c r="I201" s="1275">
        <v>0.47499999999999998</v>
      </c>
      <c r="J201" s="1275">
        <v>0.47499999999999998</v>
      </c>
      <c r="K201" s="1275">
        <v>0.47499999999999998</v>
      </c>
      <c r="L201" s="1275">
        <v>0.47499999999999998</v>
      </c>
      <c r="M201" s="1275">
        <v>0.47499999999999998</v>
      </c>
      <c r="N201" s="1276">
        <v>0.47499999999999998</v>
      </c>
      <c r="O201" s="1276">
        <v>0.47499999999999998</v>
      </c>
      <c r="P201" s="1277">
        <v>0.26500000000000001</v>
      </c>
      <c r="Q201" s="1278">
        <v>0.47499999999999998</v>
      </c>
      <c r="R201" s="1278">
        <v>0.47499999999999998</v>
      </c>
      <c r="S201" s="1278">
        <v>0.47499999999999998</v>
      </c>
      <c r="T201" s="1279">
        <v>0.47499999999999998</v>
      </c>
      <c r="U201" s="1278">
        <v>0.75</v>
      </c>
      <c r="V201" s="1280">
        <v>0.47499999999999998</v>
      </c>
      <c r="W201" s="1280"/>
      <c r="X201" s="1280"/>
      <c r="Y201" s="1281">
        <v>0.51400000000000001</v>
      </c>
      <c r="Z201" s="1275">
        <v>0.51400000000000001</v>
      </c>
      <c r="AA201" s="1274">
        <v>0.51400000000000001</v>
      </c>
      <c r="AB201" s="1274">
        <v>0.51400000000000001</v>
      </c>
      <c r="AC201" s="1274">
        <v>0.51400000000000001</v>
      </c>
      <c r="AD201" s="1274">
        <v>0.51400000000000001</v>
      </c>
      <c r="AE201" s="1274"/>
      <c r="AF201" s="1274"/>
      <c r="AG201" s="1274">
        <v>0.51400000000000001</v>
      </c>
      <c r="AH201" s="1274">
        <v>0.51400000000000001</v>
      </c>
      <c r="AI201" s="1274">
        <v>0.51400000000000001</v>
      </c>
      <c r="AJ201" s="1274"/>
      <c r="AK201" s="1274"/>
      <c r="AL201" s="1274">
        <v>0.51400000000000001</v>
      </c>
      <c r="AM201" s="1274">
        <v>0.51400000000000001</v>
      </c>
      <c r="AN201" s="1274">
        <v>0.51400000000000001</v>
      </c>
      <c r="AO201" s="1274">
        <v>0.51400000000000001</v>
      </c>
      <c r="AP201" s="1282">
        <v>0.51400000000000001</v>
      </c>
      <c r="AQ201" s="1275">
        <v>0.51400000000000001</v>
      </c>
      <c r="AR201" s="1278">
        <v>0.63300000000000001</v>
      </c>
      <c r="AS201" s="1278">
        <v>0.64600000000000002</v>
      </c>
      <c r="AT201" s="1278">
        <v>0.64600000000000002</v>
      </c>
      <c r="AU201" s="1278">
        <v>0.64600000000000002</v>
      </c>
      <c r="AV201" s="1278">
        <v>0.64600000000000002</v>
      </c>
      <c r="AW201" s="1283">
        <v>0.51400000000000001</v>
      </c>
      <c r="AX201" s="1284">
        <v>0.51400000000000001</v>
      </c>
      <c r="AY201" s="1284">
        <v>0.46300000000000002</v>
      </c>
      <c r="AZ201" s="1274">
        <v>0.46300000000000002</v>
      </c>
      <c r="BA201" s="1274">
        <v>0.46300000000000002</v>
      </c>
      <c r="BB201" s="1274">
        <v>0.46300000000000002</v>
      </c>
      <c r="BC201" s="1275">
        <v>0.46300000000000002</v>
      </c>
      <c r="BD201" s="1275">
        <v>0.46300000000000002</v>
      </c>
      <c r="BE201" s="1275">
        <v>0.46300000000000002</v>
      </c>
      <c r="BF201" s="1275">
        <v>0.46300000000000002</v>
      </c>
      <c r="BG201" s="1275">
        <v>0.46300000000000002</v>
      </c>
      <c r="BH201" s="1275">
        <v>0.46300000000000002</v>
      </c>
      <c r="BI201" s="1275">
        <v>0.46300000000000002</v>
      </c>
      <c r="BJ201" s="1275">
        <v>0.46300000000000002</v>
      </c>
      <c r="BK201" s="1275">
        <v>0.46300000000000002</v>
      </c>
      <c r="BL201" s="1281">
        <v>0.45900000000000002</v>
      </c>
      <c r="BM201" s="1281">
        <v>0.45900000000000002</v>
      </c>
      <c r="BN201" s="1281">
        <v>0.45900000000000002</v>
      </c>
      <c r="BO201" s="1274">
        <v>0.46300000000000002</v>
      </c>
      <c r="BP201" s="1275">
        <v>0.46300000000000002</v>
      </c>
      <c r="BQ201" s="1281">
        <v>0.45900000000000002</v>
      </c>
      <c r="BR201" s="1281">
        <v>0.46300000000000002</v>
      </c>
      <c r="BS201" s="1281">
        <v>0.46300000000000002</v>
      </c>
      <c r="BT201" s="1281">
        <v>0.45900000000000002</v>
      </c>
      <c r="BU201" s="1281">
        <v>0.45900000000000002</v>
      </c>
      <c r="BV201" s="1285">
        <v>0.45900000000000002</v>
      </c>
      <c r="BW201" s="1284">
        <v>0.3</v>
      </c>
      <c r="BX201" s="1281">
        <v>0.3</v>
      </c>
      <c r="BY201" s="1281">
        <v>0.3</v>
      </c>
      <c r="BZ201" s="1281">
        <v>0.24199999999999999</v>
      </c>
      <c r="CA201" s="1281">
        <v>0.24199999999999999</v>
      </c>
      <c r="CB201" s="1281">
        <v>0.24199999999999999</v>
      </c>
      <c r="CC201" s="1281">
        <v>0.24199999999999999</v>
      </c>
      <c r="CD201" s="1277">
        <v>0.26500000000000001</v>
      </c>
      <c r="CE201" s="1277">
        <v>0.26500000000000001</v>
      </c>
      <c r="CF201" s="1277">
        <v>0.26500000000000001</v>
      </c>
      <c r="CG201" s="1277">
        <v>0.26500000000000001</v>
      </c>
      <c r="CH201" s="1277">
        <v>0.26500000000000001</v>
      </c>
      <c r="CI201" s="1277"/>
      <c r="CJ201" s="1277"/>
      <c r="CK201" s="1281">
        <v>0.26500000000000001</v>
      </c>
      <c r="CL201" s="1281">
        <v>0.24199999999999999</v>
      </c>
      <c r="CM201" s="1281">
        <v>0.24199999999999999</v>
      </c>
      <c r="CN201" s="1281">
        <v>0.24199999999999999</v>
      </c>
      <c r="CO201" s="1281">
        <v>0.26500000000000001</v>
      </c>
      <c r="CP201" s="1276"/>
      <c r="CQ201" s="1276"/>
      <c r="CR201" s="1286">
        <v>0.36499999999999999</v>
      </c>
      <c r="CS201" s="1286"/>
      <c r="CT201" s="1286">
        <v>0.36499999999999999</v>
      </c>
      <c r="CU201" s="1286">
        <v>0.36499999999999999</v>
      </c>
      <c r="CV201" s="1286">
        <v>0.36499999999999999</v>
      </c>
      <c r="CW201" s="1286">
        <v>0.36499999999999999</v>
      </c>
      <c r="CX201" s="1276">
        <v>0.36</v>
      </c>
      <c r="CY201" s="1276">
        <v>0.36</v>
      </c>
      <c r="CZ201" s="1286">
        <v>0.35699999999999998</v>
      </c>
      <c r="DA201" s="1281">
        <v>0.49</v>
      </c>
      <c r="DB201" s="1281">
        <v>0.49</v>
      </c>
      <c r="DC201" s="1281">
        <v>0.49</v>
      </c>
      <c r="DD201" s="1281">
        <v>0.49</v>
      </c>
      <c r="DE201" s="1281"/>
      <c r="DF201" s="1281">
        <v>0.49</v>
      </c>
      <c r="DG201" s="1281">
        <v>0.49</v>
      </c>
      <c r="DH201" s="1281">
        <v>0.49</v>
      </c>
      <c r="DI201" s="1281">
        <v>0.49</v>
      </c>
      <c r="DJ201" s="1281">
        <v>0.76400000000000001</v>
      </c>
      <c r="DK201" s="1284">
        <v>0.76400000000000001</v>
      </c>
      <c r="DL201" s="1284">
        <v>0.76400000000000001</v>
      </c>
      <c r="DM201" s="1284">
        <v>0.76400000000000001</v>
      </c>
      <c r="DN201" s="1284">
        <v>0.76400000000000001</v>
      </c>
      <c r="DO201" s="1275">
        <v>0.85570000000000002</v>
      </c>
      <c r="DP201" s="1275">
        <v>0.85199999999999998</v>
      </c>
      <c r="DQ201" s="1278"/>
      <c r="DR201" s="1287"/>
      <c r="DS201" s="1278"/>
      <c r="DT201" s="1278"/>
      <c r="DU201" s="1278"/>
      <c r="DV201" s="1288"/>
      <c r="DW201" s="1288"/>
      <c r="DX201" s="1273" t="s">
        <v>684</v>
      </c>
      <c r="DY201" s="659"/>
    </row>
    <row r="202" spans="1:129" outlineLevel="1" thickBot="1">
      <c r="A202" s="1289" t="s">
        <v>685</v>
      </c>
      <c r="B202" s="1290">
        <v>68.5</v>
      </c>
      <c r="C202" s="1291"/>
      <c r="D202" s="1291"/>
      <c r="E202" s="1291"/>
      <c r="F202" s="1291"/>
      <c r="G202" s="1291"/>
      <c r="H202" s="1291"/>
      <c r="I202" s="1291"/>
      <c r="J202" s="1292"/>
      <c r="K202" s="1292"/>
      <c r="L202" s="1292"/>
      <c r="M202" s="1292"/>
      <c r="N202" s="1293"/>
      <c r="O202" s="1293"/>
      <c r="P202" s="1294"/>
      <c r="Q202" s="1292"/>
      <c r="R202" s="1292"/>
      <c r="S202" s="1292"/>
      <c r="T202" s="1295"/>
      <c r="U202" s="1292"/>
      <c r="V202" s="1292"/>
      <c r="W202" s="1292"/>
      <c r="X202" s="1292"/>
      <c r="Y202" s="1290"/>
      <c r="Z202" s="1291"/>
      <c r="AA202" s="1296"/>
      <c r="AB202" s="1296"/>
      <c r="AC202" s="1296"/>
      <c r="AD202" s="1296"/>
      <c r="AE202" s="1296"/>
      <c r="AF202" s="1296"/>
      <c r="AG202" s="1296"/>
      <c r="AH202" s="1296"/>
      <c r="AI202" s="1296"/>
      <c r="AJ202" s="1296"/>
      <c r="AK202" s="1296"/>
      <c r="AL202" s="1296"/>
      <c r="AM202" s="1296"/>
      <c r="AN202" s="1296"/>
      <c r="AO202" s="1297"/>
      <c r="AP202" s="1297"/>
      <c r="AQ202" s="1291"/>
      <c r="AR202" s="1298"/>
      <c r="AS202" s="1298"/>
      <c r="AT202" s="1298"/>
      <c r="AU202" s="1298"/>
      <c r="AV202" s="1298"/>
      <c r="AW202" s="1298"/>
      <c r="AX202" s="1298"/>
      <c r="AY202" s="1299"/>
      <c r="AZ202" s="1299"/>
      <c r="BA202" s="1300"/>
      <c r="BB202" s="1300"/>
      <c r="BC202" s="1301"/>
      <c r="BD202" s="1298"/>
      <c r="BE202" s="1298"/>
      <c r="BF202" s="1298"/>
      <c r="BG202" s="1298"/>
      <c r="BH202" s="1298"/>
      <c r="BI202" s="1298"/>
      <c r="BJ202" s="1298"/>
      <c r="BK202" s="1298"/>
      <c r="BL202" s="1299"/>
      <c r="BM202" s="1299"/>
      <c r="BN202" s="1299"/>
      <c r="BO202" s="1300"/>
      <c r="BP202" s="1301"/>
      <c r="BQ202" s="1301"/>
      <c r="BR202" s="1301"/>
      <c r="BS202" s="1301"/>
      <c r="BT202" s="1301"/>
      <c r="BU202" s="1301"/>
      <c r="BV202" s="1302"/>
      <c r="BW202" s="1303"/>
      <c r="BX202" s="1303"/>
      <c r="BY202" s="1303"/>
      <c r="BZ202" s="1304"/>
      <c r="CA202" s="1304"/>
      <c r="CB202" s="1304"/>
      <c r="CC202" s="1304"/>
      <c r="CD202" s="1305"/>
      <c r="CE202" s="1305"/>
      <c r="CF202" s="1305"/>
      <c r="CG202" s="1305"/>
      <c r="CH202" s="1305"/>
      <c r="CI202" s="1305"/>
      <c r="CJ202" s="1305"/>
      <c r="CK202" s="1304"/>
      <c r="CL202" s="1304"/>
      <c r="CM202" s="1304"/>
      <c r="CN202" s="1304"/>
      <c r="CO202" s="1304"/>
      <c r="CP202" s="1306"/>
      <c r="CQ202" s="1306"/>
      <c r="CR202" s="1306"/>
      <c r="CS202" s="1306"/>
      <c r="CT202" s="1306"/>
      <c r="CU202" s="1306"/>
      <c r="CV202" s="1306"/>
      <c r="CW202" s="1306"/>
      <c r="CX202" s="1306"/>
      <c r="CY202" s="1306"/>
      <c r="CZ202" s="1306"/>
      <c r="DA202" s="1307"/>
      <c r="DB202" s="1299"/>
      <c r="DC202" s="1299"/>
      <c r="DD202" s="1299"/>
      <c r="DE202" s="1299"/>
      <c r="DF202" s="1300"/>
      <c r="DG202" s="1300"/>
      <c r="DH202" s="1301"/>
      <c r="DI202" s="1301"/>
      <c r="DJ202" s="1307"/>
      <c r="DK202" s="1299"/>
      <c r="DL202" s="1299"/>
      <c r="DM202" s="1299"/>
      <c r="DN202" s="1299"/>
      <c r="DO202" s="1301"/>
      <c r="DP202" s="1301"/>
      <c r="DQ202" s="1298"/>
      <c r="DR202" s="1308"/>
      <c r="DS202" s="1298"/>
      <c r="DT202" s="1298"/>
      <c r="DU202" s="1298"/>
      <c r="DV202" s="1309"/>
      <c r="DW202" s="1309"/>
      <c r="DX202" s="1289" t="s">
        <v>685</v>
      </c>
      <c r="DY202" s="659"/>
    </row>
    <row r="203" spans="1:129" ht="28.2" collapsed="1" thickTop="1">
      <c r="A203" s="1310" t="s">
        <v>686</v>
      </c>
      <c r="B203" s="1311">
        <f t="shared" ref="B203:AD203" si="269">B171/$B$202*B201</f>
        <v>0</v>
      </c>
      <c r="C203" s="1311">
        <f t="shared" si="269"/>
        <v>0</v>
      </c>
      <c r="D203" s="1311">
        <f t="shared" si="269"/>
        <v>0</v>
      </c>
      <c r="E203" s="1311">
        <f t="shared" si="269"/>
        <v>0</v>
      </c>
      <c r="F203" s="1311">
        <f t="shared" si="269"/>
        <v>0</v>
      </c>
      <c r="G203" s="1312">
        <f t="shared" si="269"/>
        <v>0</v>
      </c>
      <c r="H203" s="1312">
        <f>H171/$B$202*H201</f>
        <v>0</v>
      </c>
      <c r="I203" s="1312">
        <f t="shared" si="269"/>
        <v>0</v>
      </c>
      <c r="J203" s="1312">
        <f t="shared" si="269"/>
        <v>0</v>
      </c>
      <c r="K203" s="1312">
        <f t="shared" si="269"/>
        <v>0</v>
      </c>
      <c r="L203" s="1312">
        <f t="shared" si="269"/>
        <v>0</v>
      </c>
      <c r="M203" s="1312">
        <f t="shared" si="269"/>
        <v>0</v>
      </c>
      <c r="N203" s="1313">
        <f t="shared" si="269"/>
        <v>0</v>
      </c>
      <c r="O203" s="1313">
        <f t="shared" si="269"/>
        <v>0</v>
      </c>
      <c r="P203" s="1314">
        <f t="shared" si="269"/>
        <v>0</v>
      </c>
      <c r="Q203" s="1315">
        <f t="shared" si="269"/>
        <v>0</v>
      </c>
      <c r="R203" s="1315">
        <f t="shared" si="269"/>
        <v>0</v>
      </c>
      <c r="S203" s="1315">
        <f t="shared" si="269"/>
        <v>0</v>
      </c>
      <c r="T203" s="1316">
        <f t="shared" si="269"/>
        <v>0</v>
      </c>
      <c r="U203" s="1315">
        <f t="shared" si="269"/>
        <v>0</v>
      </c>
      <c r="V203" s="1315">
        <f t="shared" si="269"/>
        <v>0</v>
      </c>
      <c r="W203" s="1315">
        <f>W171/$B$202*W201</f>
        <v>0</v>
      </c>
      <c r="X203" s="1315">
        <f>X171/$B$202*X201</f>
        <v>0</v>
      </c>
      <c r="Y203" s="1317">
        <f t="shared" si="269"/>
        <v>0</v>
      </c>
      <c r="Z203" s="1312">
        <f t="shared" si="269"/>
        <v>0</v>
      </c>
      <c r="AA203" s="1311">
        <f t="shared" si="269"/>
        <v>0</v>
      </c>
      <c r="AB203" s="1311">
        <f t="shared" si="269"/>
        <v>0</v>
      </c>
      <c r="AC203" s="1311">
        <f t="shared" si="269"/>
        <v>0</v>
      </c>
      <c r="AD203" s="1311">
        <f t="shared" si="269"/>
        <v>0</v>
      </c>
      <c r="AE203" s="1311">
        <f>AE171/$B$202*AE201</f>
        <v>0</v>
      </c>
      <c r="AF203" s="1311">
        <f>AF171/$B$202*AF201</f>
        <v>0</v>
      </c>
      <c r="AG203" s="1311">
        <f t="shared" ref="AG203:CR206" si="270">AG171/$B$202*AG201</f>
        <v>0</v>
      </c>
      <c r="AH203" s="1311">
        <f t="shared" si="270"/>
        <v>0</v>
      </c>
      <c r="AI203" s="1311">
        <f t="shared" si="270"/>
        <v>0</v>
      </c>
      <c r="AJ203" s="1311">
        <f t="shared" si="270"/>
        <v>0</v>
      </c>
      <c r="AK203" s="1311">
        <f t="shared" si="270"/>
        <v>0</v>
      </c>
      <c r="AL203" s="1311">
        <f t="shared" si="270"/>
        <v>0</v>
      </c>
      <c r="AM203" s="1314">
        <f t="shared" si="270"/>
        <v>0</v>
      </c>
      <c r="AN203" s="1314">
        <f t="shared" si="270"/>
        <v>0</v>
      </c>
      <c r="AO203" s="1314">
        <f t="shared" si="270"/>
        <v>0</v>
      </c>
      <c r="AP203" s="1314">
        <f t="shared" si="270"/>
        <v>0</v>
      </c>
      <c r="AQ203" s="1312">
        <f t="shared" si="270"/>
        <v>0</v>
      </c>
      <c r="AR203" s="1318">
        <f t="shared" si="270"/>
        <v>0</v>
      </c>
      <c r="AS203" s="1318">
        <f t="shared" si="270"/>
        <v>0</v>
      </c>
      <c r="AT203" s="1318">
        <f t="shared" si="270"/>
        <v>0</v>
      </c>
      <c r="AU203" s="1318">
        <f t="shared" si="270"/>
        <v>0</v>
      </c>
      <c r="AV203" s="1318">
        <f t="shared" si="270"/>
        <v>0</v>
      </c>
      <c r="AW203" s="1319">
        <f t="shared" si="270"/>
        <v>0</v>
      </c>
      <c r="AX203" s="1320">
        <f t="shared" si="270"/>
        <v>0</v>
      </c>
      <c r="AY203" s="1321">
        <f t="shared" si="270"/>
        <v>0</v>
      </c>
      <c r="AZ203" s="1311">
        <f t="shared" si="270"/>
        <v>0</v>
      </c>
      <c r="BA203" s="1311">
        <f t="shared" si="270"/>
        <v>0</v>
      </c>
      <c r="BB203" s="1311">
        <f t="shared" si="270"/>
        <v>0</v>
      </c>
      <c r="BC203" s="1311">
        <f t="shared" si="270"/>
        <v>0</v>
      </c>
      <c r="BD203" s="1311">
        <f t="shared" si="270"/>
        <v>0</v>
      </c>
      <c r="BE203" s="1311">
        <f t="shared" si="270"/>
        <v>0</v>
      </c>
      <c r="BF203" s="1311">
        <f t="shared" si="270"/>
        <v>0</v>
      </c>
      <c r="BG203" s="1311">
        <f t="shared" si="270"/>
        <v>0</v>
      </c>
      <c r="BH203" s="1311">
        <f>BH171/$B$202*BH201</f>
        <v>0</v>
      </c>
      <c r="BI203" s="1311">
        <f>BI171/$B$202*BI201</f>
        <v>0</v>
      </c>
      <c r="BJ203" s="1311">
        <f t="shared" si="270"/>
        <v>0</v>
      </c>
      <c r="BK203" s="1311">
        <f t="shared" si="270"/>
        <v>0</v>
      </c>
      <c r="BL203" s="1311">
        <f t="shared" si="270"/>
        <v>0</v>
      </c>
      <c r="BM203" s="1311">
        <f t="shared" si="270"/>
        <v>0</v>
      </c>
      <c r="BN203" s="1311">
        <f t="shared" si="270"/>
        <v>0</v>
      </c>
      <c r="BO203" s="1311">
        <f t="shared" si="270"/>
        <v>0</v>
      </c>
      <c r="BP203" s="1311">
        <f t="shared" si="270"/>
        <v>0</v>
      </c>
      <c r="BQ203" s="1311">
        <f t="shared" si="270"/>
        <v>0</v>
      </c>
      <c r="BR203" s="1311">
        <f>BR171/$B$202*BR201</f>
        <v>0</v>
      </c>
      <c r="BS203" s="1311">
        <f>BS171/$B$202*BS201</f>
        <v>0</v>
      </c>
      <c r="BT203" s="1311">
        <f t="shared" si="270"/>
        <v>0</v>
      </c>
      <c r="BU203" s="1311">
        <f t="shared" si="270"/>
        <v>0</v>
      </c>
      <c r="BV203" s="1311">
        <f t="shared" si="270"/>
        <v>0</v>
      </c>
      <c r="BW203" s="1311">
        <f t="shared" si="270"/>
        <v>0</v>
      </c>
      <c r="BX203" s="1311">
        <f t="shared" si="270"/>
        <v>0</v>
      </c>
      <c r="BY203" s="1311">
        <f t="shared" si="270"/>
        <v>0</v>
      </c>
      <c r="BZ203" s="1322">
        <f t="shared" si="270"/>
        <v>0</v>
      </c>
      <c r="CA203" s="1322">
        <f t="shared" si="270"/>
        <v>0</v>
      </c>
      <c r="CB203" s="1322">
        <f t="shared" si="270"/>
        <v>0</v>
      </c>
      <c r="CC203" s="1322">
        <f t="shared" si="270"/>
        <v>0</v>
      </c>
      <c r="CD203" s="1323">
        <f t="shared" si="270"/>
        <v>0</v>
      </c>
      <c r="CE203" s="1323">
        <f t="shared" si="270"/>
        <v>0</v>
      </c>
      <c r="CF203" s="1323">
        <f t="shared" si="270"/>
        <v>0</v>
      </c>
      <c r="CG203" s="1323">
        <f t="shared" si="270"/>
        <v>0</v>
      </c>
      <c r="CH203" s="1323">
        <f t="shared" si="270"/>
        <v>0</v>
      </c>
      <c r="CI203" s="1323">
        <f t="shared" si="270"/>
        <v>0</v>
      </c>
      <c r="CJ203" s="1323">
        <f t="shared" si="270"/>
        <v>0</v>
      </c>
      <c r="CK203" s="1322">
        <f t="shared" si="270"/>
        <v>0</v>
      </c>
      <c r="CL203" s="1322">
        <f t="shared" si="270"/>
        <v>0</v>
      </c>
      <c r="CM203" s="1322">
        <f t="shared" si="270"/>
        <v>0</v>
      </c>
      <c r="CN203" s="1322">
        <f t="shared" si="270"/>
        <v>0</v>
      </c>
      <c r="CO203" s="1322">
        <f t="shared" si="270"/>
        <v>0</v>
      </c>
      <c r="CP203" s="1313">
        <f t="shared" si="270"/>
        <v>0</v>
      </c>
      <c r="CQ203" s="1313">
        <f>CQ171/$B$202*CQ201</f>
        <v>0</v>
      </c>
      <c r="CR203" s="1317">
        <f t="shared" si="270"/>
        <v>0</v>
      </c>
      <c r="CS203" s="1317">
        <f>CS171/$B$202*CS201</f>
        <v>0</v>
      </c>
      <c r="CT203" s="1322">
        <f t="shared" ref="CT203:DS203" si="271">CT171/$B$202*CT201</f>
        <v>0</v>
      </c>
      <c r="CU203" s="1322">
        <f t="shared" si="271"/>
        <v>0</v>
      </c>
      <c r="CV203" s="1322">
        <f t="shared" si="271"/>
        <v>0</v>
      </c>
      <c r="CW203" s="1324">
        <f t="shared" si="271"/>
        <v>0</v>
      </c>
      <c r="CX203" s="1313">
        <f t="shared" si="271"/>
        <v>0</v>
      </c>
      <c r="CY203" s="1313">
        <f t="shared" si="271"/>
        <v>0</v>
      </c>
      <c r="CZ203" s="1311">
        <f t="shared" si="271"/>
        <v>0</v>
      </c>
      <c r="DA203" s="1317">
        <f t="shared" si="271"/>
        <v>0</v>
      </c>
      <c r="DB203" s="1311">
        <f t="shared" si="271"/>
        <v>0</v>
      </c>
      <c r="DC203" s="1311">
        <f t="shared" si="271"/>
        <v>0</v>
      </c>
      <c r="DD203" s="1311">
        <f t="shared" si="271"/>
        <v>0</v>
      </c>
      <c r="DE203" s="1311">
        <f>DE171/$B$202*DE201</f>
        <v>0</v>
      </c>
      <c r="DF203" s="1311">
        <f t="shared" si="271"/>
        <v>0</v>
      </c>
      <c r="DG203" s="1311">
        <f t="shared" si="271"/>
        <v>0</v>
      </c>
      <c r="DH203" s="1311">
        <f t="shared" si="271"/>
        <v>0</v>
      </c>
      <c r="DI203" s="1311">
        <f t="shared" si="271"/>
        <v>0</v>
      </c>
      <c r="DJ203" s="1317">
        <f t="shared" si="271"/>
        <v>0</v>
      </c>
      <c r="DK203" s="1311">
        <f t="shared" si="271"/>
        <v>0</v>
      </c>
      <c r="DL203" s="1311">
        <f t="shared" si="271"/>
        <v>0</v>
      </c>
      <c r="DM203" s="1311">
        <f t="shared" si="271"/>
        <v>0</v>
      </c>
      <c r="DN203" s="1311">
        <f t="shared" si="271"/>
        <v>0</v>
      </c>
      <c r="DO203" s="1311">
        <f t="shared" si="271"/>
        <v>0</v>
      </c>
      <c r="DP203" s="1311">
        <f t="shared" si="271"/>
        <v>0</v>
      </c>
      <c r="DQ203" s="1315">
        <f t="shared" si="271"/>
        <v>0</v>
      </c>
      <c r="DR203" s="1325">
        <f t="shared" si="271"/>
        <v>0</v>
      </c>
      <c r="DS203" s="1325">
        <f t="shared" si="271"/>
        <v>0</v>
      </c>
      <c r="DT203" s="1315"/>
      <c r="DU203" s="1325">
        <f>DU171/$B$202*DU201</f>
        <v>0</v>
      </c>
      <c r="DV203" s="1320">
        <f>DV171/$B$202*DV201</f>
        <v>0</v>
      </c>
      <c r="DW203" s="1320">
        <f>SUM(B203:DV203)</f>
        <v>0</v>
      </c>
      <c r="DX203" s="1310" t="s">
        <v>686</v>
      </c>
      <c r="DY203" s="659"/>
    </row>
    <row r="204" spans="1:129" ht="27.6">
      <c r="A204" s="1310" t="s">
        <v>687</v>
      </c>
      <c r="B204" s="1311">
        <f t="shared" ref="B204:AF206" si="272">B182/$B$202*B$201</f>
        <v>0</v>
      </c>
      <c r="C204" s="1311">
        <f t="shared" si="272"/>
        <v>0</v>
      </c>
      <c r="D204" s="1311">
        <f t="shared" si="272"/>
        <v>0</v>
      </c>
      <c r="E204" s="1311">
        <f t="shared" si="272"/>
        <v>0</v>
      </c>
      <c r="F204" s="1311">
        <f t="shared" si="272"/>
        <v>0</v>
      </c>
      <c r="G204" s="1312">
        <f t="shared" si="272"/>
        <v>0</v>
      </c>
      <c r="H204" s="1312">
        <f>H182/$B$202*H$201</f>
        <v>0</v>
      </c>
      <c r="I204" s="1312">
        <f t="shared" si="272"/>
        <v>0</v>
      </c>
      <c r="J204" s="1312">
        <f t="shared" si="272"/>
        <v>0</v>
      </c>
      <c r="K204" s="1312">
        <f t="shared" si="272"/>
        <v>0</v>
      </c>
      <c r="L204" s="1312">
        <f t="shared" si="272"/>
        <v>0</v>
      </c>
      <c r="M204" s="1312">
        <f t="shared" si="272"/>
        <v>0</v>
      </c>
      <c r="N204" s="1313">
        <f t="shared" si="272"/>
        <v>0</v>
      </c>
      <c r="O204" s="1313">
        <f t="shared" si="272"/>
        <v>0</v>
      </c>
      <c r="P204" s="1314">
        <f t="shared" si="272"/>
        <v>0</v>
      </c>
      <c r="Q204" s="1315">
        <f t="shared" si="272"/>
        <v>0</v>
      </c>
      <c r="R204" s="1315">
        <f t="shared" si="272"/>
        <v>0</v>
      </c>
      <c r="S204" s="1315">
        <f t="shared" si="272"/>
        <v>0</v>
      </c>
      <c r="T204" s="1316">
        <f t="shared" si="272"/>
        <v>0</v>
      </c>
      <c r="U204" s="1315">
        <f t="shared" si="272"/>
        <v>0</v>
      </c>
      <c r="V204" s="1315">
        <f t="shared" si="272"/>
        <v>0</v>
      </c>
      <c r="W204" s="1315">
        <f t="shared" si="272"/>
        <v>0</v>
      </c>
      <c r="X204" s="1315">
        <f t="shared" si="272"/>
        <v>0</v>
      </c>
      <c r="Y204" s="1317">
        <f t="shared" si="272"/>
        <v>0</v>
      </c>
      <c r="Z204" s="1312">
        <f t="shared" si="272"/>
        <v>0</v>
      </c>
      <c r="AA204" s="1311">
        <f t="shared" si="272"/>
        <v>0</v>
      </c>
      <c r="AB204" s="1311">
        <f t="shared" si="272"/>
        <v>0</v>
      </c>
      <c r="AC204" s="1311">
        <f t="shared" si="272"/>
        <v>0</v>
      </c>
      <c r="AD204" s="1311">
        <f t="shared" si="272"/>
        <v>0</v>
      </c>
      <c r="AE204" s="1311">
        <f t="shared" si="272"/>
        <v>0</v>
      </c>
      <c r="AF204" s="1311">
        <f t="shared" si="272"/>
        <v>0</v>
      </c>
      <c r="AG204" s="1311">
        <f t="shared" si="270"/>
        <v>0</v>
      </c>
      <c r="AH204" s="1311">
        <f t="shared" si="270"/>
        <v>0</v>
      </c>
      <c r="AI204" s="1311">
        <f t="shared" si="270"/>
        <v>0</v>
      </c>
      <c r="AJ204" s="1311">
        <f t="shared" si="270"/>
        <v>0</v>
      </c>
      <c r="AK204" s="1311">
        <f t="shared" si="270"/>
        <v>0</v>
      </c>
      <c r="AL204" s="1311">
        <f t="shared" ref="AL204:CW206" si="273">AL182/$B$202*AL$201</f>
        <v>0</v>
      </c>
      <c r="AM204" s="1314">
        <f t="shared" si="273"/>
        <v>0</v>
      </c>
      <c r="AN204" s="1314">
        <f t="shared" si="273"/>
        <v>0</v>
      </c>
      <c r="AO204" s="1314">
        <f t="shared" si="273"/>
        <v>0</v>
      </c>
      <c r="AP204" s="1314">
        <f t="shared" si="273"/>
        <v>0</v>
      </c>
      <c r="AQ204" s="1312">
        <f t="shared" si="273"/>
        <v>0</v>
      </c>
      <c r="AR204" s="1318">
        <f t="shared" si="273"/>
        <v>0</v>
      </c>
      <c r="AS204" s="1318">
        <f t="shared" si="273"/>
        <v>0</v>
      </c>
      <c r="AT204" s="1318">
        <f t="shared" si="273"/>
        <v>0</v>
      </c>
      <c r="AU204" s="1318">
        <f t="shared" si="273"/>
        <v>0</v>
      </c>
      <c r="AV204" s="1318">
        <f t="shared" si="273"/>
        <v>0</v>
      </c>
      <c r="AW204" s="1319">
        <f t="shared" si="273"/>
        <v>0</v>
      </c>
      <c r="AX204" s="1320">
        <f t="shared" si="273"/>
        <v>0</v>
      </c>
      <c r="AY204" s="1321">
        <f t="shared" si="273"/>
        <v>0</v>
      </c>
      <c r="AZ204" s="1311">
        <f t="shared" si="273"/>
        <v>0</v>
      </c>
      <c r="BA204" s="1311">
        <f t="shared" si="273"/>
        <v>0</v>
      </c>
      <c r="BB204" s="1311">
        <f t="shared" si="273"/>
        <v>0</v>
      </c>
      <c r="BC204" s="1311">
        <f t="shared" si="273"/>
        <v>0</v>
      </c>
      <c r="BD204" s="1311">
        <f t="shared" si="273"/>
        <v>0</v>
      </c>
      <c r="BE204" s="1311">
        <f t="shared" si="273"/>
        <v>0</v>
      </c>
      <c r="BF204" s="1311">
        <f t="shared" si="273"/>
        <v>0</v>
      </c>
      <c r="BG204" s="1311">
        <f t="shared" si="273"/>
        <v>0</v>
      </c>
      <c r="BH204" s="1311">
        <f t="shared" si="273"/>
        <v>0</v>
      </c>
      <c r="BI204" s="1311">
        <f t="shared" si="273"/>
        <v>0</v>
      </c>
      <c r="BJ204" s="1311">
        <f t="shared" si="273"/>
        <v>0</v>
      </c>
      <c r="BK204" s="1311">
        <f t="shared" si="273"/>
        <v>0</v>
      </c>
      <c r="BL204" s="1311">
        <f t="shared" si="273"/>
        <v>0</v>
      </c>
      <c r="BM204" s="1311">
        <f t="shared" si="273"/>
        <v>0</v>
      </c>
      <c r="BN204" s="1311">
        <f t="shared" si="273"/>
        <v>0</v>
      </c>
      <c r="BO204" s="1311">
        <f t="shared" si="273"/>
        <v>0</v>
      </c>
      <c r="BP204" s="1311">
        <f t="shared" si="273"/>
        <v>0</v>
      </c>
      <c r="BQ204" s="1311">
        <f t="shared" si="273"/>
        <v>0</v>
      </c>
      <c r="BR204" s="1311">
        <f t="shared" si="273"/>
        <v>0</v>
      </c>
      <c r="BS204" s="1311">
        <f t="shared" si="273"/>
        <v>0</v>
      </c>
      <c r="BT204" s="1311">
        <f t="shared" si="273"/>
        <v>0</v>
      </c>
      <c r="BU204" s="1311">
        <f t="shared" si="273"/>
        <v>0</v>
      </c>
      <c r="BV204" s="1311">
        <f t="shared" si="273"/>
        <v>0</v>
      </c>
      <c r="BW204" s="1311">
        <f t="shared" si="273"/>
        <v>0</v>
      </c>
      <c r="BX204" s="1311">
        <f t="shared" si="273"/>
        <v>0</v>
      </c>
      <c r="BY204" s="1311">
        <f t="shared" si="273"/>
        <v>0</v>
      </c>
      <c r="BZ204" s="1311">
        <f t="shared" si="273"/>
        <v>0</v>
      </c>
      <c r="CA204" s="1311">
        <f t="shared" si="273"/>
        <v>0</v>
      </c>
      <c r="CB204" s="1311">
        <f t="shared" si="273"/>
        <v>0</v>
      </c>
      <c r="CC204" s="1311">
        <f t="shared" si="273"/>
        <v>0</v>
      </c>
      <c r="CD204" s="1314">
        <f t="shared" si="273"/>
        <v>0</v>
      </c>
      <c r="CE204" s="1314">
        <f t="shared" si="273"/>
        <v>0</v>
      </c>
      <c r="CF204" s="1314">
        <f t="shared" si="273"/>
        <v>0</v>
      </c>
      <c r="CG204" s="1314">
        <f t="shared" si="273"/>
        <v>0</v>
      </c>
      <c r="CH204" s="1314">
        <f t="shared" si="270"/>
        <v>0</v>
      </c>
      <c r="CI204" s="1314">
        <f t="shared" si="270"/>
        <v>0</v>
      </c>
      <c r="CJ204" s="1314">
        <f t="shared" si="270"/>
        <v>0</v>
      </c>
      <c r="CK204" s="1311">
        <f t="shared" si="273"/>
        <v>0</v>
      </c>
      <c r="CL204" s="1311">
        <f t="shared" si="273"/>
        <v>0</v>
      </c>
      <c r="CM204" s="1311">
        <f t="shared" si="273"/>
        <v>0</v>
      </c>
      <c r="CN204" s="1311">
        <f t="shared" si="273"/>
        <v>0</v>
      </c>
      <c r="CO204" s="1311">
        <f t="shared" si="273"/>
        <v>0</v>
      </c>
      <c r="CP204" s="1313">
        <f t="shared" si="273"/>
        <v>0</v>
      </c>
      <c r="CQ204" s="1313">
        <f>CQ182/$B$202*CQ$201</f>
        <v>0</v>
      </c>
      <c r="CR204" s="1317">
        <f t="shared" si="273"/>
        <v>0</v>
      </c>
      <c r="CS204" s="1317">
        <f>CS182/$B$202*CS$201</f>
        <v>0</v>
      </c>
      <c r="CT204" s="1311">
        <f t="shared" si="273"/>
        <v>0</v>
      </c>
      <c r="CU204" s="1311">
        <f t="shared" si="273"/>
        <v>0</v>
      </c>
      <c r="CV204" s="1311">
        <f t="shared" si="273"/>
        <v>0</v>
      </c>
      <c r="CW204" s="1324">
        <f t="shared" si="273"/>
        <v>0</v>
      </c>
      <c r="CX204" s="1313">
        <f t="shared" ref="CX204:DS206" si="274">CX182/$B$202*CX$201</f>
        <v>0</v>
      </c>
      <c r="CY204" s="1313">
        <f t="shared" si="274"/>
        <v>0</v>
      </c>
      <c r="CZ204" s="1311">
        <f t="shared" si="274"/>
        <v>0</v>
      </c>
      <c r="DA204" s="1317">
        <f t="shared" si="274"/>
        <v>0</v>
      </c>
      <c r="DB204" s="1311">
        <f t="shared" si="274"/>
        <v>0</v>
      </c>
      <c r="DC204" s="1311">
        <f t="shared" si="274"/>
        <v>0</v>
      </c>
      <c r="DD204" s="1311">
        <f t="shared" si="274"/>
        <v>0</v>
      </c>
      <c r="DE204" s="1311">
        <f>DE182/$B$202*DE$201</f>
        <v>0</v>
      </c>
      <c r="DF204" s="1311">
        <f t="shared" si="274"/>
        <v>0</v>
      </c>
      <c r="DG204" s="1311">
        <f t="shared" si="274"/>
        <v>0</v>
      </c>
      <c r="DH204" s="1311">
        <f t="shared" si="274"/>
        <v>0</v>
      </c>
      <c r="DI204" s="1311">
        <f t="shared" si="274"/>
        <v>0</v>
      </c>
      <c r="DJ204" s="1317">
        <f t="shared" si="274"/>
        <v>0</v>
      </c>
      <c r="DK204" s="1311">
        <f t="shared" si="274"/>
        <v>0</v>
      </c>
      <c r="DL204" s="1311">
        <f t="shared" si="274"/>
        <v>0</v>
      </c>
      <c r="DM204" s="1311">
        <f t="shared" si="274"/>
        <v>0</v>
      </c>
      <c r="DN204" s="1311">
        <f t="shared" si="274"/>
        <v>0</v>
      </c>
      <c r="DO204" s="1311">
        <f t="shared" si="274"/>
        <v>0</v>
      </c>
      <c r="DP204" s="1312">
        <f t="shared" si="274"/>
        <v>0</v>
      </c>
      <c r="DQ204" s="1315">
        <f t="shared" si="274"/>
        <v>0</v>
      </c>
      <c r="DR204" s="1325">
        <f t="shared" si="274"/>
        <v>0</v>
      </c>
      <c r="DS204" s="1325">
        <f t="shared" si="274"/>
        <v>0</v>
      </c>
      <c r="DT204" s="1315"/>
      <c r="DU204" s="1325">
        <f t="shared" ref="DU204:DV206" si="275">DU182/$B$202*DU$201</f>
        <v>0</v>
      </c>
      <c r="DV204" s="1320">
        <f t="shared" si="275"/>
        <v>0</v>
      </c>
      <c r="DW204" s="1320">
        <f>SUM(B204:DV204)</f>
        <v>0</v>
      </c>
      <c r="DX204" s="1310" t="s">
        <v>687</v>
      </c>
      <c r="DY204" s="659"/>
    </row>
    <row r="205" spans="1:129" ht="27.6">
      <c r="A205" s="1310" t="s">
        <v>688</v>
      </c>
      <c r="B205" s="1311">
        <f t="shared" si="272"/>
        <v>0</v>
      </c>
      <c r="C205" s="1311">
        <f t="shared" si="272"/>
        <v>0</v>
      </c>
      <c r="D205" s="1311">
        <f t="shared" si="272"/>
        <v>0</v>
      </c>
      <c r="E205" s="1311">
        <f t="shared" si="272"/>
        <v>0</v>
      </c>
      <c r="F205" s="1311">
        <f t="shared" si="272"/>
        <v>0</v>
      </c>
      <c r="G205" s="1312">
        <f t="shared" si="272"/>
        <v>0</v>
      </c>
      <c r="H205" s="1312">
        <f>H183/$B$202*H$201</f>
        <v>0</v>
      </c>
      <c r="I205" s="1312">
        <f t="shared" si="272"/>
        <v>0</v>
      </c>
      <c r="J205" s="1312">
        <f t="shared" si="272"/>
        <v>0</v>
      </c>
      <c r="K205" s="1312">
        <f t="shared" si="272"/>
        <v>0</v>
      </c>
      <c r="L205" s="1312">
        <f t="shared" si="272"/>
        <v>0</v>
      </c>
      <c r="M205" s="1312">
        <f t="shared" si="272"/>
        <v>0</v>
      </c>
      <c r="N205" s="1313">
        <f t="shared" si="272"/>
        <v>0</v>
      </c>
      <c r="O205" s="1313">
        <f t="shared" si="272"/>
        <v>0</v>
      </c>
      <c r="P205" s="1314">
        <f t="shared" si="272"/>
        <v>0</v>
      </c>
      <c r="Q205" s="1315">
        <f t="shared" si="272"/>
        <v>0</v>
      </c>
      <c r="R205" s="1315">
        <f t="shared" si="272"/>
        <v>0</v>
      </c>
      <c r="S205" s="1315">
        <f t="shared" si="272"/>
        <v>0</v>
      </c>
      <c r="T205" s="1316">
        <f t="shared" si="272"/>
        <v>0</v>
      </c>
      <c r="U205" s="1315">
        <f t="shared" si="272"/>
        <v>0</v>
      </c>
      <c r="V205" s="1315">
        <f t="shared" si="272"/>
        <v>0</v>
      </c>
      <c r="W205" s="1315">
        <f t="shared" si="272"/>
        <v>0</v>
      </c>
      <c r="X205" s="1315">
        <f t="shared" si="272"/>
        <v>0</v>
      </c>
      <c r="Y205" s="1317">
        <f t="shared" si="272"/>
        <v>0</v>
      </c>
      <c r="Z205" s="1312">
        <f t="shared" si="272"/>
        <v>0</v>
      </c>
      <c r="AA205" s="1311">
        <f t="shared" si="272"/>
        <v>0</v>
      </c>
      <c r="AB205" s="1311">
        <f t="shared" si="272"/>
        <v>0</v>
      </c>
      <c r="AC205" s="1311">
        <f t="shared" si="272"/>
        <v>0</v>
      </c>
      <c r="AD205" s="1311">
        <f t="shared" si="272"/>
        <v>0</v>
      </c>
      <c r="AE205" s="1311">
        <f t="shared" si="272"/>
        <v>0</v>
      </c>
      <c r="AF205" s="1311">
        <f t="shared" si="272"/>
        <v>0</v>
      </c>
      <c r="AG205" s="1311">
        <f t="shared" si="270"/>
        <v>0</v>
      </c>
      <c r="AH205" s="1311">
        <f t="shared" si="270"/>
        <v>0</v>
      </c>
      <c r="AI205" s="1311">
        <f t="shared" si="270"/>
        <v>0</v>
      </c>
      <c r="AJ205" s="1311">
        <f t="shared" si="270"/>
        <v>0</v>
      </c>
      <c r="AK205" s="1311">
        <f t="shared" si="270"/>
        <v>0</v>
      </c>
      <c r="AL205" s="1311">
        <f t="shared" si="273"/>
        <v>0</v>
      </c>
      <c r="AM205" s="1314">
        <f t="shared" si="273"/>
        <v>0</v>
      </c>
      <c r="AN205" s="1314">
        <f t="shared" si="273"/>
        <v>0</v>
      </c>
      <c r="AO205" s="1314">
        <f t="shared" si="273"/>
        <v>0</v>
      </c>
      <c r="AP205" s="1314">
        <f t="shared" si="273"/>
        <v>0</v>
      </c>
      <c r="AQ205" s="1312">
        <f t="shared" si="273"/>
        <v>0</v>
      </c>
      <c r="AR205" s="1318">
        <f t="shared" si="273"/>
        <v>0</v>
      </c>
      <c r="AS205" s="1318">
        <f t="shared" si="273"/>
        <v>0</v>
      </c>
      <c r="AT205" s="1318">
        <f t="shared" si="273"/>
        <v>0</v>
      </c>
      <c r="AU205" s="1318">
        <f t="shared" si="273"/>
        <v>0</v>
      </c>
      <c r="AV205" s="1318">
        <f t="shared" si="273"/>
        <v>0</v>
      </c>
      <c r="AW205" s="1319">
        <f t="shared" si="273"/>
        <v>0</v>
      </c>
      <c r="AX205" s="1320">
        <f t="shared" si="273"/>
        <v>0</v>
      </c>
      <c r="AY205" s="1321">
        <f t="shared" si="273"/>
        <v>0</v>
      </c>
      <c r="AZ205" s="1311">
        <f t="shared" si="273"/>
        <v>0</v>
      </c>
      <c r="BA205" s="1311">
        <f t="shared" si="273"/>
        <v>0</v>
      </c>
      <c r="BB205" s="1311">
        <f t="shared" si="273"/>
        <v>0</v>
      </c>
      <c r="BC205" s="1311">
        <f t="shared" si="273"/>
        <v>0</v>
      </c>
      <c r="BD205" s="1311">
        <f t="shared" si="273"/>
        <v>0</v>
      </c>
      <c r="BE205" s="1311">
        <f t="shared" si="273"/>
        <v>0</v>
      </c>
      <c r="BF205" s="1311">
        <f t="shared" si="273"/>
        <v>0</v>
      </c>
      <c r="BG205" s="1311">
        <f t="shared" si="273"/>
        <v>0</v>
      </c>
      <c r="BH205" s="1311">
        <f t="shared" si="273"/>
        <v>0</v>
      </c>
      <c r="BI205" s="1311">
        <f t="shared" si="273"/>
        <v>0</v>
      </c>
      <c r="BJ205" s="1311">
        <f t="shared" si="273"/>
        <v>0</v>
      </c>
      <c r="BK205" s="1311">
        <f t="shared" si="273"/>
        <v>0</v>
      </c>
      <c r="BL205" s="1311">
        <f t="shared" si="273"/>
        <v>0</v>
      </c>
      <c r="BM205" s="1311">
        <f t="shared" si="273"/>
        <v>0</v>
      </c>
      <c r="BN205" s="1311">
        <f t="shared" si="273"/>
        <v>0</v>
      </c>
      <c r="BO205" s="1311">
        <f t="shared" si="273"/>
        <v>0</v>
      </c>
      <c r="BP205" s="1311">
        <f t="shared" si="273"/>
        <v>0</v>
      </c>
      <c r="BQ205" s="1311">
        <f t="shared" si="273"/>
        <v>0</v>
      </c>
      <c r="BR205" s="1311">
        <f t="shared" si="273"/>
        <v>0</v>
      </c>
      <c r="BS205" s="1311">
        <f t="shared" si="273"/>
        <v>0</v>
      </c>
      <c r="BT205" s="1311">
        <f t="shared" si="273"/>
        <v>0</v>
      </c>
      <c r="BU205" s="1311">
        <f t="shared" si="273"/>
        <v>0</v>
      </c>
      <c r="BV205" s="1311">
        <f t="shared" si="273"/>
        <v>0</v>
      </c>
      <c r="BW205" s="1311">
        <f t="shared" si="273"/>
        <v>0</v>
      </c>
      <c r="BX205" s="1311">
        <f t="shared" si="273"/>
        <v>0</v>
      </c>
      <c r="BY205" s="1311">
        <f t="shared" si="273"/>
        <v>0</v>
      </c>
      <c r="BZ205" s="1311">
        <f t="shared" si="273"/>
        <v>0</v>
      </c>
      <c r="CA205" s="1311">
        <f t="shared" si="273"/>
        <v>0</v>
      </c>
      <c r="CB205" s="1311">
        <f t="shared" si="273"/>
        <v>0</v>
      </c>
      <c r="CC205" s="1311">
        <f t="shared" si="273"/>
        <v>0</v>
      </c>
      <c r="CD205" s="1314">
        <f t="shared" si="273"/>
        <v>0</v>
      </c>
      <c r="CE205" s="1314">
        <f t="shared" si="273"/>
        <v>0</v>
      </c>
      <c r="CF205" s="1314">
        <f t="shared" si="273"/>
        <v>0</v>
      </c>
      <c r="CG205" s="1314">
        <f t="shared" si="273"/>
        <v>0</v>
      </c>
      <c r="CH205" s="1314">
        <f t="shared" si="270"/>
        <v>0</v>
      </c>
      <c r="CI205" s="1314">
        <f t="shared" si="270"/>
        <v>0</v>
      </c>
      <c r="CJ205" s="1314">
        <f t="shared" si="270"/>
        <v>0</v>
      </c>
      <c r="CK205" s="1311">
        <f t="shared" si="273"/>
        <v>0</v>
      </c>
      <c r="CL205" s="1311">
        <f t="shared" si="273"/>
        <v>0</v>
      </c>
      <c r="CM205" s="1311">
        <f t="shared" si="273"/>
        <v>0</v>
      </c>
      <c r="CN205" s="1311">
        <f t="shared" si="273"/>
        <v>0</v>
      </c>
      <c r="CO205" s="1311">
        <f t="shared" si="273"/>
        <v>0</v>
      </c>
      <c r="CP205" s="1313">
        <f t="shared" si="273"/>
        <v>0</v>
      </c>
      <c r="CQ205" s="1313">
        <f>CQ183/$B$202*CQ$201</f>
        <v>0</v>
      </c>
      <c r="CR205" s="1317">
        <f t="shared" si="273"/>
        <v>0</v>
      </c>
      <c r="CS205" s="1317">
        <f>CS183/$B$202*CS$201</f>
        <v>0</v>
      </c>
      <c r="CT205" s="1311">
        <f t="shared" si="273"/>
        <v>0</v>
      </c>
      <c r="CU205" s="1311">
        <f t="shared" si="273"/>
        <v>0</v>
      </c>
      <c r="CV205" s="1311">
        <f t="shared" si="273"/>
        <v>0</v>
      </c>
      <c r="CW205" s="1324">
        <f t="shared" si="273"/>
        <v>0</v>
      </c>
      <c r="CX205" s="1313">
        <f t="shared" si="274"/>
        <v>0</v>
      </c>
      <c r="CY205" s="1313">
        <f t="shared" si="274"/>
        <v>0</v>
      </c>
      <c r="CZ205" s="1311">
        <f t="shared" si="274"/>
        <v>0</v>
      </c>
      <c r="DA205" s="1317">
        <f t="shared" si="274"/>
        <v>0</v>
      </c>
      <c r="DB205" s="1311">
        <f t="shared" si="274"/>
        <v>0</v>
      </c>
      <c r="DC205" s="1311">
        <f t="shared" si="274"/>
        <v>0</v>
      </c>
      <c r="DD205" s="1311">
        <f t="shared" si="274"/>
        <v>0</v>
      </c>
      <c r="DE205" s="1311">
        <f>DE183/$B$202*DE$201</f>
        <v>0</v>
      </c>
      <c r="DF205" s="1311">
        <f t="shared" si="274"/>
        <v>0</v>
      </c>
      <c r="DG205" s="1311">
        <f t="shared" si="274"/>
        <v>0</v>
      </c>
      <c r="DH205" s="1311">
        <f t="shared" si="274"/>
        <v>0</v>
      </c>
      <c r="DI205" s="1311">
        <f t="shared" si="274"/>
        <v>0</v>
      </c>
      <c r="DJ205" s="1317">
        <f t="shared" si="274"/>
        <v>0</v>
      </c>
      <c r="DK205" s="1311">
        <f t="shared" si="274"/>
        <v>0</v>
      </c>
      <c r="DL205" s="1311">
        <f t="shared" si="274"/>
        <v>0</v>
      </c>
      <c r="DM205" s="1311">
        <f t="shared" si="274"/>
        <v>0</v>
      </c>
      <c r="DN205" s="1311">
        <f t="shared" si="274"/>
        <v>0</v>
      </c>
      <c r="DO205" s="1311">
        <f t="shared" si="274"/>
        <v>0</v>
      </c>
      <c r="DP205" s="1312">
        <f t="shared" si="274"/>
        <v>0</v>
      </c>
      <c r="DQ205" s="1315">
        <f t="shared" si="274"/>
        <v>0</v>
      </c>
      <c r="DR205" s="1325">
        <f t="shared" si="274"/>
        <v>0</v>
      </c>
      <c r="DS205" s="1325">
        <f t="shared" si="274"/>
        <v>0</v>
      </c>
      <c r="DT205" s="1315"/>
      <c r="DU205" s="1325">
        <f t="shared" si="275"/>
        <v>0</v>
      </c>
      <c r="DV205" s="1320">
        <f t="shared" si="275"/>
        <v>0</v>
      </c>
      <c r="DW205" s="1320">
        <f>SUM(B205:DV205)</f>
        <v>0</v>
      </c>
      <c r="DX205" s="1310" t="s">
        <v>688</v>
      </c>
      <c r="DY205" s="659"/>
    </row>
    <row r="206" spans="1:129" ht="28.2" thickBot="1">
      <c r="A206" s="1326" t="s">
        <v>689</v>
      </c>
      <c r="B206" s="1327">
        <f t="shared" si="272"/>
        <v>0</v>
      </c>
      <c r="C206" s="1327">
        <f t="shared" si="272"/>
        <v>0</v>
      </c>
      <c r="D206" s="1327">
        <f t="shared" si="272"/>
        <v>0</v>
      </c>
      <c r="E206" s="1327">
        <f t="shared" si="272"/>
        <v>0</v>
      </c>
      <c r="F206" s="1327">
        <f t="shared" si="272"/>
        <v>0</v>
      </c>
      <c r="G206" s="1328">
        <f t="shared" si="272"/>
        <v>0</v>
      </c>
      <c r="H206" s="1328">
        <f>H184/$B$202*H$201</f>
        <v>0</v>
      </c>
      <c r="I206" s="1328">
        <f t="shared" si="272"/>
        <v>0</v>
      </c>
      <c r="J206" s="1328">
        <f t="shared" si="272"/>
        <v>0</v>
      </c>
      <c r="K206" s="1328">
        <f t="shared" si="272"/>
        <v>0</v>
      </c>
      <c r="L206" s="1328">
        <f t="shared" si="272"/>
        <v>0</v>
      </c>
      <c r="M206" s="1328">
        <f t="shared" si="272"/>
        <v>0</v>
      </c>
      <c r="N206" s="1329">
        <f t="shared" si="272"/>
        <v>0</v>
      </c>
      <c r="O206" s="1329">
        <f t="shared" si="272"/>
        <v>0</v>
      </c>
      <c r="P206" s="1330">
        <f t="shared" si="272"/>
        <v>0</v>
      </c>
      <c r="Q206" s="1331">
        <f t="shared" si="272"/>
        <v>0</v>
      </c>
      <c r="R206" s="1331">
        <f t="shared" si="272"/>
        <v>0</v>
      </c>
      <c r="S206" s="1331">
        <f t="shared" si="272"/>
        <v>0</v>
      </c>
      <c r="T206" s="1332">
        <f t="shared" si="272"/>
        <v>0</v>
      </c>
      <c r="U206" s="1331">
        <f t="shared" si="272"/>
        <v>0</v>
      </c>
      <c r="V206" s="1331">
        <f t="shared" si="272"/>
        <v>0</v>
      </c>
      <c r="W206" s="1331">
        <f t="shared" si="272"/>
        <v>0</v>
      </c>
      <c r="X206" s="1331">
        <f t="shared" si="272"/>
        <v>0</v>
      </c>
      <c r="Y206" s="1333">
        <f t="shared" si="272"/>
        <v>0</v>
      </c>
      <c r="Z206" s="1328">
        <f t="shared" si="272"/>
        <v>0</v>
      </c>
      <c r="AA206" s="1327">
        <f t="shared" si="272"/>
        <v>0</v>
      </c>
      <c r="AB206" s="1327">
        <f t="shared" si="272"/>
        <v>0</v>
      </c>
      <c r="AC206" s="1327">
        <f t="shared" si="272"/>
        <v>0</v>
      </c>
      <c r="AD206" s="1327">
        <f t="shared" si="272"/>
        <v>0</v>
      </c>
      <c r="AE206" s="1327">
        <f t="shared" si="272"/>
        <v>0</v>
      </c>
      <c r="AF206" s="1327">
        <f t="shared" si="272"/>
        <v>0</v>
      </c>
      <c r="AG206" s="1327">
        <f t="shared" ref="AG206:BA206" si="276">AG184/$B$202*AG$201</f>
        <v>0</v>
      </c>
      <c r="AH206" s="1327">
        <f t="shared" si="276"/>
        <v>0</v>
      </c>
      <c r="AI206" s="1327">
        <f t="shared" si="276"/>
        <v>0</v>
      </c>
      <c r="AJ206" s="1327">
        <f>AJ184/$B$202*AJ$201</f>
        <v>0</v>
      </c>
      <c r="AK206" s="1327">
        <f>AK184/$B$202*AK$201</f>
        <v>0</v>
      </c>
      <c r="AL206" s="1327">
        <f t="shared" si="276"/>
        <v>0</v>
      </c>
      <c r="AM206" s="1330">
        <f t="shared" si="276"/>
        <v>0</v>
      </c>
      <c r="AN206" s="1330">
        <f t="shared" si="273"/>
        <v>0</v>
      </c>
      <c r="AO206" s="1330">
        <f t="shared" si="276"/>
        <v>0</v>
      </c>
      <c r="AP206" s="1330">
        <f t="shared" si="276"/>
        <v>0</v>
      </c>
      <c r="AQ206" s="1328">
        <f t="shared" si="276"/>
        <v>0</v>
      </c>
      <c r="AR206" s="1334">
        <f t="shared" si="276"/>
        <v>0</v>
      </c>
      <c r="AS206" s="1334">
        <f t="shared" si="276"/>
        <v>0</v>
      </c>
      <c r="AT206" s="1334">
        <f t="shared" si="273"/>
        <v>0</v>
      </c>
      <c r="AU206" s="1334">
        <f t="shared" si="276"/>
        <v>0</v>
      </c>
      <c r="AV206" s="1334">
        <f t="shared" si="276"/>
        <v>0</v>
      </c>
      <c r="AW206" s="1335">
        <f t="shared" si="276"/>
        <v>0</v>
      </c>
      <c r="AX206" s="1336">
        <f t="shared" si="276"/>
        <v>0</v>
      </c>
      <c r="AY206" s="1337">
        <f t="shared" si="276"/>
        <v>0</v>
      </c>
      <c r="AZ206" s="1327">
        <f t="shared" si="276"/>
        <v>0</v>
      </c>
      <c r="BA206" s="1327">
        <f t="shared" si="276"/>
        <v>0</v>
      </c>
      <c r="BB206" s="1327">
        <f t="shared" si="273"/>
        <v>0</v>
      </c>
      <c r="BC206" s="1327">
        <f t="shared" si="273"/>
        <v>0</v>
      </c>
      <c r="BD206" s="1327">
        <f t="shared" si="273"/>
        <v>0</v>
      </c>
      <c r="BE206" s="1327">
        <f t="shared" si="273"/>
        <v>0</v>
      </c>
      <c r="BF206" s="1327">
        <f t="shared" si="273"/>
        <v>0</v>
      </c>
      <c r="BG206" s="1327">
        <f t="shared" si="273"/>
        <v>0</v>
      </c>
      <c r="BH206" s="1327">
        <f t="shared" si="273"/>
        <v>0</v>
      </c>
      <c r="BI206" s="1327">
        <f t="shared" si="273"/>
        <v>0</v>
      </c>
      <c r="BJ206" s="1327">
        <f t="shared" si="273"/>
        <v>0</v>
      </c>
      <c r="BK206" s="1327">
        <f t="shared" si="273"/>
        <v>0</v>
      </c>
      <c r="BL206" s="1327">
        <f t="shared" si="273"/>
        <v>0</v>
      </c>
      <c r="BM206" s="1327">
        <f t="shared" si="273"/>
        <v>0</v>
      </c>
      <c r="BN206" s="1327">
        <f t="shared" si="273"/>
        <v>0</v>
      </c>
      <c r="BO206" s="1327">
        <f t="shared" si="273"/>
        <v>0</v>
      </c>
      <c r="BP206" s="1327">
        <f t="shared" si="273"/>
        <v>0</v>
      </c>
      <c r="BQ206" s="1327">
        <f t="shared" si="273"/>
        <v>0</v>
      </c>
      <c r="BR206" s="1327">
        <f t="shared" si="273"/>
        <v>0</v>
      </c>
      <c r="BS206" s="1327">
        <f t="shared" si="273"/>
        <v>0</v>
      </c>
      <c r="BT206" s="1327">
        <f t="shared" si="273"/>
        <v>0</v>
      </c>
      <c r="BU206" s="1327">
        <f t="shared" si="273"/>
        <v>0</v>
      </c>
      <c r="BV206" s="1327">
        <f t="shared" si="273"/>
        <v>0</v>
      </c>
      <c r="BW206" s="1327">
        <f t="shared" si="273"/>
        <v>0</v>
      </c>
      <c r="BX206" s="1327">
        <f t="shared" si="273"/>
        <v>0</v>
      </c>
      <c r="BY206" s="1327">
        <f t="shared" si="273"/>
        <v>0</v>
      </c>
      <c r="BZ206" s="1327">
        <f t="shared" si="273"/>
        <v>0</v>
      </c>
      <c r="CA206" s="1327">
        <f t="shared" si="273"/>
        <v>0</v>
      </c>
      <c r="CB206" s="1327">
        <f t="shared" si="273"/>
        <v>0</v>
      </c>
      <c r="CC206" s="1327">
        <f t="shared" si="273"/>
        <v>0</v>
      </c>
      <c r="CD206" s="1330">
        <f t="shared" si="273"/>
        <v>0</v>
      </c>
      <c r="CE206" s="1330">
        <f t="shared" si="273"/>
        <v>0</v>
      </c>
      <c r="CF206" s="1330">
        <f t="shared" si="273"/>
        <v>0</v>
      </c>
      <c r="CG206" s="1330">
        <f t="shared" si="273"/>
        <v>0</v>
      </c>
      <c r="CH206" s="1330">
        <f t="shared" si="270"/>
        <v>0</v>
      </c>
      <c r="CI206" s="1330">
        <f t="shared" si="270"/>
        <v>0</v>
      </c>
      <c r="CJ206" s="1330">
        <f t="shared" si="270"/>
        <v>0</v>
      </c>
      <c r="CK206" s="1327">
        <f t="shared" si="273"/>
        <v>0</v>
      </c>
      <c r="CL206" s="1327">
        <f t="shared" si="273"/>
        <v>0</v>
      </c>
      <c r="CM206" s="1327">
        <f t="shared" si="273"/>
        <v>0</v>
      </c>
      <c r="CN206" s="1327">
        <f t="shared" si="273"/>
        <v>0</v>
      </c>
      <c r="CO206" s="1327">
        <f t="shared" si="273"/>
        <v>0</v>
      </c>
      <c r="CP206" s="1329">
        <f t="shared" si="273"/>
        <v>0</v>
      </c>
      <c r="CQ206" s="1329">
        <f>CQ184/$B$202*CQ$201</f>
        <v>0</v>
      </c>
      <c r="CR206" s="1333">
        <f t="shared" si="273"/>
        <v>0</v>
      </c>
      <c r="CS206" s="1333">
        <f>CS184/$B$202*CS$201</f>
        <v>0</v>
      </c>
      <c r="CT206" s="1327">
        <f t="shared" si="273"/>
        <v>0</v>
      </c>
      <c r="CU206" s="1327">
        <f t="shared" si="273"/>
        <v>0</v>
      </c>
      <c r="CV206" s="1327">
        <f t="shared" si="273"/>
        <v>0</v>
      </c>
      <c r="CW206" s="1338">
        <f t="shared" si="273"/>
        <v>0</v>
      </c>
      <c r="CX206" s="1329">
        <f t="shared" si="274"/>
        <v>0</v>
      </c>
      <c r="CY206" s="1329">
        <f t="shared" si="274"/>
        <v>0</v>
      </c>
      <c r="CZ206" s="1327">
        <f t="shared" si="274"/>
        <v>0</v>
      </c>
      <c r="DA206" s="1333">
        <f t="shared" si="274"/>
        <v>0</v>
      </c>
      <c r="DB206" s="1327">
        <f t="shared" si="274"/>
        <v>0</v>
      </c>
      <c r="DC206" s="1327">
        <f t="shared" si="274"/>
        <v>0</v>
      </c>
      <c r="DD206" s="1327">
        <f t="shared" si="274"/>
        <v>0</v>
      </c>
      <c r="DE206" s="1327">
        <f>DE184/$B$202*DE$201</f>
        <v>0</v>
      </c>
      <c r="DF206" s="1327">
        <f t="shared" si="274"/>
        <v>0</v>
      </c>
      <c r="DG206" s="1327">
        <f t="shared" si="274"/>
        <v>0</v>
      </c>
      <c r="DH206" s="1327">
        <f t="shared" si="274"/>
        <v>0</v>
      </c>
      <c r="DI206" s="1327">
        <f t="shared" si="274"/>
        <v>0</v>
      </c>
      <c r="DJ206" s="1333">
        <f t="shared" si="274"/>
        <v>0</v>
      </c>
      <c r="DK206" s="1327">
        <f t="shared" si="274"/>
        <v>0</v>
      </c>
      <c r="DL206" s="1327">
        <f t="shared" si="274"/>
        <v>0</v>
      </c>
      <c r="DM206" s="1327">
        <f t="shared" si="274"/>
        <v>0</v>
      </c>
      <c r="DN206" s="1327">
        <f t="shared" si="274"/>
        <v>0</v>
      </c>
      <c r="DO206" s="1327">
        <f t="shared" si="274"/>
        <v>0</v>
      </c>
      <c r="DP206" s="1328">
        <f t="shared" si="274"/>
        <v>0</v>
      </c>
      <c r="DQ206" s="1331">
        <f t="shared" si="274"/>
        <v>0</v>
      </c>
      <c r="DR206" s="1339">
        <f t="shared" si="274"/>
        <v>0</v>
      </c>
      <c r="DS206" s="1339">
        <f t="shared" si="274"/>
        <v>0</v>
      </c>
      <c r="DT206" s="1331"/>
      <c r="DU206" s="1339">
        <f t="shared" si="275"/>
        <v>0</v>
      </c>
      <c r="DV206" s="1336">
        <f t="shared" si="275"/>
        <v>0</v>
      </c>
      <c r="DW206" s="1336">
        <f>SUM(B206:DV206)</f>
        <v>0</v>
      </c>
      <c r="DX206" s="1326" t="s">
        <v>689</v>
      </c>
      <c r="DY206" s="659"/>
    </row>
    <row r="207" spans="1:129" s="222" customFormat="1" ht="21" customHeight="1" thickTop="1" thickBot="1">
      <c r="A207" s="1340" t="s">
        <v>690</v>
      </c>
      <c r="B207" s="1341"/>
      <c r="C207" s="1341"/>
      <c r="D207" s="1341"/>
      <c r="E207" s="1341"/>
      <c r="F207" s="1341"/>
      <c r="G207" s="1341"/>
      <c r="H207" s="1341"/>
      <c r="I207" s="1341"/>
      <c r="J207" s="1341"/>
      <c r="K207" s="1341"/>
      <c r="L207" s="1341"/>
      <c r="M207" s="1341"/>
      <c r="N207" s="1342"/>
      <c r="O207" s="1342"/>
      <c r="P207" s="1341"/>
      <c r="Q207" s="1341"/>
      <c r="R207" s="1341"/>
      <c r="S207" s="1341"/>
      <c r="T207" s="1341"/>
      <c r="U207" s="1341"/>
      <c r="V207" s="1341"/>
      <c r="W207" s="1341"/>
      <c r="X207" s="1341"/>
      <c r="Y207" s="1341"/>
      <c r="Z207" s="1341"/>
      <c r="AA207" s="1341"/>
      <c r="AB207" s="1341"/>
      <c r="AC207" s="1341"/>
      <c r="AD207" s="1341"/>
      <c r="AE207" s="1341"/>
      <c r="AF207" s="1341"/>
      <c r="AG207" s="1341"/>
      <c r="AH207" s="1341"/>
      <c r="AI207" s="1341"/>
      <c r="AJ207" s="1341"/>
      <c r="AK207" s="1341"/>
      <c r="AL207" s="1341"/>
      <c r="AM207" s="1341"/>
      <c r="AN207" s="1341"/>
      <c r="AO207" s="1341"/>
      <c r="AP207" s="1341"/>
      <c r="AQ207" s="1341"/>
      <c r="AR207" s="1341"/>
      <c r="AS207" s="1341"/>
      <c r="AT207" s="1341"/>
      <c r="AU207" s="1341"/>
      <c r="AV207" s="1341"/>
      <c r="AW207" s="1341"/>
      <c r="AX207" s="1341"/>
      <c r="AY207" s="1341"/>
      <c r="AZ207" s="1341"/>
      <c r="BA207" s="1341"/>
      <c r="BB207" s="1341"/>
      <c r="BC207" s="1341"/>
      <c r="BD207" s="1341"/>
      <c r="BE207" s="1341"/>
      <c r="BF207" s="1341"/>
      <c r="BG207" s="1341"/>
      <c r="BH207" s="1341"/>
      <c r="BI207" s="1341"/>
      <c r="BJ207" s="1341"/>
      <c r="BK207" s="1341"/>
      <c r="BL207" s="1341"/>
      <c r="BM207" s="1341"/>
      <c r="BN207" s="1341"/>
      <c r="BO207" s="1341"/>
      <c r="BP207" s="1341"/>
      <c r="BQ207" s="1341"/>
      <c r="BR207" s="1341"/>
      <c r="BS207" s="1341"/>
      <c r="BT207" s="1341"/>
      <c r="BU207" s="1341"/>
      <c r="BV207" s="1341"/>
      <c r="BW207" s="1341"/>
      <c r="BX207" s="1341"/>
      <c r="BY207" s="1341"/>
      <c r="BZ207" s="1341"/>
      <c r="CA207" s="1341"/>
      <c r="CB207" s="1341"/>
      <c r="CC207" s="1341"/>
      <c r="CD207" s="1341"/>
      <c r="CE207" s="1341"/>
      <c r="CF207" s="1341"/>
      <c r="CG207" s="1341"/>
      <c r="CH207" s="1341"/>
      <c r="CI207" s="1341"/>
      <c r="CJ207" s="1341"/>
      <c r="CK207" s="1341"/>
      <c r="CL207" s="1341"/>
      <c r="CM207" s="1341"/>
      <c r="CN207" s="1341"/>
      <c r="CO207" s="1341"/>
      <c r="CP207" s="1341"/>
      <c r="CQ207" s="1341"/>
      <c r="CR207" s="1341"/>
      <c r="CS207" s="1341"/>
      <c r="CT207" s="1341"/>
      <c r="CU207" s="1341"/>
      <c r="CV207" s="1341"/>
      <c r="CW207" s="1341"/>
      <c r="CX207" s="1341"/>
      <c r="CY207" s="1341"/>
      <c r="CZ207" s="1341"/>
      <c r="DA207" s="1341"/>
      <c r="DB207" s="1341"/>
      <c r="DC207" s="1341"/>
      <c r="DD207" s="1341"/>
      <c r="DE207" s="1341"/>
      <c r="DF207" s="1341"/>
      <c r="DG207" s="1341"/>
      <c r="DH207" s="1341"/>
      <c r="DI207" s="1341"/>
      <c r="DJ207" s="1341"/>
      <c r="DK207" s="1341"/>
      <c r="DL207" s="1341"/>
      <c r="DM207" s="1341"/>
      <c r="DN207" s="1341"/>
      <c r="DO207" s="1341"/>
      <c r="DP207" s="1341"/>
      <c r="DQ207" s="1341"/>
      <c r="DR207" s="1343"/>
      <c r="DS207" s="1341"/>
      <c r="DT207" s="1341"/>
      <c r="DU207" s="1341"/>
      <c r="DV207" s="1344"/>
      <c r="DW207" s="1341"/>
      <c r="DX207" s="1345" t="s">
        <v>690</v>
      </c>
      <c r="DY207" s="1346"/>
    </row>
    <row r="208" spans="1:129" thickTop="1">
      <c r="A208" s="1347" t="s">
        <v>691</v>
      </c>
      <c r="B208" s="1348">
        <v>50</v>
      </c>
      <c r="C208" s="1348">
        <v>50</v>
      </c>
      <c r="D208" s="1348">
        <v>50</v>
      </c>
      <c r="E208" s="1348">
        <v>50</v>
      </c>
      <c r="F208" s="1348">
        <v>50</v>
      </c>
      <c r="G208" s="1349">
        <v>50</v>
      </c>
      <c r="H208" s="1349">
        <v>50</v>
      </c>
      <c r="I208" s="1349">
        <v>50</v>
      </c>
      <c r="J208" s="1349">
        <v>50</v>
      </c>
      <c r="K208" s="1349">
        <v>50</v>
      </c>
      <c r="L208" s="1349">
        <v>50</v>
      </c>
      <c r="M208" s="1349">
        <v>50</v>
      </c>
      <c r="N208" s="1350">
        <v>50</v>
      </c>
      <c r="O208" s="1350">
        <v>50</v>
      </c>
      <c r="P208" s="1351">
        <v>35</v>
      </c>
      <c r="Q208" s="1352">
        <v>65</v>
      </c>
      <c r="R208" s="1352">
        <v>45</v>
      </c>
      <c r="S208" s="1352">
        <v>50</v>
      </c>
      <c r="T208" s="1353">
        <v>50</v>
      </c>
      <c r="U208" s="1352">
        <v>50</v>
      </c>
      <c r="V208" s="1352">
        <v>45</v>
      </c>
      <c r="W208" s="1352">
        <v>50</v>
      </c>
      <c r="X208" s="1352">
        <v>30</v>
      </c>
      <c r="Y208" s="1354">
        <v>50</v>
      </c>
      <c r="Z208" s="1349">
        <v>65</v>
      </c>
      <c r="AA208" s="1354">
        <v>65</v>
      </c>
      <c r="AB208" s="1355">
        <v>65</v>
      </c>
      <c r="AC208" s="1355">
        <v>65</v>
      </c>
      <c r="AD208" s="1355">
        <v>35</v>
      </c>
      <c r="AE208" s="1355">
        <v>65</v>
      </c>
      <c r="AF208" s="1355">
        <v>65</v>
      </c>
      <c r="AG208" s="1355">
        <v>65</v>
      </c>
      <c r="AH208" s="1355">
        <v>65</v>
      </c>
      <c r="AI208" s="1348">
        <v>75</v>
      </c>
      <c r="AJ208" s="1355">
        <v>65</v>
      </c>
      <c r="AK208" s="1348">
        <v>75</v>
      </c>
      <c r="AL208" s="1348">
        <v>65</v>
      </c>
      <c r="AM208" s="1351">
        <v>65</v>
      </c>
      <c r="AN208" s="1351">
        <v>65</v>
      </c>
      <c r="AO208" s="1351">
        <v>45</v>
      </c>
      <c r="AP208" s="1351">
        <v>45</v>
      </c>
      <c r="AQ208" s="1349">
        <v>65</v>
      </c>
      <c r="AR208" s="1352">
        <v>120</v>
      </c>
      <c r="AS208" s="1352">
        <v>120</v>
      </c>
      <c r="AT208" s="1352">
        <v>120</v>
      </c>
      <c r="AU208" s="1352">
        <v>120</v>
      </c>
      <c r="AV208" s="1352">
        <v>120</v>
      </c>
      <c r="AW208" s="1352">
        <v>20</v>
      </c>
      <c r="AX208" s="1352">
        <v>35</v>
      </c>
      <c r="AY208" s="1355">
        <v>31</v>
      </c>
      <c r="AZ208" s="1348">
        <v>31</v>
      </c>
      <c r="BA208" s="1348">
        <v>31</v>
      </c>
      <c r="BB208" s="1348">
        <v>31</v>
      </c>
      <c r="BC208" s="1348">
        <v>25</v>
      </c>
      <c r="BD208" s="1348">
        <v>25</v>
      </c>
      <c r="BE208" s="1348">
        <v>25</v>
      </c>
      <c r="BF208" s="1348">
        <v>31</v>
      </c>
      <c r="BG208" s="1348">
        <v>31</v>
      </c>
      <c r="BH208" s="1348">
        <v>31</v>
      </c>
      <c r="BI208" s="1348">
        <v>31</v>
      </c>
      <c r="BJ208" s="1348">
        <v>25</v>
      </c>
      <c r="BK208" s="1348">
        <v>31</v>
      </c>
      <c r="BL208" s="1355">
        <v>31</v>
      </c>
      <c r="BM208" s="1355">
        <v>31</v>
      </c>
      <c r="BN208" s="1355">
        <v>31</v>
      </c>
      <c r="BO208" s="1348">
        <v>31</v>
      </c>
      <c r="BP208" s="1348">
        <v>31</v>
      </c>
      <c r="BQ208" s="1348">
        <v>25</v>
      </c>
      <c r="BR208" s="1348">
        <v>31</v>
      </c>
      <c r="BS208" s="1348">
        <v>31</v>
      </c>
      <c r="BT208" s="1348">
        <v>31</v>
      </c>
      <c r="BU208" s="1348">
        <v>25</v>
      </c>
      <c r="BV208" s="1356">
        <v>25</v>
      </c>
      <c r="BW208" s="1355">
        <v>90</v>
      </c>
      <c r="BX208" s="1348">
        <v>90</v>
      </c>
      <c r="BY208" s="1348">
        <v>90</v>
      </c>
      <c r="BZ208" s="1348">
        <v>120</v>
      </c>
      <c r="CA208" s="1348">
        <v>120</v>
      </c>
      <c r="CB208" s="1348">
        <v>25</v>
      </c>
      <c r="CC208" s="1348">
        <v>25</v>
      </c>
      <c r="CD208" s="1351">
        <v>120</v>
      </c>
      <c r="CE208" s="1351">
        <v>120</v>
      </c>
      <c r="CF208" s="1351">
        <v>120</v>
      </c>
      <c r="CG208" s="1348">
        <v>90</v>
      </c>
      <c r="CH208" s="1348">
        <v>90</v>
      </c>
      <c r="CI208" s="1348">
        <v>90</v>
      </c>
      <c r="CJ208" s="1348">
        <v>90</v>
      </c>
      <c r="CK208" s="1348">
        <v>120</v>
      </c>
      <c r="CL208" s="1348">
        <v>90</v>
      </c>
      <c r="CM208" s="1348">
        <v>90</v>
      </c>
      <c r="CN208" s="1348">
        <v>90</v>
      </c>
      <c r="CO208" s="1348">
        <v>90</v>
      </c>
      <c r="CP208" s="1349">
        <v>45</v>
      </c>
      <c r="CQ208" s="1349">
        <v>45</v>
      </c>
      <c r="CR208" s="1354">
        <v>120</v>
      </c>
      <c r="CS208" s="1354">
        <v>120</v>
      </c>
      <c r="CT208" s="1348">
        <v>120</v>
      </c>
      <c r="CU208" s="1352">
        <v>60</v>
      </c>
      <c r="CV208" s="1357">
        <v>120</v>
      </c>
      <c r="CW208" s="1358">
        <v>120</v>
      </c>
      <c r="CX208" s="1359">
        <v>90</v>
      </c>
      <c r="CY208" s="1359">
        <v>90</v>
      </c>
      <c r="CZ208" s="1358">
        <v>120</v>
      </c>
      <c r="DA208" s="1354">
        <v>120</v>
      </c>
      <c r="DB208" s="1348">
        <v>120</v>
      </c>
      <c r="DC208" s="1348">
        <v>120</v>
      </c>
      <c r="DD208" s="1348">
        <v>90</v>
      </c>
      <c r="DE208" s="1348">
        <v>120</v>
      </c>
      <c r="DF208" s="1348">
        <v>90</v>
      </c>
      <c r="DG208" s="1348">
        <v>90</v>
      </c>
      <c r="DH208" s="1348">
        <v>120</v>
      </c>
      <c r="DI208" s="1348">
        <v>90</v>
      </c>
      <c r="DJ208" s="1354">
        <v>60</v>
      </c>
      <c r="DK208" s="1348">
        <v>60</v>
      </c>
      <c r="DL208" s="1348">
        <v>60</v>
      </c>
      <c r="DM208" s="1348">
        <v>60</v>
      </c>
      <c r="DN208" s="1348">
        <v>60</v>
      </c>
      <c r="DO208" s="1348">
        <v>60</v>
      </c>
      <c r="DP208" s="1348">
        <v>60</v>
      </c>
      <c r="DQ208" s="1349"/>
      <c r="DR208" s="1354"/>
      <c r="DS208" s="1354"/>
      <c r="DT208" s="1352"/>
      <c r="DU208" s="1354"/>
      <c r="DV208" s="1359"/>
      <c r="DW208" s="1359"/>
      <c r="DX208" s="1360" t="s">
        <v>691</v>
      </c>
      <c r="DY208" s="659"/>
    </row>
    <row r="209" spans="1:129" ht="14.4">
      <c r="A209" s="1361" t="s">
        <v>692</v>
      </c>
      <c r="B209" s="1362">
        <v>10</v>
      </c>
      <c r="C209" s="1362">
        <v>10</v>
      </c>
      <c r="D209" s="1362">
        <v>10</v>
      </c>
      <c r="E209" s="1362">
        <v>10</v>
      </c>
      <c r="F209" s="1362">
        <v>10</v>
      </c>
      <c r="G209" s="1363">
        <v>10</v>
      </c>
      <c r="H209" s="1363">
        <v>10</v>
      </c>
      <c r="I209" s="1363">
        <v>10</v>
      </c>
      <c r="J209" s="1363">
        <v>10</v>
      </c>
      <c r="K209" s="1363">
        <v>10</v>
      </c>
      <c r="L209" s="1363">
        <v>10</v>
      </c>
      <c r="M209" s="1363">
        <v>10</v>
      </c>
      <c r="N209" s="1364">
        <v>10</v>
      </c>
      <c r="O209" s="1364">
        <v>10</v>
      </c>
      <c r="P209" s="1365">
        <v>7</v>
      </c>
      <c r="Q209" s="1366">
        <v>13</v>
      </c>
      <c r="R209" s="1366">
        <v>10</v>
      </c>
      <c r="S209" s="1366">
        <v>10</v>
      </c>
      <c r="T209" s="1367">
        <v>10</v>
      </c>
      <c r="U209" s="1366">
        <v>10</v>
      </c>
      <c r="V209" s="1366">
        <v>10</v>
      </c>
      <c r="W209" s="1366">
        <v>10</v>
      </c>
      <c r="X209" s="1366">
        <v>3</v>
      </c>
      <c r="Y209" s="1368">
        <v>10</v>
      </c>
      <c r="Z209" s="1363">
        <v>13</v>
      </c>
      <c r="AA209" s="1368">
        <v>13</v>
      </c>
      <c r="AB209" s="1369">
        <v>13</v>
      </c>
      <c r="AC209" s="1369">
        <v>13</v>
      </c>
      <c r="AD209" s="1369">
        <v>7</v>
      </c>
      <c r="AE209" s="1369">
        <v>13</v>
      </c>
      <c r="AF209" s="1369">
        <v>13</v>
      </c>
      <c r="AG209" s="1369">
        <v>13</v>
      </c>
      <c r="AH209" s="1369">
        <v>13</v>
      </c>
      <c r="AI209" s="1362">
        <v>15</v>
      </c>
      <c r="AJ209" s="1369">
        <v>13</v>
      </c>
      <c r="AK209" s="1362">
        <v>15</v>
      </c>
      <c r="AL209" s="1362">
        <v>13</v>
      </c>
      <c r="AM209" s="1365">
        <v>13</v>
      </c>
      <c r="AN209" s="1365">
        <v>13</v>
      </c>
      <c r="AO209" s="1365">
        <v>10</v>
      </c>
      <c r="AP209" s="1365">
        <v>10</v>
      </c>
      <c r="AQ209" s="1363">
        <v>13</v>
      </c>
      <c r="AR209" s="1366">
        <v>24</v>
      </c>
      <c r="AS209" s="1366">
        <v>24</v>
      </c>
      <c r="AT209" s="1366">
        <v>24</v>
      </c>
      <c r="AU209" s="1366">
        <v>24</v>
      </c>
      <c r="AV209" s="1366">
        <v>24</v>
      </c>
      <c r="AW209" s="1366">
        <v>4</v>
      </c>
      <c r="AX209" s="1366">
        <v>7</v>
      </c>
      <c r="AY209" s="1369">
        <v>6</v>
      </c>
      <c r="AZ209" s="1362">
        <v>6</v>
      </c>
      <c r="BA209" s="1362">
        <v>6</v>
      </c>
      <c r="BB209" s="1362">
        <v>6</v>
      </c>
      <c r="BC209" s="1362">
        <v>5</v>
      </c>
      <c r="BD209" s="1362">
        <v>5</v>
      </c>
      <c r="BE209" s="1362">
        <v>5</v>
      </c>
      <c r="BF209" s="1362">
        <v>6</v>
      </c>
      <c r="BG209" s="1362">
        <v>6</v>
      </c>
      <c r="BH209" s="1362">
        <v>6</v>
      </c>
      <c r="BI209" s="1362">
        <v>6</v>
      </c>
      <c r="BJ209" s="1362">
        <v>3</v>
      </c>
      <c r="BK209" s="1362">
        <v>6</v>
      </c>
      <c r="BL209" s="1369">
        <v>6</v>
      </c>
      <c r="BM209" s="1369">
        <v>6</v>
      </c>
      <c r="BN209" s="1369">
        <v>6</v>
      </c>
      <c r="BO209" s="1362">
        <v>6</v>
      </c>
      <c r="BP209" s="1362">
        <v>6</v>
      </c>
      <c r="BQ209" s="1362">
        <v>5</v>
      </c>
      <c r="BR209" s="1362">
        <v>6</v>
      </c>
      <c r="BS209" s="1362">
        <v>6</v>
      </c>
      <c r="BT209" s="1362">
        <v>6</v>
      </c>
      <c r="BU209" s="1362">
        <v>5</v>
      </c>
      <c r="BV209" s="1370">
        <v>5</v>
      </c>
      <c r="BW209" s="1369">
        <v>18</v>
      </c>
      <c r="BX209" s="1362">
        <v>18</v>
      </c>
      <c r="BY209" s="1362">
        <v>18</v>
      </c>
      <c r="BZ209" s="1362">
        <v>24</v>
      </c>
      <c r="CA209" s="1362">
        <v>24</v>
      </c>
      <c r="CB209" s="1362">
        <v>3</v>
      </c>
      <c r="CC209" s="1362">
        <v>3</v>
      </c>
      <c r="CD209" s="1365">
        <v>24</v>
      </c>
      <c r="CE209" s="1365">
        <v>24</v>
      </c>
      <c r="CF209" s="1365">
        <v>24</v>
      </c>
      <c r="CG209" s="1362">
        <v>18</v>
      </c>
      <c r="CH209" s="1362">
        <v>18</v>
      </c>
      <c r="CI209" s="1362">
        <v>18</v>
      </c>
      <c r="CJ209" s="1362">
        <v>18</v>
      </c>
      <c r="CK209" s="1362">
        <v>24</v>
      </c>
      <c r="CL209" s="1362">
        <v>18</v>
      </c>
      <c r="CM209" s="1362">
        <v>18</v>
      </c>
      <c r="CN209" s="1362">
        <v>18</v>
      </c>
      <c r="CO209" s="1362">
        <v>18</v>
      </c>
      <c r="CP209" s="1363">
        <v>10</v>
      </c>
      <c r="CQ209" s="1363">
        <v>10</v>
      </c>
      <c r="CR209" s="1368">
        <v>24</v>
      </c>
      <c r="CS209" s="1368">
        <v>24</v>
      </c>
      <c r="CT209" s="1362">
        <v>24</v>
      </c>
      <c r="CU209" s="1366">
        <v>12</v>
      </c>
      <c r="CV209" s="1371">
        <v>24</v>
      </c>
      <c r="CW209" s="1372">
        <v>24</v>
      </c>
      <c r="CX209" s="1373">
        <v>18</v>
      </c>
      <c r="CY209" s="1373">
        <v>18</v>
      </c>
      <c r="CZ209" s="1372">
        <v>24</v>
      </c>
      <c r="DA209" s="1368">
        <v>24</v>
      </c>
      <c r="DB209" s="1362">
        <v>24</v>
      </c>
      <c r="DC209" s="1362">
        <v>24</v>
      </c>
      <c r="DD209" s="1362">
        <v>18</v>
      </c>
      <c r="DE209" s="1362">
        <v>24</v>
      </c>
      <c r="DF209" s="1362">
        <v>18</v>
      </c>
      <c r="DG209" s="1362">
        <v>18</v>
      </c>
      <c r="DH209" s="1362">
        <v>24</v>
      </c>
      <c r="DI209" s="1362">
        <v>18</v>
      </c>
      <c r="DJ209" s="1368">
        <v>12</v>
      </c>
      <c r="DK209" s="1362">
        <v>12</v>
      </c>
      <c r="DL209" s="1362">
        <v>12</v>
      </c>
      <c r="DM209" s="1362">
        <v>12</v>
      </c>
      <c r="DN209" s="1362">
        <v>12</v>
      </c>
      <c r="DO209" s="1362">
        <v>12</v>
      </c>
      <c r="DP209" s="1362">
        <v>12</v>
      </c>
      <c r="DQ209" s="1363">
        <v>0</v>
      </c>
      <c r="DR209" s="1368">
        <v>0</v>
      </c>
      <c r="DS209" s="1368">
        <v>0</v>
      </c>
      <c r="DT209" s="1366"/>
      <c r="DU209" s="1368">
        <v>0</v>
      </c>
      <c r="DV209" s="1373">
        <v>0</v>
      </c>
      <c r="DW209" s="1373"/>
      <c r="DX209" s="1374" t="s">
        <v>692</v>
      </c>
      <c r="DY209" s="659"/>
    </row>
    <row r="210" spans="1:129" ht="14.4">
      <c r="A210" s="1361" t="s">
        <v>231</v>
      </c>
      <c r="B210" s="1375">
        <v>2</v>
      </c>
      <c r="C210" s="1375">
        <v>2</v>
      </c>
      <c r="D210" s="1375">
        <v>2</v>
      </c>
      <c r="E210" s="1375">
        <v>2</v>
      </c>
      <c r="F210" s="1375">
        <v>2</v>
      </c>
      <c r="G210" s="1376">
        <v>2</v>
      </c>
      <c r="H210" s="1376">
        <v>2</v>
      </c>
      <c r="I210" s="1376">
        <v>2</v>
      </c>
      <c r="J210" s="1376">
        <v>2</v>
      </c>
      <c r="K210" s="1376">
        <v>2</v>
      </c>
      <c r="L210" s="1376">
        <v>2</v>
      </c>
      <c r="M210" s="1376">
        <v>2</v>
      </c>
      <c r="N210" s="1377">
        <v>2</v>
      </c>
      <c r="O210" s="1377">
        <v>2</v>
      </c>
      <c r="P210" s="1378">
        <v>2</v>
      </c>
      <c r="Q210" s="1379">
        <v>4</v>
      </c>
      <c r="R210" s="1379">
        <v>2</v>
      </c>
      <c r="S210" s="1379">
        <v>2</v>
      </c>
      <c r="T210" s="1380">
        <v>2</v>
      </c>
      <c r="U210" s="1379">
        <v>2</v>
      </c>
      <c r="V210" s="1379">
        <v>2</v>
      </c>
      <c r="W210" s="1379">
        <v>2</v>
      </c>
      <c r="X210" s="1379">
        <v>0</v>
      </c>
      <c r="Y210" s="1381">
        <v>2</v>
      </c>
      <c r="Z210" s="1376">
        <v>4</v>
      </c>
      <c r="AA210" s="1381">
        <v>4</v>
      </c>
      <c r="AB210" s="1382">
        <v>4</v>
      </c>
      <c r="AC210" s="1382">
        <v>4</v>
      </c>
      <c r="AD210" s="1382">
        <v>2</v>
      </c>
      <c r="AE210" s="1382">
        <v>4</v>
      </c>
      <c r="AF210" s="1382">
        <v>4</v>
      </c>
      <c r="AG210" s="1382">
        <v>4</v>
      </c>
      <c r="AH210" s="1382">
        <v>4</v>
      </c>
      <c r="AI210" s="1375">
        <v>4</v>
      </c>
      <c r="AJ210" s="1382">
        <v>4</v>
      </c>
      <c r="AK210" s="1375">
        <v>4</v>
      </c>
      <c r="AL210" s="1375">
        <v>4</v>
      </c>
      <c r="AM210" s="1378">
        <v>4</v>
      </c>
      <c r="AN210" s="1378">
        <v>4</v>
      </c>
      <c r="AO210" s="1378">
        <v>2</v>
      </c>
      <c r="AP210" s="1378">
        <v>2</v>
      </c>
      <c r="AQ210" s="1376">
        <v>4</v>
      </c>
      <c r="AR210" s="1379">
        <v>6</v>
      </c>
      <c r="AS210" s="1379">
        <v>6</v>
      </c>
      <c r="AT210" s="1379">
        <v>6</v>
      </c>
      <c r="AU210" s="1379">
        <v>6</v>
      </c>
      <c r="AV210" s="1379">
        <v>6</v>
      </c>
      <c r="AW210" s="1379">
        <v>2</v>
      </c>
      <c r="AX210" s="1379">
        <v>2</v>
      </c>
      <c r="AY210" s="1382">
        <v>0</v>
      </c>
      <c r="AZ210" s="1375">
        <v>0</v>
      </c>
      <c r="BA210" s="1375">
        <v>0</v>
      </c>
      <c r="BB210" s="1375">
        <v>0</v>
      </c>
      <c r="BC210" s="1375">
        <v>0</v>
      </c>
      <c r="BD210" s="1375">
        <v>0</v>
      </c>
      <c r="BE210" s="1375">
        <v>0</v>
      </c>
      <c r="BF210" s="1375">
        <v>0</v>
      </c>
      <c r="BG210" s="1375">
        <v>0</v>
      </c>
      <c r="BH210" s="1375">
        <v>0</v>
      </c>
      <c r="BI210" s="1375">
        <v>0</v>
      </c>
      <c r="BJ210" s="1375">
        <v>0</v>
      </c>
      <c r="BK210" s="1375">
        <v>0</v>
      </c>
      <c r="BL210" s="1382">
        <v>0</v>
      </c>
      <c r="BM210" s="1382">
        <v>0</v>
      </c>
      <c r="BN210" s="1382">
        <v>0</v>
      </c>
      <c r="BO210" s="1375">
        <v>0</v>
      </c>
      <c r="BP210" s="1375">
        <v>0</v>
      </c>
      <c r="BQ210" s="1375">
        <v>0</v>
      </c>
      <c r="BR210" s="1375">
        <v>0</v>
      </c>
      <c r="BS210" s="1375">
        <v>0</v>
      </c>
      <c r="BT210" s="1375">
        <v>0</v>
      </c>
      <c r="BU210" s="1375">
        <v>0</v>
      </c>
      <c r="BV210" s="1383">
        <v>0</v>
      </c>
      <c r="BW210" s="1382">
        <v>6</v>
      </c>
      <c r="BX210" s="1375">
        <v>6</v>
      </c>
      <c r="BY210" s="1375">
        <v>6</v>
      </c>
      <c r="BZ210" s="1375">
        <v>9</v>
      </c>
      <c r="CA210" s="1375">
        <v>9</v>
      </c>
      <c r="CB210" s="1375">
        <v>0</v>
      </c>
      <c r="CC210" s="1375">
        <v>0</v>
      </c>
      <c r="CD210" s="1378">
        <v>6</v>
      </c>
      <c r="CE210" s="1378">
        <v>6</v>
      </c>
      <c r="CF210" s="1378">
        <v>6</v>
      </c>
      <c r="CG210" s="1375">
        <v>6</v>
      </c>
      <c r="CH210" s="1375">
        <v>6</v>
      </c>
      <c r="CI210" s="1375">
        <v>6</v>
      </c>
      <c r="CJ210" s="1375">
        <v>6</v>
      </c>
      <c r="CK210" s="1375">
        <v>6</v>
      </c>
      <c r="CL210" s="1375">
        <v>6</v>
      </c>
      <c r="CM210" s="1375">
        <v>6</v>
      </c>
      <c r="CN210" s="1375">
        <v>6</v>
      </c>
      <c r="CO210" s="1375">
        <v>6</v>
      </c>
      <c r="CP210" s="1376">
        <v>2</v>
      </c>
      <c r="CQ210" s="1376">
        <v>2</v>
      </c>
      <c r="CR210" s="1381">
        <v>6</v>
      </c>
      <c r="CS210" s="1381">
        <v>6</v>
      </c>
      <c r="CT210" s="1375">
        <v>6</v>
      </c>
      <c r="CU210" s="1379">
        <v>4</v>
      </c>
      <c r="CV210" s="1384">
        <v>6</v>
      </c>
      <c r="CW210" s="1385">
        <v>6</v>
      </c>
      <c r="CX210" s="1386">
        <v>6</v>
      </c>
      <c r="CY210" s="1386">
        <v>6</v>
      </c>
      <c r="CZ210" s="1385">
        <v>6</v>
      </c>
      <c r="DA210" s="1381">
        <v>6</v>
      </c>
      <c r="DB210" s="1375">
        <v>6</v>
      </c>
      <c r="DC210" s="1375">
        <v>6</v>
      </c>
      <c r="DD210" s="1375">
        <v>6</v>
      </c>
      <c r="DE210" s="1375">
        <v>6</v>
      </c>
      <c r="DF210" s="1375">
        <v>6</v>
      </c>
      <c r="DG210" s="1375">
        <v>6</v>
      </c>
      <c r="DH210" s="1375">
        <v>6</v>
      </c>
      <c r="DI210" s="1375">
        <v>6</v>
      </c>
      <c r="DJ210" s="1381">
        <v>4</v>
      </c>
      <c r="DK210" s="1375">
        <v>4</v>
      </c>
      <c r="DL210" s="1375">
        <v>4</v>
      </c>
      <c r="DM210" s="1375">
        <v>4</v>
      </c>
      <c r="DN210" s="1375">
        <v>4</v>
      </c>
      <c r="DO210" s="1375">
        <v>4</v>
      </c>
      <c r="DP210" s="1375">
        <v>4</v>
      </c>
      <c r="DQ210" s="1376">
        <v>0</v>
      </c>
      <c r="DR210" s="1381">
        <v>0</v>
      </c>
      <c r="DS210" s="1381">
        <v>0</v>
      </c>
      <c r="DT210" s="1379"/>
      <c r="DU210" s="1381">
        <v>0</v>
      </c>
      <c r="DV210" s="1373">
        <v>0</v>
      </c>
      <c r="DW210" s="1373"/>
      <c r="DX210" s="1374" t="s">
        <v>231</v>
      </c>
      <c r="DY210" s="659"/>
    </row>
    <row r="211" spans="1:129" ht="14.4">
      <c r="A211" s="1387" t="s">
        <v>693</v>
      </c>
      <c r="B211" s="1388"/>
      <c r="C211" s="1388"/>
      <c r="D211" s="1388"/>
      <c r="E211" s="1388"/>
      <c r="F211" s="1388"/>
      <c r="G211" s="1389"/>
      <c r="H211" s="1389"/>
      <c r="I211" s="1389"/>
      <c r="J211" s="1389"/>
      <c r="K211" s="1389"/>
      <c r="L211" s="1389"/>
      <c r="M211" s="1389"/>
      <c r="N211" s="1390"/>
      <c r="O211" s="1390"/>
      <c r="P211" s="1388"/>
      <c r="Q211" s="1391"/>
      <c r="R211" s="1391"/>
      <c r="S211" s="1391"/>
      <c r="T211" s="1392"/>
      <c r="U211" s="1391"/>
      <c r="V211" s="1391"/>
      <c r="W211" s="1391"/>
      <c r="X211" s="1391"/>
      <c r="Y211" s="1393"/>
      <c r="Z211" s="1389"/>
      <c r="AA211" s="1393"/>
      <c r="AB211" s="1394"/>
      <c r="AC211" s="1394"/>
      <c r="AD211" s="1394"/>
      <c r="AE211" s="1394"/>
      <c r="AF211" s="1394"/>
      <c r="AG211" s="1394"/>
      <c r="AH211" s="1394"/>
      <c r="AI211" s="1394"/>
      <c r="AJ211" s="1394"/>
      <c r="AK211" s="1394"/>
      <c r="AL211" s="1388"/>
      <c r="AM211" s="1389"/>
      <c r="AN211" s="1389"/>
      <c r="AO211" s="1388"/>
      <c r="AP211" s="1388"/>
      <c r="AQ211" s="1389"/>
      <c r="AR211" s="1391"/>
      <c r="AS211" s="1391"/>
      <c r="AT211" s="1391"/>
      <c r="AU211" s="1391"/>
      <c r="AV211" s="1391"/>
      <c r="AW211" s="1391"/>
      <c r="AX211" s="1391"/>
      <c r="AY211" s="1394"/>
      <c r="AZ211" s="1388"/>
      <c r="BA211" s="1388"/>
      <c r="BB211" s="1388"/>
      <c r="BC211" s="1388"/>
      <c r="BD211" s="1388"/>
      <c r="BE211" s="1388"/>
      <c r="BF211" s="1389"/>
      <c r="BG211" s="1389"/>
      <c r="BH211" s="1389"/>
      <c r="BI211" s="1389"/>
      <c r="BJ211" s="1389"/>
      <c r="BK211" s="1389"/>
      <c r="BL211" s="1394"/>
      <c r="BM211" s="1394"/>
      <c r="BN211" s="1394"/>
      <c r="BO211" s="1388"/>
      <c r="BP211" s="1388"/>
      <c r="BQ211" s="1388"/>
      <c r="BR211" s="1388"/>
      <c r="BS211" s="1388"/>
      <c r="BT211" s="1388"/>
      <c r="BU211" s="1388"/>
      <c r="BV211" s="1395"/>
      <c r="BW211" s="1394"/>
      <c r="BX211" s="1388"/>
      <c r="BY211" s="1388"/>
      <c r="BZ211" s="1388"/>
      <c r="CA211" s="1388"/>
      <c r="CB211" s="1388"/>
      <c r="CC211" s="1388"/>
      <c r="CD211" s="1388"/>
      <c r="CE211" s="1388"/>
      <c r="CF211" s="1388"/>
      <c r="CG211" s="1388"/>
      <c r="CH211" s="1388"/>
      <c r="CI211" s="1388"/>
      <c r="CJ211" s="1388"/>
      <c r="CK211" s="1388"/>
      <c r="CL211" s="1388"/>
      <c r="CM211" s="1388"/>
      <c r="CN211" s="1388"/>
      <c r="CO211" s="1388"/>
      <c r="CP211" s="1389"/>
      <c r="CQ211" s="1391"/>
      <c r="CR211" s="1393"/>
      <c r="CS211" s="1394"/>
      <c r="CT211" s="1388"/>
      <c r="CU211" s="1391"/>
      <c r="CV211" s="1396"/>
      <c r="CW211" s="1397"/>
      <c r="CX211" s="1398"/>
      <c r="CY211" s="1398"/>
      <c r="CZ211" s="1397"/>
      <c r="DA211" s="1393"/>
      <c r="DB211" s="1388"/>
      <c r="DC211" s="1388"/>
      <c r="DD211" s="1388"/>
      <c r="DE211" s="1388"/>
      <c r="DF211" s="1388"/>
      <c r="DG211" s="1388"/>
      <c r="DH211" s="1389"/>
      <c r="DI211" s="1389"/>
      <c r="DJ211" s="1393"/>
      <c r="DK211" s="1388"/>
      <c r="DL211" s="1388"/>
      <c r="DM211" s="1388"/>
      <c r="DN211" s="1388"/>
      <c r="DO211" s="1388"/>
      <c r="DP211" s="1388"/>
      <c r="DQ211" s="1389"/>
      <c r="DR211" s="1393"/>
      <c r="DS211" s="1393"/>
      <c r="DT211" s="1391"/>
      <c r="DU211" s="1393"/>
      <c r="DV211" s="1398"/>
      <c r="DW211" s="1398"/>
      <c r="DX211" s="1399" t="s">
        <v>693</v>
      </c>
    </row>
    <row r="212" spans="1:129" ht="27">
      <c r="A212" s="1399" t="s">
        <v>694</v>
      </c>
      <c r="B212" s="1400">
        <f t="shared" ref="B212:BM212" si="277">IFERROR(B171/B7,0)</f>
        <v>0</v>
      </c>
      <c r="C212" s="1400">
        <f t="shared" si="277"/>
        <v>0</v>
      </c>
      <c r="D212" s="1400">
        <f t="shared" si="277"/>
        <v>0</v>
      </c>
      <c r="E212" s="1400">
        <f t="shared" si="277"/>
        <v>0</v>
      </c>
      <c r="F212" s="1400">
        <f t="shared" si="277"/>
        <v>0</v>
      </c>
      <c r="G212" s="1401">
        <f t="shared" si="277"/>
        <v>0</v>
      </c>
      <c r="H212" s="1401">
        <f t="shared" si="277"/>
        <v>0</v>
      </c>
      <c r="I212" s="1401">
        <f t="shared" si="277"/>
        <v>0</v>
      </c>
      <c r="J212" s="1401">
        <f t="shared" si="277"/>
        <v>0</v>
      </c>
      <c r="K212" s="1401">
        <f t="shared" si="277"/>
        <v>0</v>
      </c>
      <c r="L212" s="1401">
        <f t="shared" si="277"/>
        <v>0</v>
      </c>
      <c r="M212" s="1401">
        <f t="shared" si="277"/>
        <v>0</v>
      </c>
      <c r="N212" s="1402">
        <f t="shared" si="277"/>
        <v>0</v>
      </c>
      <c r="O212" s="1402">
        <f t="shared" si="277"/>
        <v>0</v>
      </c>
      <c r="P212" s="1400">
        <f t="shared" si="277"/>
        <v>0</v>
      </c>
      <c r="Q212" s="1403">
        <f t="shared" si="277"/>
        <v>0</v>
      </c>
      <c r="R212" s="1403">
        <f t="shared" si="277"/>
        <v>0</v>
      </c>
      <c r="S212" s="1404">
        <f t="shared" si="277"/>
        <v>0</v>
      </c>
      <c r="T212" s="1405">
        <f t="shared" si="277"/>
        <v>0</v>
      </c>
      <c r="U212" s="1404">
        <f t="shared" si="277"/>
        <v>0</v>
      </c>
      <c r="V212" s="1404">
        <f t="shared" si="277"/>
        <v>0</v>
      </c>
      <c r="W212" s="1404">
        <f t="shared" si="277"/>
        <v>0</v>
      </c>
      <c r="X212" s="1404">
        <f t="shared" si="277"/>
        <v>0</v>
      </c>
      <c r="Y212" s="1406">
        <f t="shared" si="277"/>
        <v>0</v>
      </c>
      <c r="Z212" s="1401">
        <f t="shared" si="277"/>
        <v>0</v>
      </c>
      <c r="AA212" s="1406">
        <f t="shared" si="277"/>
        <v>0</v>
      </c>
      <c r="AB212" s="1407">
        <f t="shared" si="277"/>
        <v>0</v>
      </c>
      <c r="AC212" s="1407">
        <f t="shared" si="277"/>
        <v>0</v>
      </c>
      <c r="AD212" s="1407">
        <f t="shared" si="277"/>
        <v>0</v>
      </c>
      <c r="AE212" s="1407">
        <f t="shared" si="277"/>
        <v>0</v>
      </c>
      <c r="AF212" s="1407">
        <f t="shared" si="277"/>
        <v>0</v>
      </c>
      <c r="AG212" s="1407">
        <f t="shared" si="277"/>
        <v>0</v>
      </c>
      <c r="AH212" s="1407">
        <f t="shared" si="277"/>
        <v>0</v>
      </c>
      <c r="AI212" s="1407">
        <f t="shared" si="277"/>
        <v>0</v>
      </c>
      <c r="AJ212" s="1407">
        <f t="shared" si="277"/>
        <v>0</v>
      </c>
      <c r="AK212" s="1407">
        <f t="shared" si="277"/>
        <v>0</v>
      </c>
      <c r="AL212" s="1400">
        <f t="shared" si="277"/>
        <v>0</v>
      </c>
      <c r="AM212" s="1400">
        <f t="shared" si="277"/>
        <v>0</v>
      </c>
      <c r="AN212" s="1400">
        <f t="shared" si="277"/>
        <v>0</v>
      </c>
      <c r="AO212" s="1400">
        <f t="shared" si="277"/>
        <v>0</v>
      </c>
      <c r="AP212" s="1400">
        <f t="shared" si="277"/>
        <v>0</v>
      </c>
      <c r="AQ212" s="1401">
        <f t="shared" si="277"/>
        <v>0</v>
      </c>
      <c r="AR212" s="1403">
        <f t="shared" si="277"/>
        <v>0</v>
      </c>
      <c r="AS212" s="1403">
        <f t="shared" si="277"/>
        <v>0</v>
      </c>
      <c r="AT212" s="1403">
        <f t="shared" si="277"/>
        <v>0</v>
      </c>
      <c r="AU212" s="1403">
        <f t="shared" si="277"/>
        <v>0</v>
      </c>
      <c r="AV212" s="1403">
        <f t="shared" si="277"/>
        <v>0</v>
      </c>
      <c r="AW212" s="1408">
        <f t="shared" si="277"/>
        <v>0</v>
      </c>
      <c r="AX212" s="1403">
        <f t="shared" si="277"/>
        <v>0</v>
      </c>
      <c r="AY212" s="1407">
        <f t="shared" si="277"/>
        <v>0</v>
      </c>
      <c r="AZ212" s="1400">
        <f t="shared" si="277"/>
        <v>0</v>
      </c>
      <c r="BA212" s="1400">
        <f t="shared" si="277"/>
        <v>0</v>
      </c>
      <c r="BB212" s="1400">
        <f t="shared" si="277"/>
        <v>0</v>
      </c>
      <c r="BC212" s="1400">
        <f t="shared" si="277"/>
        <v>0</v>
      </c>
      <c r="BD212" s="1400">
        <f t="shared" si="277"/>
        <v>0</v>
      </c>
      <c r="BE212" s="1400">
        <f t="shared" si="277"/>
        <v>0</v>
      </c>
      <c r="BF212" s="1400">
        <f t="shared" si="277"/>
        <v>0</v>
      </c>
      <c r="BG212" s="1400">
        <f t="shared" si="277"/>
        <v>0</v>
      </c>
      <c r="BH212" s="1400">
        <f t="shared" si="277"/>
        <v>0</v>
      </c>
      <c r="BI212" s="1400">
        <f t="shared" si="277"/>
        <v>0</v>
      </c>
      <c r="BJ212" s="1400">
        <f t="shared" si="277"/>
        <v>0</v>
      </c>
      <c r="BK212" s="1400">
        <f t="shared" si="277"/>
        <v>0</v>
      </c>
      <c r="BL212" s="1400">
        <f t="shared" si="277"/>
        <v>0</v>
      </c>
      <c r="BM212" s="1400">
        <f t="shared" si="277"/>
        <v>0</v>
      </c>
      <c r="BN212" s="1400">
        <f t="shared" ref="BN212:DS212" si="278">IFERROR(BN171/BN7,0)</f>
        <v>0</v>
      </c>
      <c r="BO212" s="1400">
        <f t="shared" si="278"/>
        <v>0</v>
      </c>
      <c r="BP212" s="1400">
        <f t="shared" si="278"/>
        <v>0</v>
      </c>
      <c r="BQ212" s="1400">
        <f t="shared" si="278"/>
        <v>0</v>
      </c>
      <c r="BR212" s="1400">
        <f t="shared" si="278"/>
        <v>0</v>
      </c>
      <c r="BS212" s="1400">
        <f t="shared" si="278"/>
        <v>0</v>
      </c>
      <c r="BT212" s="1400">
        <f t="shared" si="278"/>
        <v>0</v>
      </c>
      <c r="BU212" s="1400">
        <f t="shared" si="278"/>
        <v>0</v>
      </c>
      <c r="BV212" s="1400">
        <f t="shared" si="278"/>
        <v>0</v>
      </c>
      <c r="BW212" s="1400">
        <f t="shared" si="278"/>
        <v>0</v>
      </c>
      <c r="BX212" s="1400">
        <f t="shared" si="278"/>
        <v>0</v>
      </c>
      <c r="BY212" s="1400">
        <f t="shared" si="278"/>
        <v>0</v>
      </c>
      <c r="BZ212" s="1400">
        <f t="shared" si="278"/>
        <v>0</v>
      </c>
      <c r="CA212" s="1400">
        <f t="shared" si="278"/>
        <v>0</v>
      </c>
      <c r="CB212" s="1400">
        <f t="shared" si="278"/>
        <v>0</v>
      </c>
      <c r="CC212" s="1400">
        <f t="shared" si="278"/>
        <v>0</v>
      </c>
      <c r="CD212" s="1400">
        <f t="shared" si="278"/>
        <v>0</v>
      </c>
      <c r="CE212" s="1400">
        <f t="shared" si="278"/>
        <v>0</v>
      </c>
      <c r="CF212" s="1400">
        <f t="shared" si="278"/>
        <v>0</v>
      </c>
      <c r="CG212" s="1400">
        <f t="shared" si="278"/>
        <v>0</v>
      </c>
      <c r="CH212" s="1400">
        <f t="shared" si="278"/>
        <v>0</v>
      </c>
      <c r="CI212" s="1400">
        <f t="shared" si="278"/>
        <v>0</v>
      </c>
      <c r="CJ212" s="1400">
        <f t="shared" si="278"/>
        <v>0</v>
      </c>
      <c r="CK212" s="1400">
        <f t="shared" si="278"/>
        <v>0</v>
      </c>
      <c r="CL212" s="1400">
        <f t="shared" si="278"/>
        <v>0</v>
      </c>
      <c r="CM212" s="1400">
        <f t="shared" si="278"/>
        <v>0</v>
      </c>
      <c r="CN212" s="1400">
        <f t="shared" si="278"/>
        <v>0</v>
      </c>
      <c r="CO212" s="1400">
        <f t="shared" si="278"/>
        <v>0</v>
      </c>
      <c r="CP212" s="1400">
        <f t="shared" si="278"/>
        <v>0</v>
      </c>
      <c r="CQ212" s="1400">
        <f t="shared" si="278"/>
        <v>0</v>
      </c>
      <c r="CR212" s="1406">
        <f t="shared" si="278"/>
        <v>0</v>
      </c>
      <c r="CS212" s="1406">
        <f t="shared" si="278"/>
        <v>0</v>
      </c>
      <c r="CT212" s="1400">
        <f t="shared" si="278"/>
        <v>0</v>
      </c>
      <c r="CU212" s="1400">
        <f t="shared" si="278"/>
        <v>0</v>
      </c>
      <c r="CV212" s="1400">
        <f t="shared" si="278"/>
        <v>0</v>
      </c>
      <c r="CW212" s="1409">
        <f t="shared" si="278"/>
        <v>0</v>
      </c>
      <c r="CX212" s="1410">
        <f t="shared" si="278"/>
        <v>0</v>
      </c>
      <c r="CY212" s="1410">
        <f t="shared" si="278"/>
        <v>0</v>
      </c>
      <c r="CZ212" s="1409">
        <f t="shared" si="278"/>
        <v>0</v>
      </c>
      <c r="DA212" s="1406">
        <f t="shared" si="278"/>
        <v>0</v>
      </c>
      <c r="DB212" s="1400">
        <f t="shared" si="278"/>
        <v>0</v>
      </c>
      <c r="DC212" s="1400">
        <f t="shared" si="278"/>
        <v>0</v>
      </c>
      <c r="DD212" s="1400">
        <f t="shared" si="278"/>
        <v>0</v>
      </c>
      <c r="DE212" s="1400">
        <f t="shared" si="278"/>
        <v>0</v>
      </c>
      <c r="DF212" s="1400">
        <f t="shared" si="278"/>
        <v>0</v>
      </c>
      <c r="DG212" s="1400">
        <f t="shared" si="278"/>
        <v>0</v>
      </c>
      <c r="DH212" s="1400">
        <f t="shared" si="278"/>
        <v>0</v>
      </c>
      <c r="DI212" s="1400">
        <f t="shared" si="278"/>
        <v>0</v>
      </c>
      <c r="DJ212" s="1406">
        <f t="shared" si="278"/>
        <v>0</v>
      </c>
      <c r="DK212" s="1400">
        <f t="shared" si="278"/>
        <v>0</v>
      </c>
      <c r="DL212" s="1400">
        <f t="shared" si="278"/>
        <v>0</v>
      </c>
      <c r="DM212" s="1400">
        <f t="shared" si="278"/>
        <v>0</v>
      </c>
      <c r="DN212" s="1400">
        <f t="shared" si="278"/>
        <v>0</v>
      </c>
      <c r="DO212" s="1400">
        <f t="shared" si="278"/>
        <v>0</v>
      </c>
      <c r="DP212" s="1400">
        <f t="shared" si="278"/>
        <v>0</v>
      </c>
      <c r="DQ212" s="1401">
        <f t="shared" si="278"/>
        <v>0</v>
      </c>
      <c r="DR212" s="1406">
        <f t="shared" si="278"/>
        <v>0</v>
      </c>
      <c r="DS212" s="1406">
        <f t="shared" si="278"/>
        <v>0</v>
      </c>
      <c r="DT212" s="1403"/>
      <c r="DU212" s="1406">
        <f>IFERROR(DU171/DU7,0)</f>
        <v>0</v>
      </c>
      <c r="DV212" s="1398">
        <f>IFERROR(DV171/DV7,0)</f>
        <v>0</v>
      </c>
      <c r="DW212" s="1398"/>
      <c r="DX212" s="1399" t="s">
        <v>694</v>
      </c>
    </row>
    <row r="213" spans="1:129" thickBot="1">
      <c r="A213" s="1399" t="s">
        <v>695</v>
      </c>
      <c r="B213" s="1411" t="str">
        <f t="shared" ref="B213:AG213" si="279">B6</f>
        <v>Н0000086159</v>
      </c>
      <c r="C213" s="1411" t="str">
        <f t="shared" si="279"/>
        <v>Н0000086487</v>
      </c>
      <c r="D213" s="1411" t="str">
        <f t="shared" si="279"/>
        <v>Н0000086542</v>
      </c>
      <c r="E213" s="1412" t="str">
        <f t="shared" si="279"/>
        <v>Н0000088745</v>
      </c>
      <c r="F213" s="1411" t="str">
        <f t="shared" si="279"/>
        <v>Н0000084595</v>
      </c>
      <c r="G213" s="1413" t="str">
        <f t="shared" si="279"/>
        <v>Н0000090511</v>
      </c>
      <c r="H213" s="1413" t="str">
        <f t="shared" si="279"/>
        <v>Н0000096641</v>
      </c>
      <c r="I213" s="1414" t="str">
        <f t="shared" si="279"/>
        <v>Н0000080826</v>
      </c>
      <c r="J213" s="1413" t="str">
        <f t="shared" si="279"/>
        <v>Н0000094227</v>
      </c>
      <c r="K213" s="1414" t="str">
        <f t="shared" si="279"/>
        <v>Н0000094228</v>
      </c>
      <c r="L213" s="1414" t="str">
        <f t="shared" si="279"/>
        <v>Н0000094632</v>
      </c>
      <c r="M213" s="1414" t="str">
        <f t="shared" si="279"/>
        <v>Н0000094779</v>
      </c>
      <c r="N213" s="1415" t="str">
        <f t="shared" si="279"/>
        <v>Н0000088717</v>
      </c>
      <c r="O213" s="1415" t="str">
        <f t="shared" si="279"/>
        <v>Н0000082882</v>
      </c>
      <c r="P213" s="1416" t="str">
        <f t="shared" si="279"/>
        <v>Н0000088470</v>
      </c>
      <c r="Q213" s="1417">
        <f t="shared" si="279"/>
        <v>3503984</v>
      </c>
      <c r="R213" s="1417" t="str">
        <f t="shared" si="279"/>
        <v>Н0000095992</v>
      </c>
      <c r="S213" s="1418" t="str">
        <f t="shared" si="279"/>
        <v>Н0000081879</v>
      </c>
      <c r="T213" s="1419" t="str">
        <f t="shared" si="279"/>
        <v>Н0000094741</v>
      </c>
      <c r="U213" s="1418" t="str">
        <f t="shared" si="279"/>
        <v>Н0000093444</v>
      </c>
      <c r="V213" s="1418" t="str">
        <f t="shared" si="279"/>
        <v>Н0000090330</v>
      </c>
      <c r="W213" s="1418" t="str">
        <f t="shared" si="279"/>
        <v>Н0000096639</v>
      </c>
      <c r="X213" s="1418" t="str">
        <f t="shared" si="279"/>
        <v>Н0000096814</v>
      </c>
      <c r="Y213" s="1420" t="str">
        <f t="shared" si="279"/>
        <v>Н0000094742</v>
      </c>
      <c r="Z213" s="1414" t="str">
        <f t="shared" si="279"/>
        <v>Н0000094745</v>
      </c>
      <c r="AA213" s="1420" t="str">
        <f t="shared" si="279"/>
        <v>Н0000094725</v>
      </c>
      <c r="AB213" s="1421" t="str">
        <f t="shared" si="279"/>
        <v>Н0000093998</v>
      </c>
      <c r="AC213" s="1421" t="str">
        <f t="shared" si="279"/>
        <v>Н0000095934</v>
      </c>
      <c r="AD213" s="1421" t="str">
        <f t="shared" si="279"/>
        <v>Н0000094497</v>
      </c>
      <c r="AE213" s="1421" t="str">
        <f t="shared" si="279"/>
        <v>Н0000096638</v>
      </c>
      <c r="AF213" s="1421" t="str">
        <f t="shared" si="279"/>
        <v>Н0000096640</v>
      </c>
      <c r="AG213" s="1421" t="str">
        <f t="shared" si="279"/>
        <v>Н0000094726</v>
      </c>
      <c r="AH213" s="1421" t="s">
        <v>557</v>
      </c>
      <c r="AI213" s="1421" t="s">
        <v>558</v>
      </c>
      <c r="AJ213" s="1421" t="s">
        <v>848</v>
      </c>
      <c r="AK213" s="1831" t="s">
        <v>785</v>
      </c>
      <c r="AL213" s="1411" t="str">
        <f>AL6</f>
        <v>Н0000094734</v>
      </c>
      <c r="AM213" s="1412" t="str">
        <f>AM6</f>
        <v>Н0000094735</v>
      </c>
      <c r="AN213" s="1412" t="s">
        <v>561</v>
      </c>
      <c r="AO213" s="1411" t="str">
        <f>AO6</f>
        <v>Н0000094274</v>
      </c>
      <c r="AP213" s="1411" t="str">
        <f>AP6</f>
        <v>Н0000090331</v>
      </c>
      <c r="AQ213" s="1413" t="str">
        <f>AQ6</f>
        <v>Н0000089109</v>
      </c>
      <c r="AR213" s="1417" t="str">
        <f>AR6</f>
        <v>Н0000094740</v>
      </c>
      <c r="AS213" s="1417" t="str">
        <f>AS6</f>
        <v>Н0000091561</v>
      </c>
      <c r="AT213" s="1417" t="s">
        <v>776</v>
      </c>
      <c r="AU213" s="1417" t="str">
        <f t="shared" ref="AU213:BG213" si="280">AU6</f>
        <v>Н0000093316</v>
      </c>
      <c r="AV213" s="1417" t="str">
        <f t="shared" si="280"/>
        <v>Н0000092242</v>
      </c>
      <c r="AW213" s="1422" t="str">
        <f t="shared" si="280"/>
        <v>Н0000093343</v>
      </c>
      <c r="AX213" s="1423" t="str">
        <f t="shared" si="280"/>
        <v>Н0000088954</v>
      </c>
      <c r="AY213" s="1424" t="str">
        <f t="shared" si="280"/>
        <v>Н0000094736</v>
      </c>
      <c r="AZ213" s="1411" t="str">
        <f t="shared" si="280"/>
        <v>Н0000094698</v>
      </c>
      <c r="BA213" s="1411" t="str">
        <f t="shared" si="280"/>
        <v>Н0000094729</v>
      </c>
      <c r="BB213" s="1411" t="str">
        <f t="shared" si="280"/>
        <v>Н0000094728</v>
      </c>
      <c r="BC213" s="1411">
        <f t="shared" si="280"/>
        <v>327193010</v>
      </c>
      <c r="BD213" s="1411" t="str">
        <f t="shared" si="280"/>
        <v>Н0000090381</v>
      </c>
      <c r="BE213" s="1411" t="str">
        <f t="shared" si="280"/>
        <v>Н0000087862</v>
      </c>
      <c r="BF213" s="1411" t="str">
        <f t="shared" si="280"/>
        <v>Н0000096234</v>
      </c>
      <c r="BG213" s="1411" t="str">
        <f t="shared" si="280"/>
        <v>Н0000095981</v>
      </c>
      <c r="BH213" s="1411" t="s">
        <v>909</v>
      </c>
      <c r="BI213" s="1411" t="str">
        <f t="shared" ref="BI213:CA213" si="281">BI6</f>
        <v>Н0000096635</v>
      </c>
      <c r="BJ213" s="1411" t="str">
        <f t="shared" si="281"/>
        <v>Н0000095415</v>
      </c>
      <c r="BK213" s="1411" t="str">
        <f t="shared" si="281"/>
        <v>Н0000094739</v>
      </c>
      <c r="BL213" s="1411" t="str">
        <f t="shared" si="281"/>
        <v>Н0000094897</v>
      </c>
      <c r="BM213" s="1411" t="str">
        <f t="shared" si="281"/>
        <v>Н0000094737</v>
      </c>
      <c r="BN213" s="1411" t="str">
        <f t="shared" si="281"/>
        <v>Н0000095553</v>
      </c>
      <c r="BO213" s="1411" t="str">
        <f t="shared" si="281"/>
        <v>Н0000094727</v>
      </c>
      <c r="BP213" s="1411" t="str">
        <f t="shared" si="281"/>
        <v>Н0000096233</v>
      </c>
      <c r="BQ213" s="1411" t="str">
        <f t="shared" si="281"/>
        <v>Н0000087861</v>
      </c>
      <c r="BR213" s="1412" t="str">
        <f t="shared" si="281"/>
        <v>Н0000096805</v>
      </c>
      <c r="BS213" s="1411" t="str">
        <f t="shared" si="281"/>
        <v>Н0000096636</v>
      </c>
      <c r="BT213" s="1411" t="str">
        <f t="shared" si="281"/>
        <v>Н0000095985</v>
      </c>
      <c r="BU213" s="1411">
        <f t="shared" si="281"/>
        <v>327192013</v>
      </c>
      <c r="BV213" s="1411" t="str">
        <f t="shared" si="281"/>
        <v>Н0000090380</v>
      </c>
      <c r="BW213" s="1411" t="str">
        <f t="shared" si="281"/>
        <v>Н0000094030</v>
      </c>
      <c r="BX213" s="1411" t="str">
        <f t="shared" si="281"/>
        <v>Н0000094029</v>
      </c>
      <c r="BY213" s="1411" t="str">
        <f t="shared" si="281"/>
        <v>Н0000096235</v>
      </c>
      <c r="BZ213" s="1425" t="str">
        <f t="shared" si="281"/>
        <v>Н0000086350</v>
      </c>
      <c r="CA213" s="1425" t="str">
        <f t="shared" si="281"/>
        <v>Н0000094994</v>
      </c>
      <c r="CB213" s="1425" t="s">
        <v>592</v>
      </c>
      <c r="CC213" s="1425" t="s">
        <v>593</v>
      </c>
      <c r="CD213" s="1416" t="str">
        <f>CD6</f>
        <v>Н0000086888</v>
      </c>
      <c r="CE213" s="1416" t="str">
        <f>CE6</f>
        <v>Н0000088471</v>
      </c>
      <c r="CF213" s="1416" t="s">
        <v>596</v>
      </c>
      <c r="CG213" s="1416" t="str">
        <f>CG6</f>
        <v>Н0000093950</v>
      </c>
      <c r="CH213" s="1416" t="s">
        <v>598</v>
      </c>
      <c r="CI213" s="1416" t="s">
        <v>837</v>
      </c>
      <c r="CJ213" s="1416" t="s">
        <v>838</v>
      </c>
      <c r="CK213" s="1416" t="str">
        <f t="shared" ref="CK213:CU213" si="282">CK6</f>
        <v>Н0000092930</v>
      </c>
      <c r="CL213" s="1416" t="str">
        <f t="shared" si="282"/>
        <v>Н0000095930</v>
      </c>
      <c r="CM213" s="1416" t="str">
        <f t="shared" si="282"/>
        <v>Н0000095931</v>
      </c>
      <c r="CN213" s="1416" t="str">
        <f t="shared" si="282"/>
        <v>Н0000095932</v>
      </c>
      <c r="CO213" s="1425">
        <f t="shared" si="282"/>
        <v>326635016</v>
      </c>
      <c r="CP213" s="1425" t="str">
        <f t="shared" si="282"/>
        <v>Н0000090708</v>
      </c>
      <c r="CQ213" s="1425" t="str">
        <f t="shared" si="282"/>
        <v>Н0000096634</v>
      </c>
      <c r="CR213" s="1420" t="str">
        <f t="shared" si="282"/>
        <v>Н0000085588</v>
      </c>
      <c r="CS213" s="1420" t="str">
        <f t="shared" si="282"/>
        <v>Н0000096632</v>
      </c>
      <c r="CT213" s="1416" t="str">
        <f t="shared" si="282"/>
        <v>Н0000089213</v>
      </c>
      <c r="CU213" s="1423" t="str">
        <f t="shared" si="282"/>
        <v>Н0000093541</v>
      </c>
      <c r="CV213" s="1426" t="s">
        <v>607</v>
      </c>
      <c r="CW213" s="1427" t="str">
        <f>CW6</f>
        <v>Н0000085591</v>
      </c>
      <c r="CX213" s="1428" t="s">
        <v>609</v>
      </c>
      <c r="CY213" s="1429" t="str">
        <f>CY6</f>
        <v>Н0000085590</v>
      </c>
      <c r="CZ213" s="1427" t="str">
        <f>CZ6</f>
        <v>Н0000086352</v>
      </c>
      <c r="DA213" s="1420" t="str">
        <f>DA6</f>
        <v>Н0000079142</v>
      </c>
      <c r="DB213" s="1411" t="str">
        <f>DB6</f>
        <v>Н0000083955</v>
      </c>
      <c r="DC213" s="1411" t="str">
        <f>DC6</f>
        <v>Н0000083957</v>
      </c>
      <c r="DD213" s="1411" t="s">
        <v>615</v>
      </c>
      <c r="DE213" s="1411" t="s">
        <v>598</v>
      </c>
      <c r="DF213" s="1411" t="str">
        <f t="shared" ref="DF213:DS213" si="283">DF6</f>
        <v>Н0000094363</v>
      </c>
      <c r="DG213" s="1411">
        <f t="shared" si="283"/>
        <v>326636013</v>
      </c>
      <c r="DH213" s="1414" t="str">
        <f t="shared" si="283"/>
        <v>Н0000085587</v>
      </c>
      <c r="DI213" s="1414" t="str">
        <f t="shared" si="283"/>
        <v>Н0000095933</v>
      </c>
      <c r="DJ213" s="1420" t="str">
        <f t="shared" si="283"/>
        <v>Н0000079144</v>
      </c>
      <c r="DK213" s="1411" t="str">
        <f t="shared" si="283"/>
        <v>Н0000084378</v>
      </c>
      <c r="DL213" s="1411" t="str">
        <f t="shared" si="283"/>
        <v>Н0000096291</v>
      </c>
      <c r="DM213" s="1411" t="str">
        <f t="shared" si="283"/>
        <v>Н0000096292</v>
      </c>
      <c r="DN213" s="1411" t="str">
        <f t="shared" si="283"/>
        <v>Н0000096293</v>
      </c>
      <c r="DO213" s="1411" t="str">
        <f t="shared" si="283"/>
        <v>Н0000093768</v>
      </c>
      <c r="DP213" s="1411" t="str">
        <f t="shared" si="283"/>
        <v>Н0000088626</v>
      </c>
      <c r="DQ213" s="1430">
        <f t="shared" si="283"/>
        <v>0</v>
      </c>
      <c r="DR213" s="1420" t="str">
        <f t="shared" si="283"/>
        <v>Н0000079224</v>
      </c>
      <c r="DS213" s="1420" t="str">
        <f t="shared" si="283"/>
        <v>Н0000083041</v>
      </c>
      <c r="DT213" s="1417"/>
      <c r="DU213" s="1420" t="str">
        <f>DU6</f>
        <v>Н0000092414</v>
      </c>
      <c r="DV213" s="1429" t="str">
        <f>DU6</f>
        <v>Н0000092414</v>
      </c>
      <c r="DW213" s="1429"/>
      <c r="DX213" s="1399" t="s">
        <v>695</v>
      </c>
    </row>
    <row r="214" spans="1:129" ht="18.75" customHeight="1" thickTop="1" thickBot="1">
      <c r="A214" s="1431"/>
      <c r="B214" s="1801"/>
      <c r="C214" s="1801"/>
      <c r="D214" s="1801"/>
      <c r="E214" s="1801"/>
      <c r="F214" s="1801"/>
      <c r="G214" s="1801"/>
      <c r="H214" s="1801"/>
      <c r="I214" s="1801"/>
      <c r="J214" s="1801"/>
      <c r="K214" s="1801"/>
      <c r="L214" s="1801"/>
      <c r="M214" s="1801"/>
      <c r="N214" s="1432"/>
      <c r="O214" s="1432"/>
      <c r="P214" s="1433"/>
      <c r="Q214" s="1434"/>
      <c r="R214" s="1434"/>
      <c r="S214" s="1434"/>
      <c r="T214" s="1435"/>
      <c r="U214" s="1434"/>
      <c r="V214" s="1434"/>
      <c r="W214" s="1434"/>
      <c r="X214" s="1434"/>
      <c r="Y214" s="1434"/>
      <c r="Z214" s="1434"/>
      <c r="AA214" s="1434"/>
      <c r="AB214" s="1434"/>
      <c r="AC214" s="1434"/>
      <c r="AD214" s="1434"/>
      <c r="AE214" s="1434"/>
      <c r="AF214" s="1434"/>
      <c r="AG214" s="1434"/>
      <c r="AH214" s="1434"/>
      <c r="AI214" s="1434"/>
      <c r="AJ214" s="1434"/>
      <c r="AK214" s="1434"/>
      <c r="AL214" s="1434"/>
      <c r="AM214" s="1434"/>
      <c r="AN214" s="1434"/>
      <c r="AO214" s="1433"/>
      <c r="AP214" s="1433"/>
      <c r="AQ214" s="1434"/>
      <c r="AR214" s="1434"/>
      <c r="AS214" s="1434"/>
      <c r="AT214" s="1434"/>
      <c r="AU214" s="1434"/>
      <c r="AV214" s="1434"/>
      <c r="AW214" s="1801"/>
      <c r="AX214" s="1801"/>
      <c r="AY214" s="1801"/>
      <c r="AZ214" s="1801"/>
      <c r="BA214" s="1434"/>
      <c r="BB214" s="1434"/>
      <c r="BC214" s="1434"/>
      <c r="BD214" s="1434"/>
      <c r="BE214" s="1434"/>
      <c r="BF214" s="1434"/>
      <c r="BG214" s="1434"/>
      <c r="BH214" s="1434"/>
      <c r="BI214" s="1434"/>
      <c r="BJ214" s="1434"/>
      <c r="BK214" s="1434"/>
      <c r="BL214" s="1434"/>
      <c r="BM214" s="1434"/>
      <c r="BN214" s="1434"/>
      <c r="BO214" s="1434"/>
      <c r="BP214" s="1434"/>
      <c r="BQ214" s="1434"/>
      <c r="BR214" s="1434"/>
      <c r="BS214" s="1434"/>
      <c r="BT214" s="1434"/>
      <c r="BU214" s="1434"/>
      <c r="BV214" s="1434"/>
      <c r="BW214" s="1801"/>
      <c r="BX214" s="1801"/>
      <c r="BY214" s="1801"/>
      <c r="BZ214" s="1434"/>
      <c r="CA214" s="1434"/>
      <c r="CB214" s="1434"/>
      <c r="CC214" s="1434"/>
      <c r="CD214" s="1433"/>
      <c r="CE214" s="1433"/>
      <c r="CF214" s="1433"/>
      <c r="CG214" s="1433"/>
      <c r="CH214" s="1433"/>
      <c r="CI214" s="1433"/>
      <c r="CJ214" s="1433"/>
      <c r="CK214" s="1434"/>
      <c r="CL214" s="1434"/>
      <c r="CM214" s="1434"/>
      <c r="CN214" s="1434"/>
      <c r="CO214" s="1434"/>
      <c r="CP214" s="1434"/>
      <c r="CQ214" s="1434"/>
      <c r="CR214" s="1434"/>
      <c r="CS214" s="1434"/>
      <c r="CT214" s="1434"/>
      <c r="CU214" s="1434"/>
      <c r="CV214" s="1434"/>
      <c r="CW214" s="1434"/>
      <c r="CX214" s="1434"/>
      <c r="CY214" s="1434"/>
      <c r="CZ214" s="1434"/>
      <c r="DA214" s="1801"/>
      <c r="DB214" s="1801"/>
      <c r="DC214" s="1801"/>
      <c r="DD214" s="1801"/>
      <c r="DE214" s="1801"/>
      <c r="DF214" s="1434"/>
      <c r="DG214" s="1434"/>
      <c r="DH214" s="1434"/>
      <c r="DI214" s="1434"/>
      <c r="DJ214" s="1801"/>
      <c r="DK214" s="1801"/>
      <c r="DL214" s="1801"/>
      <c r="DM214" s="1801"/>
      <c r="DN214" s="1801"/>
      <c r="DO214" s="1801"/>
      <c r="DP214" s="1801"/>
      <c r="DQ214" s="1801"/>
      <c r="DR214" s="1436"/>
      <c r="DS214" s="1801"/>
      <c r="DT214" s="1801"/>
      <c r="DU214" s="1801"/>
      <c r="DV214" s="1802"/>
      <c r="DW214" s="1801"/>
      <c r="DX214" s="1431"/>
      <c r="DY214" s="659"/>
    </row>
    <row r="215" spans="1:129" ht="15.75" customHeight="1" outlineLevel="1" thickTop="1">
      <c r="A215" s="1437" t="s">
        <v>696</v>
      </c>
      <c r="B215" s="1438">
        <f t="shared" ref="B215:BD215" si="284">SUM(B216:B221)</f>
        <v>434.976</v>
      </c>
      <c r="C215" s="1438">
        <f t="shared" si="284"/>
        <v>18.934999999999999</v>
      </c>
      <c r="D215" s="1438">
        <f t="shared" si="284"/>
        <v>99.133999999999986</v>
      </c>
      <c r="E215" s="1438">
        <f t="shared" si="284"/>
        <v>3.21</v>
      </c>
      <c r="F215" s="1438">
        <f t="shared" si="284"/>
        <v>314.24</v>
      </c>
      <c r="G215" s="1438">
        <f t="shared" si="284"/>
        <v>0</v>
      </c>
      <c r="H215" s="1438">
        <f>SUM(H216:H221)</f>
        <v>2.96</v>
      </c>
      <c r="I215" s="1438">
        <f t="shared" si="284"/>
        <v>31.635999999999999</v>
      </c>
      <c r="J215" s="1438">
        <f t="shared" si="284"/>
        <v>238.56</v>
      </c>
      <c r="K215" s="1438">
        <f t="shared" si="284"/>
        <v>25.341999999999999</v>
      </c>
      <c r="L215" s="1438">
        <f t="shared" ref="L215:M215" si="285">SUM(L216:L221)</f>
        <v>2.4</v>
      </c>
      <c r="M215" s="1438">
        <f t="shared" si="285"/>
        <v>0</v>
      </c>
      <c r="N215" s="1439">
        <f t="shared" si="284"/>
        <v>137.63999999999999</v>
      </c>
      <c r="O215" s="1438">
        <f t="shared" ref="O215" si="286">SUM(O216:O221)</f>
        <v>5.92</v>
      </c>
      <c r="P215" s="1438">
        <f t="shared" si="284"/>
        <v>115.81</v>
      </c>
      <c r="Q215" s="1438">
        <f t="shared" si="284"/>
        <v>194.88</v>
      </c>
      <c r="R215" s="1438">
        <f t="shared" si="284"/>
        <v>20.16</v>
      </c>
      <c r="S215" s="1440">
        <f t="shared" ref="S215:T215" si="287">SUM(S216:S221)</f>
        <v>6057.7999999999993</v>
      </c>
      <c r="T215" s="1441">
        <f t="shared" si="287"/>
        <v>243.2</v>
      </c>
      <c r="U215" s="1442">
        <f t="shared" si="284"/>
        <v>36.36</v>
      </c>
      <c r="V215" s="1438">
        <f t="shared" ref="V215" si="288">SUM(V216:V221)</f>
        <v>18</v>
      </c>
      <c r="W215" s="1438">
        <f>SUM(W216:W221)</f>
        <v>8.4</v>
      </c>
      <c r="X215" s="1438">
        <f>SUM(X216:X221)</f>
        <v>25.2</v>
      </c>
      <c r="Y215" s="1439">
        <f t="shared" ref="Y215:AA215" si="289">SUM(Y216:Y221)</f>
        <v>234.21</v>
      </c>
      <c r="Z215" s="1438">
        <f t="shared" si="289"/>
        <v>0</v>
      </c>
      <c r="AA215" s="1439">
        <f t="shared" si="289"/>
        <v>485.3</v>
      </c>
      <c r="AB215" s="1438">
        <f t="shared" si="284"/>
        <v>53.04</v>
      </c>
      <c r="AC215" s="1438">
        <f t="shared" si="284"/>
        <v>22.2</v>
      </c>
      <c r="AD215" s="1438">
        <f t="shared" ref="AD215" si="290">SUM(AD216:AD221)</f>
        <v>2.64</v>
      </c>
      <c r="AE215" s="1438">
        <f>SUM(AE216:AE221)</f>
        <v>7.2</v>
      </c>
      <c r="AF215" s="1438">
        <f>SUM(AF216:AF221)</f>
        <v>13.44</v>
      </c>
      <c r="AG215" s="1438">
        <f t="shared" ref="AG215:AH215" si="291">SUM(AG216:AG221)</f>
        <v>340.47999999999996</v>
      </c>
      <c r="AH215" s="1438">
        <f t="shared" si="291"/>
        <v>280.83999999999997</v>
      </c>
      <c r="AI215" s="1438">
        <f>SUM(AI216:AI221)</f>
        <v>759.6</v>
      </c>
      <c r="AJ215" s="1438">
        <f>SUM(AJ216:AJ221)</f>
        <v>19.8</v>
      </c>
      <c r="AK215" s="1438">
        <f>SUM(AK216:AK221)</f>
        <v>0</v>
      </c>
      <c r="AL215" s="1438">
        <f t="shared" ref="AL215:AN215" si="292">SUM(AL216:AL221)</f>
        <v>112.69999999999999</v>
      </c>
      <c r="AM215" s="1438">
        <f t="shared" si="292"/>
        <v>178.4</v>
      </c>
      <c r="AN215" s="1438">
        <f t="shared" si="292"/>
        <v>18</v>
      </c>
      <c r="AO215" s="1438">
        <f t="shared" si="284"/>
        <v>3</v>
      </c>
      <c r="AP215" s="1438">
        <f t="shared" si="284"/>
        <v>12</v>
      </c>
      <c r="AQ215" s="1438">
        <f t="shared" si="284"/>
        <v>36.799999999999997</v>
      </c>
      <c r="AR215" s="1438">
        <f t="shared" ref="AR215" si="293">SUM(AR216:AR221)</f>
        <v>936.26</v>
      </c>
      <c r="AS215" s="1438">
        <f t="shared" si="284"/>
        <v>29.763999999999999</v>
      </c>
      <c r="AT215" s="1438">
        <f t="shared" ref="AT215" si="294">SUM(AT216:AT221)</f>
        <v>7.585</v>
      </c>
      <c r="AU215" s="1438">
        <f t="shared" ref="AU215" si="295">SUM(AU216:AU221)</f>
        <v>1.5820000000000001</v>
      </c>
      <c r="AV215" s="1438">
        <f t="shared" si="284"/>
        <v>0</v>
      </c>
      <c r="AW215" s="1438">
        <f t="shared" si="284"/>
        <v>0</v>
      </c>
      <c r="AX215" s="1438">
        <f t="shared" si="284"/>
        <v>15.228</v>
      </c>
      <c r="AY215" s="1439">
        <f t="shared" ref="AY215:BB215" si="296">SUM(AY216:AY221)</f>
        <v>325.75</v>
      </c>
      <c r="AZ215" s="1438">
        <f t="shared" si="296"/>
        <v>61</v>
      </c>
      <c r="BA215" s="1438">
        <f t="shared" si="296"/>
        <v>73.375</v>
      </c>
      <c r="BB215" s="1438">
        <f t="shared" si="296"/>
        <v>189.39999999999998</v>
      </c>
      <c r="BC215" s="1438">
        <f t="shared" si="284"/>
        <v>0</v>
      </c>
      <c r="BD215" s="1438">
        <f t="shared" si="284"/>
        <v>58.5</v>
      </c>
      <c r="BE215" s="1438">
        <f>SUM(BE216:BE221)</f>
        <v>0</v>
      </c>
      <c r="BF215" s="1438">
        <f>SUM(BF216:BF221)</f>
        <v>1.6</v>
      </c>
      <c r="BG215" s="1438">
        <f t="shared" ref="BG215:DR215" si="297">SUM(BG216:BG221)</f>
        <v>0</v>
      </c>
      <c r="BH215" s="1438">
        <f>SUM(BH216:BH221)</f>
        <v>34.4</v>
      </c>
      <c r="BI215" s="1438">
        <f>SUM(BI216:BI221)</f>
        <v>4</v>
      </c>
      <c r="BJ215" s="1438">
        <f t="shared" si="297"/>
        <v>12</v>
      </c>
      <c r="BK215" s="1438">
        <f t="shared" si="297"/>
        <v>6</v>
      </c>
      <c r="BL215" s="1438">
        <f t="shared" si="297"/>
        <v>34</v>
      </c>
      <c r="BM215" s="1438">
        <f t="shared" si="297"/>
        <v>259.5</v>
      </c>
      <c r="BN215" s="1438">
        <f t="shared" si="297"/>
        <v>20.5</v>
      </c>
      <c r="BO215" s="1438">
        <f t="shared" si="297"/>
        <v>795</v>
      </c>
      <c r="BP215" s="1438">
        <f t="shared" si="297"/>
        <v>188.8</v>
      </c>
      <c r="BQ215" s="1438">
        <f t="shared" si="297"/>
        <v>0</v>
      </c>
      <c r="BR215" s="1438">
        <f>SUM(BR216:BR221)</f>
        <v>1.6</v>
      </c>
      <c r="BS215" s="1438">
        <f>SUM(BS216:BS221)</f>
        <v>16</v>
      </c>
      <c r="BT215" s="1438">
        <f t="shared" si="297"/>
        <v>0.8</v>
      </c>
      <c r="BU215" s="1438">
        <f t="shared" si="297"/>
        <v>1.2</v>
      </c>
      <c r="BV215" s="1438">
        <f t="shared" si="297"/>
        <v>4.5</v>
      </c>
      <c r="BW215" s="1438">
        <f t="shared" si="297"/>
        <v>641.75</v>
      </c>
      <c r="BX215" s="1438">
        <f t="shared" si="297"/>
        <v>546.5</v>
      </c>
      <c r="BY215" s="1438">
        <f t="shared" si="297"/>
        <v>516.4</v>
      </c>
      <c r="BZ215" s="1438">
        <f t="shared" si="297"/>
        <v>8.1000000000000014</v>
      </c>
      <c r="CA215" s="1438">
        <f t="shared" si="297"/>
        <v>10.36</v>
      </c>
      <c r="CB215" s="1438">
        <f t="shared" si="297"/>
        <v>15.9</v>
      </c>
      <c r="CC215" s="1438">
        <f t="shared" si="297"/>
        <v>0</v>
      </c>
      <c r="CD215" s="1438">
        <f t="shared" si="297"/>
        <v>10667.5</v>
      </c>
      <c r="CE215" s="1438">
        <f t="shared" si="297"/>
        <v>483.40000000000003</v>
      </c>
      <c r="CF215" s="1438">
        <f t="shared" si="297"/>
        <v>9.6</v>
      </c>
      <c r="CG215" s="1438">
        <f t="shared" si="297"/>
        <v>1545.48</v>
      </c>
      <c r="CH215" s="1438">
        <f t="shared" si="297"/>
        <v>1027.5</v>
      </c>
      <c r="CI215" s="1438">
        <f>SUM(CI216:CI221)</f>
        <v>121.2</v>
      </c>
      <c r="CJ215" s="1438">
        <f>SUM(CJ216:CJ221)</f>
        <v>21.6</v>
      </c>
      <c r="CK215" s="1438">
        <f t="shared" si="297"/>
        <v>-6</v>
      </c>
      <c r="CL215" s="1438">
        <f t="shared" si="297"/>
        <v>19</v>
      </c>
      <c r="CM215" s="1438">
        <f t="shared" si="297"/>
        <v>293</v>
      </c>
      <c r="CN215" s="1438">
        <f t="shared" si="297"/>
        <v>27.4</v>
      </c>
      <c r="CO215" s="1438">
        <f t="shared" si="297"/>
        <v>124.5</v>
      </c>
      <c r="CP215" s="1439">
        <f t="shared" si="297"/>
        <v>206.5</v>
      </c>
      <c r="CQ215" s="1439">
        <f>SUM(CQ216:CQ221)</f>
        <v>3</v>
      </c>
      <c r="CR215" s="1439">
        <f t="shared" si="297"/>
        <v>3.5</v>
      </c>
      <c r="CS215" s="1439">
        <f>SUM(CS216:CS221)</f>
        <v>25.2</v>
      </c>
      <c r="CT215" s="1438">
        <f t="shared" si="297"/>
        <v>75.599999999999994</v>
      </c>
      <c r="CU215" s="1438">
        <f t="shared" si="297"/>
        <v>569.16</v>
      </c>
      <c r="CV215" s="1438">
        <f t="shared" si="297"/>
        <v>0</v>
      </c>
      <c r="CW215" s="1438">
        <f t="shared" si="297"/>
        <v>-15.3</v>
      </c>
      <c r="CX215" s="1439">
        <f t="shared" si="297"/>
        <v>19.440000000000001</v>
      </c>
      <c r="CY215" s="1439">
        <f t="shared" si="297"/>
        <v>8.4600000000000009</v>
      </c>
      <c r="CZ215" s="1439">
        <f t="shared" si="297"/>
        <v>349.91999999999996</v>
      </c>
      <c r="DA215" s="1439">
        <f t="shared" si="297"/>
        <v>372.25</v>
      </c>
      <c r="DB215" s="1438">
        <f t="shared" si="297"/>
        <v>174.5</v>
      </c>
      <c r="DC215" s="1438">
        <f t="shared" si="297"/>
        <v>1609</v>
      </c>
      <c r="DD215" s="1438">
        <f t="shared" si="297"/>
        <v>18</v>
      </c>
      <c r="DE215" s="1438">
        <f>SUM(DE216:DE221)</f>
        <v>180</v>
      </c>
      <c r="DF215" s="1438">
        <f t="shared" si="297"/>
        <v>870</v>
      </c>
      <c r="DG215" s="1438">
        <f t="shared" si="297"/>
        <v>39</v>
      </c>
      <c r="DH215" s="1438">
        <f t="shared" si="297"/>
        <v>961</v>
      </c>
      <c r="DI215" s="1438">
        <f t="shared" si="297"/>
        <v>215.8</v>
      </c>
      <c r="DJ215" s="1439">
        <f t="shared" si="297"/>
        <v>3378.5</v>
      </c>
      <c r="DK215" s="1438">
        <f t="shared" si="297"/>
        <v>2868</v>
      </c>
      <c r="DL215" s="1438">
        <f t="shared" si="297"/>
        <v>349</v>
      </c>
      <c r="DM215" s="1438">
        <f t="shared" si="297"/>
        <v>522.5</v>
      </c>
      <c r="DN215" s="1438">
        <f t="shared" si="297"/>
        <v>577</v>
      </c>
      <c r="DO215" s="1438">
        <f t="shared" si="297"/>
        <v>692</v>
      </c>
      <c r="DP215" s="1438">
        <f t="shared" si="297"/>
        <v>1254</v>
      </c>
      <c r="DQ215" s="1439">
        <f t="shared" si="297"/>
        <v>0</v>
      </c>
      <c r="DR215" s="1438">
        <f t="shared" si="297"/>
        <v>0</v>
      </c>
      <c r="DS215" s="1438">
        <f t="shared" ref="DS215:DV215" si="298">SUM(DS216:DS221)</f>
        <v>0</v>
      </c>
      <c r="DT215" s="1438"/>
      <c r="DU215" s="1438">
        <f t="shared" si="298"/>
        <v>0</v>
      </c>
      <c r="DV215" s="1438">
        <f t="shared" si="298"/>
        <v>0</v>
      </c>
      <c r="DW215" s="1443">
        <f t="shared" ref="DW215:DW221" si="299">SUM(B215:DV215)</f>
        <v>45091.976999999999</v>
      </c>
      <c r="DX215" s="1437" t="s">
        <v>696</v>
      </c>
      <c r="DY215" s="659"/>
    </row>
    <row r="216" spans="1:129" ht="21" customHeight="1" outlineLevel="1">
      <c r="A216" s="1444" t="str">
        <f t="shared" ref="A216:A221" si="300">A82</f>
        <v>Склад ГП на 18-00</v>
      </c>
      <c r="B216" s="1445">
        <v>399.69499999999999</v>
      </c>
      <c r="C216" s="1445">
        <v>18.934999999999999</v>
      </c>
      <c r="D216" s="1445">
        <v>95.941999999999993</v>
      </c>
      <c r="E216" s="1445"/>
      <c r="F216" s="1445">
        <v>219.78</v>
      </c>
      <c r="G216" s="1445"/>
      <c r="H216" s="1445">
        <v>2.96</v>
      </c>
      <c r="I216" s="1445">
        <v>28.36</v>
      </c>
      <c r="J216" s="1445">
        <v>157.91999999999999</v>
      </c>
      <c r="K216" s="1445">
        <v>25.341999999999999</v>
      </c>
      <c r="L216" s="1445">
        <v>2.4</v>
      </c>
      <c r="M216" s="1445"/>
      <c r="N216" s="1446">
        <v>113.96</v>
      </c>
      <c r="O216" s="1445"/>
      <c r="P216" s="1445">
        <v>21.09</v>
      </c>
      <c r="Q216" s="1445">
        <v>152.32</v>
      </c>
      <c r="R216" s="1447">
        <v>20.16</v>
      </c>
      <c r="S216" s="1448">
        <v>5717.32</v>
      </c>
      <c r="T216" s="1449">
        <v>243.2</v>
      </c>
      <c r="U216" s="1450">
        <v>21.96</v>
      </c>
      <c r="V216" s="1445">
        <v>8.4</v>
      </c>
      <c r="W216" s="1445">
        <v>8.4</v>
      </c>
      <c r="X216" s="1445">
        <v>25.2</v>
      </c>
      <c r="Y216" s="1446">
        <v>174.27</v>
      </c>
      <c r="Z216" s="1445"/>
      <c r="AA216" s="1446">
        <v>205.62</v>
      </c>
      <c r="AB216" s="1445">
        <v>8.64</v>
      </c>
      <c r="AC216" s="1445">
        <v>3</v>
      </c>
      <c r="AD216" s="1445">
        <v>2.64</v>
      </c>
      <c r="AE216" s="1445">
        <v>7.2</v>
      </c>
      <c r="AF216" s="1445">
        <v>13.44</v>
      </c>
      <c r="AG216" s="1445">
        <v>288.95999999999998</v>
      </c>
      <c r="AH216" s="1445">
        <v>267.39999999999998</v>
      </c>
      <c r="AI216" s="1445">
        <v>423.6</v>
      </c>
      <c r="AJ216" s="1445">
        <v>19.8</v>
      </c>
      <c r="AK216" s="1445"/>
      <c r="AL216" s="1445">
        <v>39.1</v>
      </c>
      <c r="AM216" s="1445">
        <v>32.6</v>
      </c>
      <c r="AN216" s="1445">
        <v>18</v>
      </c>
      <c r="AO216" s="1445">
        <v>3</v>
      </c>
      <c r="AP216" s="1445">
        <v>8.4</v>
      </c>
      <c r="AQ216" s="1445">
        <v>36.799999999999997</v>
      </c>
      <c r="AR216" s="1445">
        <v>915.46</v>
      </c>
      <c r="AS216" s="1445">
        <v>8.5839999999999996</v>
      </c>
      <c r="AT216" s="1445">
        <v>7.585</v>
      </c>
      <c r="AU216" s="1445">
        <v>1.61</v>
      </c>
      <c r="AV216" s="1445"/>
      <c r="AW216" s="1445"/>
      <c r="AX216" s="1445">
        <v>15.228</v>
      </c>
      <c r="AY216" s="1446">
        <v>56.75</v>
      </c>
      <c r="AZ216" s="1445">
        <v>17</v>
      </c>
      <c r="BA216" s="1445">
        <v>68.375</v>
      </c>
      <c r="BB216" s="1445">
        <v>84.6</v>
      </c>
      <c r="BC216" s="1445"/>
      <c r="BD216" s="1445">
        <v>58.5</v>
      </c>
      <c r="BE216" s="1445"/>
      <c r="BF216" s="1445">
        <v>1.6</v>
      </c>
      <c r="BG216" s="1445"/>
      <c r="BH216" s="1445">
        <v>34.4</v>
      </c>
      <c r="BI216" s="1445">
        <v>4</v>
      </c>
      <c r="BJ216" s="1445">
        <v>12</v>
      </c>
      <c r="BK216" s="1445">
        <v>6</v>
      </c>
      <c r="BL216" s="1446">
        <v>30.8</v>
      </c>
      <c r="BM216" s="1446">
        <v>252.5</v>
      </c>
      <c r="BN216" s="1450">
        <v>19.5</v>
      </c>
      <c r="BO216" s="1445">
        <v>757.4</v>
      </c>
      <c r="BP216" s="1445"/>
      <c r="BQ216" s="1445"/>
      <c r="BR216" s="1445">
        <v>1.6</v>
      </c>
      <c r="BS216" s="1445">
        <v>16</v>
      </c>
      <c r="BT216" s="1445">
        <v>0.8</v>
      </c>
      <c r="BU216" s="1445">
        <v>1.2</v>
      </c>
      <c r="BV216" s="1445">
        <v>4.5</v>
      </c>
      <c r="BW216" s="1446">
        <v>563.75</v>
      </c>
      <c r="BX216" s="1445">
        <v>537.5</v>
      </c>
      <c r="BY216" s="1445">
        <v>477.6</v>
      </c>
      <c r="BZ216" s="1445">
        <v>4.8600000000000003</v>
      </c>
      <c r="CA216" s="1445">
        <v>10.36</v>
      </c>
      <c r="CB216" s="1445">
        <v>14.1</v>
      </c>
      <c r="CC216" s="1445"/>
      <c r="CD216" s="1445">
        <v>10619.5</v>
      </c>
      <c r="CE216" s="1445">
        <v>467.8</v>
      </c>
      <c r="CF216" s="1445"/>
      <c r="CG216" s="1445">
        <v>1545.48</v>
      </c>
      <c r="CH216" s="1445">
        <v>1027.5</v>
      </c>
      <c r="CI216" s="1445">
        <v>121.2</v>
      </c>
      <c r="CJ216" s="1445">
        <v>21.6</v>
      </c>
      <c r="CK216" s="1445">
        <v>-6</v>
      </c>
      <c r="CL216" s="1445">
        <v>10.6</v>
      </c>
      <c r="CM216" s="1445">
        <v>275</v>
      </c>
      <c r="CN216" s="1445">
        <v>15.4</v>
      </c>
      <c r="CO216" s="1445">
        <v>124.5</v>
      </c>
      <c r="CP216" s="1446">
        <v>170.5</v>
      </c>
      <c r="CQ216" s="1446">
        <v>3</v>
      </c>
      <c r="CR216" s="1446">
        <v>-8.5</v>
      </c>
      <c r="CS216" s="1450">
        <v>25.2</v>
      </c>
      <c r="CT216" s="1445">
        <v>4.8</v>
      </c>
      <c r="CU216" s="1445">
        <v>569.16</v>
      </c>
      <c r="CV216" s="1445"/>
      <c r="CW216" s="1445">
        <v>-15.3</v>
      </c>
      <c r="CX216" s="1450">
        <v>19.440000000000001</v>
      </c>
      <c r="CY216" s="1446">
        <v>8.4600000000000009</v>
      </c>
      <c r="CZ216" s="1446">
        <v>313.2</v>
      </c>
      <c r="DA216" s="1446">
        <v>313.75</v>
      </c>
      <c r="DB216" s="1445">
        <v>66.5</v>
      </c>
      <c r="DC216" s="1445">
        <v>1555</v>
      </c>
      <c r="DD216" s="1445">
        <v>18</v>
      </c>
      <c r="DE216" s="1445">
        <v>180</v>
      </c>
      <c r="DF216" s="1445">
        <v>721.5</v>
      </c>
      <c r="DG216" s="1445">
        <v>39</v>
      </c>
      <c r="DH216" s="1445">
        <v>1</v>
      </c>
      <c r="DI216" s="1445">
        <v>181</v>
      </c>
      <c r="DJ216" s="1446">
        <v>3375.5</v>
      </c>
      <c r="DK216" s="1445">
        <v>2718</v>
      </c>
      <c r="DL216" s="1445">
        <v>346</v>
      </c>
      <c r="DM216" s="1445">
        <v>498.5</v>
      </c>
      <c r="DN216" s="1445">
        <v>574</v>
      </c>
      <c r="DO216" s="1445">
        <v>692</v>
      </c>
      <c r="DP216" s="1445">
        <v>1254</v>
      </c>
      <c r="DQ216" s="1451"/>
      <c r="DR216" s="1452"/>
      <c r="DS216" s="1452"/>
      <c r="DT216" s="1452"/>
      <c r="DU216" s="1452"/>
      <c r="DV216" s="1452"/>
      <c r="DW216" s="1453">
        <f t="shared" si="299"/>
        <v>40666.265999999996</v>
      </c>
      <c r="DX216" s="1454" t="s">
        <v>637</v>
      </c>
      <c r="DY216" s="659"/>
    </row>
    <row r="217" spans="1:129" ht="21" customHeight="1" outlineLevel="1" thickBot="1">
      <c r="A217" s="1444" t="str">
        <f t="shared" si="300"/>
        <v>Склад ПроФреш на 12-00</v>
      </c>
      <c r="B217" s="1445">
        <v>35.280999999999999</v>
      </c>
      <c r="C217" s="1445"/>
      <c r="D217" s="1445">
        <v>3.1920000000000002</v>
      </c>
      <c r="E217" s="1445">
        <v>3.21</v>
      </c>
      <c r="F217" s="1445">
        <v>94.46</v>
      </c>
      <c r="G217" s="1445"/>
      <c r="H217" s="1445"/>
      <c r="I217" s="1445">
        <v>3.2759999999999998</v>
      </c>
      <c r="J217" s="1445">
        <v>80.64</v>
      </c>
      <c r="K217" s="1445"/>
      <c r="L217" s="1445"/>
      <c r="M217" s="1445"/>
      <c r="N217" s="1446">
        <v>23.68</v>
      </c>
      <c r="O217" s="1445">
        <v>5.92</v>
      </c>
      <c r="P217" s="1445">
        <v>94.72</v>
      </c>
      <c r="Q217" s="1445">
        <v>42.56</v>
      </c>
      <c r="R217" s="1447"/>
      <c r="S217" s="1448">
        <v>340.48</v>
      </c>
      <c r="T217" s="1455"/>
      <c r="U217" s="1450">
        <v>14.4</v>
      </c>
      <c r="V217" s="1445">
        <v>9.6</v>
      </c>
      <c r="W217" s="1445"/>
      <c r="X217" s="1445"/>
      <c r="Y217" s="1446">
        <v>59.94</v>
      </c>
      <c r="Z217" s="1445"/>
      <c r="AA217" s="1446">
        <v>279.68</v>
      </c>
      <c r="AB217" s="1445">
        <v>44.4</v>
      </c>
      <c r="AC217" s="1445">
        <v>19.2</v>
      </c>
      <c r="AD217" s="1445"/>
      <c r="AE217" s="1445"/>
      <c r="AF217" s="1445"/>
      <c r="AG217" s="1445">
        <v>51.52</v>
      </c>
      <c r="AH217" s="1445">
        <v>13.44</v>
      </c>
      <c r="AI217" s="1445">
        <v>336</v>
      </c>
      <c r="AJ217" s="1445"/>
      <c r="AK217" s="1445"/>
      <c r="AL217" s="1445">
        <v>73.599999999999994</v>
      </c>
      <c r="AM217" s="1445">
        <v>145.80000000000001</v>
      </c>
      <c r="AN217" s="1445"/>
      <c r="AO217" s="1445"/>
      <c r="AP217" s="1445">
        <v>3.6</v>
      </c>
      <c r="AQ217" s="1445"/>
      <c r="AR217" s="1445">
        <v>20.8</v>
      </c>
      <c r="AS217" s="1445">
        <v>21.18</v>
      </c>
      <c r="AT217" s="1445"/>
      <c r="AU217" s="1445">
        <v>-2.8000000000000001E-2</v>
      </c>
      <c r="AV217" s="1445"/>
      <c r="AW217" s="1445"/>
      <c r="AX217" s="1445"/>
      <c r="AY217" s="1446">
        <v>269</v>
      </c>
      <c r="AZ217" s="1445">
        <v>44</v>
      </c>
      <c r="BA217" s="1445">
        <v>5</v>
      </c>
      <c r="BB217" s="1445">
        <v>104.8</v>
      </c>
      <c r="BC217" s="1445"/>
      <c r="BD217" s="1445"/>
      <c r="BE217" s="1445"/>
      <c r="BF217" s="1445"/>
      <c r="BG217" s="1445"/>
      <c r="BH217" s="1445"/>
      <c r="BI217" s="1445"/>
      <c r="BJ217" s="1445"/>
      <c r="BK217" s="1445"/>
      <c r="BL217" s="1446">
        <v>3.2</v>
      </c>
      <c r="BM217" s="1446">
        <v>7</v>
      </c>
      <c r="BN217" s="1450">
        <v>1</v>
      </c>
      <c r="BO217" s="1445">
        <v>37.6</v>
      </c>
      <c r="BP217" s="1445">
        <v>188.8</v>
      </c>
      <c r="BQ217" s="1445"/>
      <c r="BR217" s="1445"/>
      <c r="BS217" s="1445"/>
      <c r="BT217" s="1445"/>
      <c r="BU217" s="1445"/>
      <c r="BV217" s="1445"/>
      <c r="BW217" s="1446">
        <v>78</v>
      </c>
      <c r="BX217" s="1445">
        <v>9</v>
      </c>
      <c r="BY217" s="1445">
        <v>38.799999999999997</v>
      </c>
      <c r="BZ217" s="1445">
        <v>3.24</v>
      </c>
      <c r="CA217" s="1445"/>
      <c r="CB217" s="1445">
        <v>1.8</v>
      </c>
      <c r="CC217" s="1445"/>
      <c r="CD217" s="1445">
        <v>48</v>
      </c>
      <c r="CE217" s="1445">
        <v>15.6</v>
      </c>
      <c r="CF217" s="1445">
        <v>9.6</v>
      </c>
      <c r="CG217" s="1445"/>
      <c r="CH217" s="1445"/>
      <c r="CI217" s="1445"/>
      <c r="CJ217" s="1445"/>
      <c r="CK217" s="1445"/>
      <c r="CL217" s="1445">
        <v>8.4</v>
      </c>
      <c r="CM217" s="1445">
        <v>18</v>
      </c>
      <c r="CN217" s="1445">
        <v>12</v>
      </c>
      <c r="CO217" s="1445"/>
      <c r="CP217" s="1446">
        <v>36</v>
      </c>
      <c r="CQ217" s="1446"/>
      <c r="CR217" s="1446">
        <v>12</v>
      </c>
      <c r="CS217" s="1450"/>
      <c r="CT217" s="1445">
        <v>70.8</v>
      </c>
      <c r="CU217" s="1445"/>
      <c r="CV217" s="1445"/>
      <c r="CW217" s="1445"/>
      <c r="CX217" s="1450"/>
      <c r="CY217" s="1446"/>
      <c r="CZ217" s="1446">
        <v>36.72</v>
      </c>
      <c r="DA217" s="1446">
        <v>58.5</v>
      </c>
      <c r="DB217" s="1445">
        <v>108</v>
      </c>
      <c r="DC217" s="1445">
        <v>54</v>
      </c>
      <c r="DD217" s="1445"/>
      <c r="DE217" s="1445"/>
      <c r="DF217" s="1445">
        <v>148.5</v>
      </c>
      <c r="DG217" s="1445"/>
      <c r="DH217" s="1445">
        <v>960</v>
      </c>
      <c r="DI217" s="1445">
        <v>34.799999999999997</v>
      </c>
      <c r="DJ217" s="1446">
        <v>3</v>
      </c>
      <c r="DK217" s="1445">
        <v>150</v>
      </c>
      <c r="DL217" s="1445">
        <v>3</v>
      </c>
      <c r="DM217" s="1445">
        <v>24</v>
      </c>
      <c r="DN217" s="1445">
        <v>3</v>
      </c>
      <c r="DO217" s="1445"/>
      <c r="DP217" s="1445"/>
      <c r="DQ217" s="1451"/>
      <c r="DR217" s="1452"/>
      <c r="DS217" s="1452"/>
      <c r="DT217" s="1452"/>
      <c r="DU217" s="1452"/>
      <c r="DV217" s="1452"/>
      <c r="DW217" s="1453">
        <f t="shared" si="299"/>
        <v>4425.7110000000002</v>
      </c>
      <c r="DX217" s="1454" t="s">
        <v>638</v>
      </c>
      <c r="DY217" s="659"/>
    </row>
    <row r="218" spans="1:129" ht="14.25" customHeight="1" outlineLevel="1" thickTop="1">
      <c r="A218" s="1444">
        <f t="shared" si="300"/>
        <v>0</v>
      </c>
      <c r="B218" s="1456"/>
      <c r="C218" s="1457"/>
      <c r="D218" s="1456"/>
      <c r="E218" s="1456"/>
      <c r="F218" s="1457"/>
      <c r="G218" s="1456"/>
      <c r="H218" s="1456"/>
      <c r="I218" s="1456"/>
      <c r="J218" s="1456"/>
      <c r="K218" s="1456"/>
      <c r="L218" s="1456"/>
      <c r="M218" s="1456"/>
      <c r="N218" s="1458"/>
      <c r="O218" s="1458"/>
      <c r="P218" s="1459"/>
      <c r="Q218" s="1460">
        <v>0</v>
      </c>
      <c r="R218" s="1460"/>
      <c r="S218" s="1460"/>
      <c r="T218" s="1460"/>
      <c r="U218" s="1460"/>
      <c r="V218" s="1460"/>
      <c r="W218" s="1460"/>
      <c r="X218" s="1460"/>
      <c r="Y218" s="1461">
        <v>0</v>
      </c>
      <c r="Z218" s="1456"/>
      <c r="AA218" s="1456"/>
      <c r="AB218" s="1456"/>
      <c r="AC218" s="1456"/>
      <c r="AD218" s="1456"/>
      <c r="AE218" s="1456"/>
      <c r="AF218" s="1456"/>
      <c r="AG218" s="1456"/>
      <c r="AH218" s="1456"/>
      <c r="AI218" s="1456"/>
      <c r="AJ218" s="1456"/>
      <c r="AK218" s="1456"/>
      <c r="AL218" s="1456"/>
      <c r="AM218" s="1456"/>
      <c r="AN218" s="1456"/>
      <c r="AO218" s="1462"/>
      <c r="AP218" s="1462"/>
      <c r="AQ218" s="1456"/>
      <c r="AR218" s="1463"/>
      <c r="AS218" s="1463"/>
      <c r="AT218" s="1463"/>
      <c r="AU218" s="1463"/>
      <c r="AV218" s="1463"/>
      <c r="AW218" s="1463"/>
      <c r="AX218" s="1464"/>
      <c r="AY218" s="1456"/>
      <c r="AZ218" s="1456"/>
      <c r="BA218" s="1456"/>
      <c r="BB218" s="1456"/>
      <c r="BC218" s="1457"/>
      <c r="BD218" s="1456"/>
      <c r="BE218" s="1456"/>
      <c r="BF218" s="1456"/>
      <c r="BG218" s="1456"/>
      <c r="BH218" s="1456"/>
      <c r="BI218" s="1456"/>
      <c r="BJ218" s="1456"/>
      <c r="BK218" s="1456"/>
      <c r="BL218" s="1457"/>
      <c r="BM218" s="1457"/>
      <c r="BN218" s="1456"/>
      <c r="BO218" s="1456"/>
      <c r="BP218" s="1460"/>
      <c r="BQ218" s="1465"/>
      <c r="BR218" s="1465"/>
      <c r="BS218" s="1465"/>
      <c r="BT218" s="1465"/>
      <c r="BU218" s="1465"/>
      <c r="BV218" s="1466"/>
      <c r="BW218" s="1456"/>
      <c r="BX218" s="1456"/>
      <c r="BY218" s="1456"/>
      <c r="BZ218" s="1457"/>
      <c r="CA218" s="1457"/>
      <c r="CB218" s="1457"/>
      <c r="CC218" s="1457"/>
      <c r="CD218" s="1459"/>
      <c r="CE218" s="1459"/>
      <c r="CF218" s="1462"/>
      <c r="CG218" s="1462"/>
      <c r="CH218" s="1462"/>
      <c r="CI218" s="1462"/>
      <c r="CJ218" s="1462"/>
      <c r="CK218" s="1456"/>
      <c r="CL218" s="1456"/>
      <c r="CM218" s="1456"/>
      <c r="CN218" s="1456"/>
      <c r="CO218" s="1456"/>
      <c r="CP218" s="1467"/>
      <c r="CQ218" s="1593"/>
      <c r="CR218" s="1456"/>
      <c r="CS218" s="1456"/>
      <c r="CT218" s="1456"/>
      <c r="CU218" s="1456"/>
      <c r="CV218" s="1456"/>
      <c r="CW218" s="1468"/>
      <c r="CX218" s="1468"/>
      <c r="CY218" s="1467"/>
      <c r="CZ218" s="1467"/>
      <c r="DA218" s="1456"/>
      <c r="DB218" s="1457"/>
      <c r="DC218" s="1456"/>
      <c r="DD218" s="1456"/>
      <c r="DE218" s="1456"/>
      <c r="DF218" s="1456"/>
      <c r="DG218" s="1456"/>
      <c r="DH218" s="1457"/>
      <c r="DI218" s="1460"/>
      <c r="DJ218" s="1469"/>
      <c r="DK218" s="1465"/>
      <c r="DL218" s="1465"/>
      <c r="DM218" s="1465"/>
      <c r="DN218" s="1465"/>
      <c r="DO218" s="1465"/>
      <c r="DP218" s="1465"/>
      <c r="DQ218" s="1463"/>
      <c r="DR218" s="1470"/>
      <c r="DS218" s="1463"/>
      <c r="DT218" s="1463"/>
      <c r="DU218" s="1463"/>
      <c r="DV218" s="1464"/>
      <c r="DW218" s="1468">
        <f t="shared" si="299"/>
        <v>0</v>
      </c>
      <c r="DX218" s="1454" t="e">
        <v>#REF!</v>
      </c>
      <c r="DY218" s="659"/>
    </row>
    <row r="219" spans="1:129" ht="14.25" customHeight="1" outlineLevel="1">
      <c r="A219" s="1444">
        <f t="shared" si="300"/>
        <v>0</v>
      </c>
      <c r="B219" s="1456"/>
      <c r="C219" s="1457"/>
      <c r="D219" s="1456"/>
      <c r="E219" s="1456"/>
      <c r="F219" s="1457"/>
      <c r="G219" s="1456"/>
      <c r="H219" s="1456"/>
      <c r="I219" s="1456"/>
      <c r="J219" s="1456"/>
      <c r="K219" s="1456"/>
      <c r="L219" s="1456"/>
      <c r="M219" s="1456"/>
      <c r="N219" s="1458"/>
      <c r="O219" s="1458"/>
      <c r="P219" s="1459"/>
      <c r="Q219" s="1460">
        <v>0</v>
      </c>
      <c r="R219" s="1460"/>
      <c r="S219" s="1460"/>
      <c r="T219" s="1460"/>
      <c r="U219" s="1460"/>
      <c r="V219" s="1460"/>
      <c r="W219" s="1460"/>
      <c r="X219" s="1460"/>
      <c r="Y219" s="1461">
        <v>0</v>
      </c>
      <c r="Z219" s="1456"/>
      <c r="AA219" s="1456"/>
      <c r="AB219" s="1456"/>
      <c r="AC219" s="1456"/>
      <c r="AD219" s="1456"/>
      <c r="AE219" s="1456"/>
      <c r="AF219" s="1456"/>
      <c r="AG219" s="1456"/>
      <c r="AH219" s="1456"/>
      <c r="AI219" s="1456"/>
      <c r="AJ219" s="1456"/>
      <c r="AK219" s="1456"/>
      <c r="AL219" s="1456"/>
      <c r="AM219" s="1456"/>
      <c r="AN219" s="1456"/>
      <c r="AO219" s="1462"/>
      <c r="AP219" s="1462"/>
      <c r="AQ219" s="1456"/>
      <c r="AR219" s="1463"/>
      <c r="AS219" s="1463"/>
      <c r="AT219" s="1463"/>
      <c r="AU219" s="1463"/>
      <c r="AV219" s="1463"/>
      <c r="AW219" s="1463"/>
      <c r="AX219" s="1464"/>
      <c r="AY219" s="1456"/>
      <c r="AZ219" s="1456"/>
      <c r="BA219" s="1456"/>
      <c r="BB219" s="1456"/>
      <c r="BC219" s="1457"/>
      <c r="BD219" s="1456"/>
      <c r="BE219" s="1456"/>
      <c r="BF219" s="1456"/>
      <c r="BG219" s="1456"/>
      <c r="BH219" s="1456"/>
      <c r="BI219" s="1456"/>
      <c r="BJ219" s="1456"/>
      <c r="BK219" s="1456"/>
      <c r="BL219" s="1457"/>
      <c r="BM219" s="1457"/>
      <c r="BN219" s="1456"/>
      <c r="BO219" s="1456"/>
      <c r="BP219" s="1460"/>
      <c r="BQ219" s="1465"/>
      <c r="BR219" s="1465"/>
      <c r="BS219" s="1465"/>
      <c r="BT219" s="1465"/>
      <c r="BU219" s="1465"/>
      <c r="BV219" s="1466"/>
      <c r="BW219" s="1456"/>
      <c r="BX219" s="1456"/>
      <c r="BY219" s="1456"/>
      <c r="BZ219" s="1457"/>
      <c r="CA219" s="1457"/>
      <c r="CB219" s="1457"/>
      <c r="CC219" s="1457"/>
      <c r="CD219" s="1459"/>
      <c r="CE219" s="1459"/>
      <c r="CF219" s="1462"/>
      <c r="CG219" s="1462"/>
      <c r="CH219" s="1462"/>
      <c r="CI219" s="1462"/>
      <c r="CJ219" s="1462"/>
      <c r="CK219" s="1456"/>
      <c r="CL219" s="1456"/>
      <c r="CM219" s="1456"/>
      <c r="CN219" s="1456"/>
      <c r="CO219" s="1456"/>
      <c r="CP219" s="1467"/>
      <c r="CQ219" s="1593"/>
      <c r="CR219" s="1456"/>
      <c r="CS219" s="1456"/>
      <c r="CT219" s="1456"/>
      <c r="CU219" s="1456"/>
      <c r="CV219" s="1456"/>
      <c r="CW219" s="1468"/>
      <c r="CX219" s="1468"/>
      <c r="CY219" s="1467"/>
      <c r="CZ219" s="1467"/>
      <c r="DA219" s="1456"/>
      <c r="DB219" s="1457"/>
      <c r="DC219" s="1456"/>
      <c r="DD219" s="1456"/>
      <c r="DE219" s="1456"/>
      <c r="DF219" s="1456"/>
      <c r="DG219" s="1456"/>
      <c r="DH219" s="1457"/>
      <c r="DI219" s="1460"/>
      <c r="DJ219" s="1469"/>
      <c r="DK219" s="1465"/>
      <c r="DL219" s="1465"/>
      <c r="DM219" s="1465"/>
      <c r="DN219" s="1465"/>
      <c r="DO219" s="1465"/>
      <c r="DP219" s="1465"/>
      <c r="DQ219" s="1463"/>
      <c r="DR219" s="1470"/>
      <c r="DS219" s="1463"/>
      <c r="DT219" s="1463"/>
      <c r="DU219" s="1463"/>
      <c r="DV219" s="1464"/>
      <c r="DW219" s="1468">
        <f t="shared" si="299"/>
        <v>0</v>
      </c>
      <c r="DX219" s="1454" t="e">
        <v>#REF!</v>
      </c>
      <c r="DY219" s="659"/>
    </row>
    <row r="220" spans="1:129" ht="14.25" customHeight="1" outlineLevel="1" thickBot="1">
      <c r="A220" s="1444" t="str">
        <f t="shared" si="300"/>
        <v xml:space="preserve">Складе ИП Антошина (Брянск) на 18-00 </v>
      </c>
      <c r="B220" s="1460"/>
      <c r="C220" s="1461"/>
      <c r="D220" s="1460"/>
      <c r="E220" s="1460"/>
      <c r="F220" s="1461"/>
      <c r="G220" s="1460"/>
      <c r="H220" s="1460"/>
      <c r="I220" s="1460"/>
      <c r="J220" s="1460"/>
      <c r="K220" s="1460"/>
      <c r="L220" s="1460"/>
      <c r="M220" s="1460"/>
      <c r="N220" s="1471"/>
      <c r="O220" s="1471"/>
      <c r="P220" s="1472"/>
      <c r="Q220" s="1460">
        <v>0</v>
      </c>
      <c r="R220" s="1460"/>
      <c r="S220" s="1460"/>
      <c r="T220" s="1460"/>
      <c r="U220" s="1460"/>
      <c r="V220" s="1460"/>
      <c r="W220" s="1460"/>
      <c r="X220" s="1460"/>
      <c r="Y220" s="1461">
        <v>0</v>
      </c>
      <c r="Z220" s="1460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1"/>
      <c r="AN220" s="1461"/>
      <c r="AO220" s="1465"/>
      <c r="AP220" s="1465"/>
      <c r="AQ220" s="1465"/>
      <c r="AR220" s="1463"/>
      <c r="AS220" s="1463"/>
      <c r="AT220" s="1463"/>
      <c r="AU220" s="1463"/>
      <c r="AV220" s="1463"/>
      <c r="AW220" s="1463"/>
      <c r="AX220" s="1464"/>
      <c r="AY220" s="1460"/>
      <c r="AZ220" s="1460"/>
      <c r="BA220" s="1460"/>
      <c r="BB220" s="1460"/>
      <c r="BC220" s="1461"/>
      <c r="BD220" s="1460"/>
      <c r="BE220" s="1460"/>
      <c r="BF220" s="1460"/>
      <c r="BG220" s="1460"/>
      <c r="BH220" s="1460"/>
      <c r="BI220" s="1460"/>
      <c r="BJ220" s="1460"/>
      <c r="BK220" s="1460"/>
      <c r="BL220" s="1461"/>
      <c r="BM220" s="1461"/>
      <c r="BN220" s="1460"/>
      <c r="BO220" s="1460"/>
      <c r="BP220" s="1460"/>
      <c r="BQ220" s="1465"/>
      <c r="BR220" s="1465"/>
      <c r="BS220" s="1465"/>
      <c r="BT220" s="1465"/>
      <c r="BU220" s="1465"/>
      <c r="BV220" s="1466"/>
      <c r="BW220" s="1473"/>
      <c r="BX220" s="1473"/>
      <c r="BY220" s="1473"/>
      <c r="BZ220" s="1474"/>
      <c r="CA220" s="1474"/>
      <c r="CB220" s="1474"/>
      <c r="CC220" s="1474"/>
      <c r="CD220" s="1472"/>
      <c r="CE220" s="1472"/>
      <c r="CF220" s="1472"/>
      <c r="CG220" s="1472"/>
      <c r="CH220" s="1472"/>
      <c r="CI220" s="1472"/>
      <c r="CJ220" s="1472"/>
      <c r="CK220" s="1475"/>
      <c r="CL220" s="1475"/>
      <c r="CM220" s="1475"/>
      <c r="CN220" s="1475"/>
      <c r="CO220" s="1475"/>
      <c r="CP220" s="1464"/>
      <c r="CQ220" s="1463"/>
      <c r="CR220" s="1460"/>
      <c r="CS220" s="1460"/>
      <c r="CT220" s="1460"/>
      <c r="CU220" s="1460"/>
      <c r="CV220" s="1460"/>
      <c r="CW220" s="1476"/>
      <c r="CX220" s="1476"/>
      <c r="CY220" s="1464"/>
      <c r="CZ220" s="1464"/>
      <c r="DA220" s="1460"/>
      <c r="DB220" s="1461"/>
      <c r="DC220" s="1460"/>
      <c r="DD220" s="1460"/>
      <c r="DE220" s="1460"/>
      <c r="DF220" s="1460"/>
      <c r="DG220" s="1460"/>
      <c r="DH220" s="1461"/>
      <c r="DI220" s="1460"/>
      <c r="DJ220" s="1477"/>
      <c r="DK220" s="1465"/>
      <c r="DL220" s="1465"/>
      <c r="DM220" s="1465"/>
      <c r="DN220" s="1465"/>
      <c r="DO220" s="1465"/>
      <c r="DP220" s="1465"/>
      <c r="DQ220" s="1463"/>
      <c r="DR220" s="1470"/>
      <c r="DS220" s="1463"/>
      <c r="DT220" s="1463"/>
      <c r="DU220" s="1463"/>
      <c r="DV220" s="1476"/>
      <c r="DW220" s="1468">
        <f t="shared" si="299"/>
        <v>0</v>
      </c>
      <c r="DX220" s="1454" t="s">
        <v>639</v>
      </c>
      <c r="DY220" s="659"/>
    </row>
    <row r="221" spans="1:129" ht="28.35" customHeight="1" outlineLevel="1" thickTop="1" thickBot="1">
      <c r="A221" s="1444" t="str">
        <f t="shared" si="300"/>
        <v>Камере созревания (производство) на 18-00</v>
      </c>
      <c r="B221" s="1473"/>
      <c r="C221" s="1474"/>
      <c r="D221" s="1473"/>
      <c r="E221" s="1473"/>
      <c r="F221" s="1474"/>
      <c r="G221" s="1473"/>
      <c r="H221" s="1473"/>
      <c r="I221" s="1473"/>
      <c r="J221" s="1478"/>
      <c r="K221" s="1478"/>
      <c r="L221" s="1478"/>
      <c r="M221" s="1478"/>
      <c r="N221" s="1479"/>
      <c r="O221" s="1479"/>
      <c r="P221" s="1480"/>
      <c r="Q221" s="1473"/>
      <c r="R221" s="1473"/>
      <c r="S221" s="1473"/>
      <c r="T221" s="1473"/>
      <c r="U221" s="1473"/>
      <c r="V221" s="1473"/>
      <c r="W221" s="1473"/>
      <c r="X221" s="1473"/>
      <c r="Y221" s="1474"/>
      <c r="Z221" s="1473"/>
      <c r="AA221" s="1473"/>
      <c r="AB221" s="1473"/>
      <c r="AC221" s="1473"/>
      <c r="AD221" s="1473"/>
      <c r="AE221" s="1473"/>
      <c r="AF221" s="1473"/>
      <c r="AG221" s="1473"/>
      <c r="AH221" s="1473"/>
      <c r="AI221" s="1473"/>
      <c r="AJ221" s="1473"/>
      <c r="AK221" s="1473"/>
      <c r="AL221" s="1473"/>
      <c r="AM221" s="1473"/>
      <c r="AN221" s="1473"/>
      <c r="AO221" s="1481"/>
      <c r="AP221" s="1481"/>
      <c r="AQ221" s="1481"/>
      <c r="AR221" s="1473"/>
      <c r="AS221" s="1473"/>
      <c r="AT221" s="1473"/>
      <c r="AU221" s="1473"/>
      <c r="AV221" s="1473"/>
      <c r="AW221" s="1473"/>
      <c r="AX221" s="1473"/>
      <c r="AY221" s="1473"/>
      <c r="AZ221" s="1473"/>
      <c r="BA221" s="1473"/>
      <c r="BB221" s="1473"/>
      <c r="BC221" s="1474"/>
      <c r="BD221" s="1473"/>
      <c r="BE221" s="1473"/>
      <c r="BF221" s="1473"/>
      <c r="BG221" s="1473"/>
      <c r="BH221" s="1473"/>
      <c r="BI221" s="1473"/>
      <c r="BJ221" s="1473"/>
      <c r="BK221" s="1473"/>
      <c r="BL221" s="1474"/>
      <c r="BM221" s="1474"/>
      <c r="BN221" s="1473"/>
      <c r="BO221" s="1473"/>
      <c r="BP221" s="1473"/>
      <c r="BQ221" s="1473"/>
      <c r="BR221" s="1473"/>
      <c r="BS221" s="1473"/>
      <c r="BT221" s="1473"/>
      <c r="BU221" s="1473"/>
      <c r="BV221" s="1482"/>
      <c r="BW221" s="1478"/>
      <c r="BX221" s="1478"/>
      <c r="BY221" s="1478"/>
      <c r="BZ221" s="1483"/>
      <c r="CA221" s="1483"/>
      <c r="CB221" s="1483"/>
      <c r="CC221" s="1483"/>
      <c r="CD221" s="1480"/>
      <c r="CE221" s="1480"/>
      <c r="CF221" s="1484"/>
      <c r="CG221" s="1484"/>
      <c r="CH221" s="1484"/>
      <c r="CI221" s="1484"/>
      <c r="CJ221" s="1484"/>
      <c r="CK221" s="1478"/>
      <c r="CL221" s="1478"/>
      <c r="CM221" s="1478"/>
      <c r="CN221" s="1478"/>
      <c r="CO221" s="1478"/>
      <c r="CP221" s="1485"/>
      <c r="CQ221" s="1473"/>
      <c r="CR221" s="1473"/>
      <c r="CS221" s="1473"/>
      <c r="CT221" s="1473"/>
      <c r="CU221" s="1473"/>
      <c r="CV221" s="1473"/>
      <c r="CW221" s="1485"/>
      <c r="CX221" s="1485"/>
      <c r="CY221" s="1485"/>
      <c r="CZ221" s="1485"/>
      <c r="DA221" s="1473"/>
      <c r="DB221" s="1474"/>
      <c r="DC221" s="1473"/>
      <c r="DD221" s="1473"/>
      <c r="DE221" s="1473"/>
      <c r="DF221" s="1473"/>
      <c r="DG221" s="1473"/>
      <c r="DH221" s="1474"/>
      <c r="DI221" s="1473"/>
      <c r="DJ221" s="1486"/>
      <c r="DK221" s="1474"/>
      <c r="DL221" s="1460"/>
      <c r="DM221" s="1460"/>
      <c r="DN221" s="1460"/>
      <c r="DO221" s="1464"/>
      <c r="DP221" s="1464"/>
      <c r="DQ221" s="1473"/>
      <c r="DR221" s="1487"/>
      <c r="DS221" s="1473"/>
      <c r="DT221" s="1473"/>
      <c r="DU221" s="1473"/>
      <c r="DV221" s="1485"/>
      <c r="DW221" s="1476">
        <f t="shared" si="299"/>
        <v>0</v>
      </c>
      <c r="DX221" s="1454" t="s">
        <v>640</v>
      </c>
      <c r="DY221" s="659"/>
    </row>
    <row r="222" spans="1:129" ht="15.6" customHeight="1" outlineLevel="1" thickTop="1" thickBot="1">
      <c r="A222" s="844"/>
      <c r="B222" s="1488"/>
      <c r="C222" s="1488"/>
      <c r="D222" s="1488"/>
      <c r="E222" s="1488"/>
      <c r="F222" s="1488"/>
      <c r="G222" s="1488"/>
      <c r="H222" s="1488"/>
      <c r="I222" s="1488"/>
      <c r="J222" s="1488"/>
      <c r="K222" s="1488"/>
      <c r="L222" s="1488"/>
      <c r="M222" s="1488"/>
      <c r="N222" s="1489"/>
      <c r="O222" s="1489"/>
      <c r="P222" s="1490"/>
      <c r="Q222" s="1488"/>
      <c r="R222" s="1488"/>
      <c r="S222" s="1488"/>
      <c r="T222" s="1488"/>
      <c r="U222" s="1488"/>
      <c r="V222" s="1488"/>
      <c r="W222" s="1488"/>
      <c r="X222" s="1488"/>
      <c r="Y222" s="1488"/>
      <c r="Z222" s="1488"/>
      <c r="AA222" s="1488"/>
      <c r="AB222" s="1488"/>
      <c r="AC222" s="1488"/>
      <c r="AD222" s="1488"/>
      <c r="AE222" s="1488"/>
      <c r="AF222" s="1488"/>
      <c r="AG222" s="1488"/>
      <c r="AH222" s="1488"/>
      <c r="AI222" s="1488"/>
      <c r="AJ222" s="1488"/>
      <c r="AK222" s="1488"/>
      <c r="AL222" s="1488"/>
      <c r="AM222" s="1488"/>
      <c r="AN222" s="1488"/>
      <c r="AO222" s="1490"/>
      <c r="AP222" s="1490"/>
      <c r="AQ222" s="1488"/>
      <c r="AR222" s="1488"/>
      <c r="AS222" s="1488"/>
      <c r="AT222" s="1488"/>
      <c r="AU222" s="1488"/>
      <c r="AV222" s="1488"/>
      <c r="AW222" s="1488"/>
      <c r="AX222" s="1488"/>
      <c r="AY222" s="1488"/>
      <c r="AZ222" s="1488"/>
      <c r="BA222" s="1488"/>
      <c r="BB222" s="1488"/>
      <c r="BC222" s="1488"/>
      <c r="BD222" s="1488"/>
      <c r="BE222" s="1488"/>
      <c r="BF222" s="1488"/>
      <c r="BG222" s="1488"/>
      <c r="BH222" s="1488"/>
      <c r="BI222" s="1488"/>
      <c r="BJ222" s="1488"/>
      <c r="BK222" s="1488"/>
      <c r="BL222" s="1488"/>
      <c r="BM222" s="1488"/>
      <c r="BN222" s="1488"/>
      <c r="BO222" s="1488"/>
      <c r="BP222" s="1488"/>
      <c r="BQ222" s="1488"/>
      <c r="BR222" s="1488"/>
      <c r="BS222" s="1488"/>
      <c r="BT222" s="1488"/>
      <c r="BU222" s="1488"/>
      <c r="BV222" s="1491"/>
      <c r="BW222" s="1488"/>
      <c r="BX222" s="1488"/>
      <c r="BY222" s="1488"/>
      <c r="BZ222" s="1488"/>
      <c r="CA222" s="1488"/>
      <c r="CB222" s="1488"/>
      <c r="CC222" s="1488"/>
      <c r="CD222" s="1490"/>
      <c r="CE222" s="1490"/>
      <c r="CF222" s="1490"/>
      <c r="CG222" s="1490"/>
      <c r="CH222" s="1490"/>
      <c r="CI222" s="1490"/>
      <c r="CJ222" s="1490"/>
      <c r="CK222" s="1488"/>
      <c r="CL222" s="1488"/>
      <c r="CM222" s="1488"/>
      <c r="CN222" s="1488"/>
      <c r="CO222" s="1488"/>
      <c r="CP222" s="1492"/>
      <c r="CQ222" s="1488"/>
      <c r="CR222" s="1488"/>
      <c r="CS222" s="1488"/>
      <c r="CT222" s="1488"/>
      <c r="CU222" s="1488"/>
      <c r="CV222" s="1488"/>
      <c r="CW222" s="1492"/>
      <c r="CX222" s="1492"/>
      <c r="CY222" s="1492"/>
      <c r="CZ222" s="1492"/>
      <c r="DA222" s="1488"/>
      <c r="DB222" s="1488"/>
      <c r="DC222" s="1488"/>
      <c r="DD222" s="1488"/>
      <c r="DE222" s="1488"/>
      <c r="DF222" s="1488"/>
      <c r="DG222" s="1488"/>
      <c r="DH222" s="1488"/>
      <c r="DI222" s="1488"/>
      <c r="DJ222" s="1493"/>
      <c r="DK222" s="1488"/>
      <c r="DL222" s="1488"/>
      <c r="DM222" s="1488"/>
      <c r="DN222" s="1488"/>
      <c r="DO222" s="1488"/>
      <c r="DP222" s="1488"/>
      <c r="DQ222" s="1488"/>
      <c r="DR222" s="1494"/>
      <c r="DS222" s="1488"/>
      <c r="DT222" s="1488"/>
      <c r="DU222" s="1488"/>
      <c r="DV222" s="1492"/>
      <c r="DW222" s="1488"/>
      <c r="DX222" s="844"/>
      <c r="DY222" s="1495"/>
    </row>
    <row r="223" spans="1:129" ht="30.75" customHeight="1" outlineLevel="1" thickTop="1">
      <c r="A223" s="1496" t="s">
        <v>697</v>
      </c>
      <c r="B223" s="1497">
        <f t="shared" ref="B223:BM223" si="301">SUM(B224:B229)</f>
        <v>-47.975999999999992</v>
      </c>
      <c r="C223" s="1497">
        <f t="shared" si="301"/>
        <v>-3.9349999999999987</v>
      </c>
      <c r="D223" s="1497">
        <f t="shared" si="301"/>
        <v>-51.133999999999993</v>
      </c>
      <c r="E223" s="1497">
        <f t="shared" si="301"/>
        <v>-3.21</v>
      </c>
      <c r="F223" s="1497">
        <f t="shared" si="301"/>
        <v>-98.160000000000011</v>
      </c>
      <c r="G223" s="1498">
        <f t="shared" si="301"/>
        <v>0</v>
      </c>
      <c r="H223" s="1498">
        <f>SUM(H224:H229)</f>
        <v>0</v>
      </c>
      <c r="I223" s="1498">
        <f t="shared" si="301"/>
        <v>1.3640000000000008</v>
      </c>
      <c r="J223" s="1498">
        <f t="shared" si="301"/>
        <v>-79.52</v>
      </c>
      <c r="K223" s="1498">
        <f t="shared" si="301"/>
        <v>-11.901999999999999</v>
      </c>
      <c r="L223" s="1498">
        <f t="shared" si="301"/>
        <v>-2.4</v>
      </c>
      <c r="M223" s="1498">
        <f t="shared" si="301"/>
        <v>0</v>
      </c>
      <c r="N223" s="1499">
        <f>SUM(N224:N229)</f>
        <v>-19.239999999999988</v>
      </c>
      <c r="O223" s="1499">
        <f t="shared" ref="O223" si="302">SUM(O224:O229)</f>
        <v>-2.96</v>
      </c>
      <c r="P223" s="1500">
        <f t="shared" si="301"/>
        <v>-98.05</v>
      </c>
      <c r="Q223" s="1501">
        <f t="shared" si="301"/>
        <v>-42.56</v>
      </c>
      <c r="R223" s="1501">
        <f>SUM(R224:R229)</f>
        <v>-6.7200000000000006</v>
      </c>
      <c r="S223" s="1498">
        <f t="shared" ref="S223:V223" si="303">SUM(S224:S229)</f>
        <v>-858.75999999999976</v>
      </c>
      <c r="T223" s="1498">
        <f t="shared" si="303"/>
        <v>1.6000000000000227</v>
      </c>
      <c r="U223" s="1498">
        <f t="shared" si="303"/>
        <v>132.83999999999997</v>
      </c>
      <c r="V223" s="1498">
        <f t="shared" si="303"/>
        <v>-10.8</v>
      </c>
      <c r="W223" s="1498">
        <f>SUM(W224:W229)</f>
        <v>-3.6000000000000005</v>
      </c>
      <c r="X223" s="1498">
        <f>SUM(X224:X229)</f>
        <v>0</v>
      </c>
      <c r="Y223" s="1497">
        <f t="shared" ref="Y223:AD223" si="304">SUM(Y224:Y229)</f>
        <v>793.65000000000009</v>
      </c>
      <c r="Z223" s="1498">
        <f t="shared" si="304"/>
        <v>0</v>
      </c>
      <c r="AA223" s="1497">
        <f t="shared" si="304"/>
        <v>-286.58000000000004</v>
      </c>
      <c r="AB223" s="1497">
        <f t="shared" si="304"/>
        <v>456.96000000000004</v>
      </c>
      <c r="AC223" s="1497">
        <f t="shared" si="304"/>
        <v>-6.6</v>
      </c>
      <c r="AD223" s="1497">
        <f t="shared" si="304"/>
        <v>1091.76</v>
      </c>
      <c r="AE223" s="1497">
        <f>SUM(AE224:AE229)</f>
        <v>31.2</v>
      </c>
      <c r="AF223" s="1497">
        <f>SUM(AF224:AF229)</f>
        <v>-2.2400000000000002</v>
      </c>
      <c r="AG223" s="1497">
        <f t="shared" ref="AG223:AI223" si="305">SUM(AG224:AG229)</f>
        <v>-60.479999999999983</v>
      </c>
      <c r="AH223" s="1497">
        <f t="shared" si="305"/>
        <v>-16.519999999999982</v>
      </c>
      <c r="AI223" s="1497">
        <f t="shared" si="305"/>
        <v>-346.8</v>
      </c>
      <c r="AJ223" s="1497">
        <f>SUM(AJ224:AJ229)</f>
        <v>0</v>
      </c>
      <c r="AK223" s="1497">
        <f>SUM(AK224:AK229)</f>
        <v>691.2</v>
      </c>
      <c r="AL223" s="1497">
        <f t="shared" ref="AL223:AO223" si="306">SUM(AL224:AL229)</f>
        <v>-112.69999999999999</v>
      </c>
      <c r="AM223" s="1500">
        <f t="shared" si="306"/>
        <v>-178.4</v>
      </c>
      <c r="AN223" s="1500">
        <f t="shared" si="306"/>
        <v>-3.5999999999999996</v>
      </c>
      <c r="AO223" s="1500">
        <f t="shared" si="306"/>
        <v>-3</v>
      </c>
      <c r="AP223" s="1500">
        <f t="shared" si="301"/>
        <v>-3.6</v>
      </c>
      <c r="AQ223" s="1498">
        <f t="shared" si="301"/>
        <v>0</v>
      </c>
      <c r="AR223" s="1502">
        <f t="shared" si="301"/>
        <v>-14.819999999999983</v>
      </c>
      <c r="AS223" s="1502">
        <f t="shared" si="301"/>
        <v>-21.263999999999999</v>
      </c>
      <c r="AT223" s="1502">
        <f t="shared" si="301"/>
        <v>0.91500000000000004</v>
      </c>
      <c r="AU223" s="1502">
        <f t="shared" si="301"/>
        <v>0.11799999999999986</v>
      </c>
      <c r="AV223" s="1502">
        <f t="shared" si="301"/>
        <v>0</v>
      </c>
      <c r="AW223" s="1503">
        <f t="shared" si="301"/>
        <v>0</v>
      </c>
      <c r="AX223" s="1502">
        <f t="shared" si="301"/>
        <v>-15.228</v>
      </c>
      <c r="AY223" s="1497">
        <f t="shared" si="301"/>
        <v>847.25</v>
      </c>
      <c r="AZ223" s="1497">
        <f t="shared" si="301"/>
        <v>-20</v>
      </c>
      <c r="BA223" s="1497">
        <f t="shared" si="301"/>
        <v>69.625</v>
      </c>
      <c r="BB223" s="1497">
        <f t="shared" si="301"/>
        <v>204.2</v>
      </c>
      <c r="BC223" s="1497">
        <f t="shared" si="301"/>
        <v>0</v>
      </c>
      <c r="BD223" s="1497">
        <f t="shared" si="301"/>
        <v>387</v>
      </c>
      <c r="BE223" s="1497">
        <f t="shared" si="301"/>
        <v>33</v>
      </c>
      <c r="BF223" s="1497">
        <f t="shared" si="301"/>
        <v>-0.8</v>
      </c>
      <c r="BG223" s="1497">
        <f t="shared" si="301"/>
        <v>290.39999999999998</v>
      </c>
      <c r="BH223" s="1497">
        <f>SUM(BH224:BH229)</f>
        <v>95.199999999999989</v>
      </c>
      <c r="BI223" s="1497">
        <f>SUM(BI224:BI229)</f>
        <v>61</v>
      </c>
      <c r="BJ223" s="1497">
        <f t="shared" si="301"/>
        <v>724</v>
      </c>
      <c r="BK223" s="1497">
        <f t="shared" si="301"/>
        <v>17</v>
      </c>
      <c r="BL223" s="1497">
        <f t="shared" si="301"/>
        <v>-6.8000000000000016</v>
      </c>
      <c r="BM223" s="1497">
        <f t="shared" si="301"/>
        <v>724.5</v>
      </c>
      <c r="BN223" s="1497">
        <f t="shared" ref="BN223:DV223" si="307">SUM(BN224:BN229)</f>
        <v>-3.5</v>
      </c>
      <c r="BO223" s="1497">
        <f t="shared" si="307"/>
        <v>129.00000000000003</v>
      </c>
      <c r="BP223" s="1497">
        <f t="shared" si="307"/>
        <v>107.19999999999999</v>
      </c>
      <c r="BQ223" s="1497">
        <f t="shared" si="307"/>
        <v>33</v>
      </c>
      <c r="BR223" s="1497">
        <f>SUM(BR224:BR229)</f>
        <v>-1.6</v>
      </c>
      <c r="BS223" s="1497">
        <f>SUM(BS224:BS229)</f>
        <v>98</v>
      </c>
      <c r="BT223" s="1497">
        <f t="shared" si="307"/>
        <v>360</v>
      </c>
      <c r="BU223" s="1497">
        <f t="shared" si="307"/>
        <v>-1.2</v>
      </c>
      <c r="BV223" s="1497">
        <f t="shared" si="307"/>
        <v>301.5</v>
      </c>
      <c r="BW223" s="1497">
        <f t="shared" si="307"/>
        <v>-70.25</v>
      </c>
      <c r="BX223" s="1497">
        <f t="shared" si="307"/>
        <v>-9.5</v>
      </c>
      <c r="BY223" s="1497">
        <f t="shared" si="307"/>
        <v>-37.600000000000065</v>
      </c>
      <c r="BZ223" s="1497">
        <f t="shared" si="307"/>
        <v>-4.8600000000000003</v>
      </c>
      <c r="CA223" s="1497">
        <f t="shared" si="307"/>
        <v>-1.1199999999999992</v>
      </c>
      <c r="CB223" s="1497">
        <f t="shared" si="307"/>
        <v>-3.3</v>
      </c>
      <c r="CC223" s="1497">
        <f t="shared" si="307"/>
        <v>0</v>
      </c>
      <c r="CD223" s="1500">
        <f t="shared" si="307"/>
        <v>-3323.5</v>
      </c>
      <c r="CE223" s="1500">
        <f t="shared" si="307"/>
        <v>1698.2</v>
      </c>
      <c r="CF223" s="1500">
        <f t="shared" si="307"/>
        <v>415.2</v>
      </c>
      <c r="CG223" s="1500">
        <f t="shared" si="307"/>
        <v>-6.4800000000000182</v>
      </c>
      <c r="CH223" s="1500">
        <f t="shared" si="307"/>
        <v>0</v>
      </c>
      <c r="CI223" s="1500">
        <f>SUM(CI224:CI229)</f>
        <v>-7.2000000000000028</v>
      </c>
      <c r="CJ223" s="1500">
        <f>SUM(CJ224:CJ229)</f>
        <v>-1.2000000000000028</v>
      </c>
      <c r="CK223" s="1497">
        <f t="shared" ref="CK223:CN223" si="308">SUM(CK224:CK229)</f>
        <v>658.8</v>
      </c>
      <c r="CL223" s="1497">
        <f t="shared" si="308"/>
        <v>-19</v>
      </c>
      <c r="CM223" s="1497">
        <f t="shared" si="308"/>
        <v>-25.399999999999977</v>
      </c>
      <c r="CN223" s="1497">
        <f t="shared" si="308"/>
        <v>-27.4</v>
      </c>
      <c r="CO223" s="1497">
        <f t="shared" si="307"/>
        <v>-3</v>
      </c>
      <c r="CP223" s="1504">
        <f t="shared" si="307"/>
        <v>-35.5</v>
      </c>
      <c r="CQ223" s="1504">
        <f>SUM(CQ224:CQ229)</f>
        <v>0</v>
      </c>
      <c r="CR223" s="1501">
        <f t="shared" si="307"/>
        <v>-3.5</v>
      </c>
      <c r="CS223" s="1501">
        <f>SUM(CS224:CS229)</f>
        <v>-1.1999999999999993</v>
      </c>
      <c r="CT223" s="1497">
        <f t="shared" si="307"/>
        <v>-75.599999999999994</v>
      </c>
      <c r="CU223" s="1502">
        <f t="shared" si="307"/>
        <v>0</v>
      </c>
      <c r="CV223" s="1502"/>
      <c r="CW223" s="1504">
        <f t="shared" si="307"/>
        <v>17.46</v>
      </c>
      <c r="CX223" s="1504">
        <f t="shared" si="307"/>
        <v>0</v>
      </c>
      <c r="CY223" s="1504">
        <f t="shared" si="307"/>
        <v>-5.2200000000000006</v>
      </c>
      <c r="CZ223" s="1504">
        <f t="shared" si="307"/>
        <v>-37.799999999999983</v>
      </c>
      <c r="DA223" s="1497">
        <f t="shared" si="307"/>
        <v>-58.75</v>
      </c>
      <c r="DB223" s="1497">
        <f t="shared" si="307"/>
        <v>-174.5</v>
      </c>
      <c r="DC223" s="1497">
        <f t="shared" si="307"/>
        <v>-37</v>
      </c>
      <c r="DD223" s="1497">
        <f t="shared" si="307"/>
        <v>-18</v>
      </c>
      <c r="DE223" s="1497">
        <f>SUM(DE224:DE229)</f>
        <v>-1.1999999999999886</v>
      </c>
      <c r="DF223" s="1497">
        <f t="shared" ref="DF223" si="309">SUM(DF224:DF229)</f>
        <v>-148.5</v>
      </c>
      <c r="DG223" s="1497">
        <f t="shared" si="307"/>
        <v>13.5</v>
      </c>
      <c r="DH223" s="1497">
        <f t="shared" si="307"/>
        <v>-946</v>
      </c>
      <c r="DI223" s="1497">
        <f t="shared" si="307"/>
        <v>-42.999999999999986</v>
      </c>
      <c r="DJ223" s="1505">
        <f t="shared" si="307"/>
        <v>182.5</v>
      </c>
      <c r="DK223" s="1497">
        <f t="shared" si="307"/>
        <v>-198</v>
      </c>
      <c r="DL223" s="1497">
        <f t="shared" si="307"/>
        <v>-40</v>
      </c>
      <c r="DM223" s="1497">
        <f t="shared" si="307"/>
        <v>-45.5</v>
      </c>
      <c r="DN223" s="1497">
        <f t="shared" si="307"/>
        <v>-19</v>
      </c>
      <c r="DO223" s="1497">
        <f t="shared" si="307"/>
        <v>221</v>
      </c>
      <c r="DP223" s="1498">
        <f t="shared" si="307"/>
        <v>12</v>
      </c>
      <c r="DQ223" s="1502">
        <f t="shared" si="307"/>
        <v>0</v>
      </c>
      <c r="DR223" s="1505">
        <f t="shared" si="307"/>
        <v>0</v>
      </c>
      <c r="DS223" s="1505"/>
      <c r="DT223" s="1502"/>
      <c r="DU223" s="1505"/>
      <c r="DV223" s="1506">
        <f t="shared" si="307"/>
        <v>0</v>
      </c>
      <c r="DW223" s="1506">
        <f>SUM(DW224:DW229)</f>
        <v>3027.4030000000012</v>
      </c>
      <c r="DX223" s="1496" t="s">
        <v>697</v>
      </c>
      <c r="DY223" s="659"/>
    </row>
    <row r="224" spans="1:129" ht="14.25" customHeight="1" outlineLevel="1">
      <c r="A224" s="1507" t="s">
        <v>698</v>
      </c>
      <c r="B224" s="1508">
        <f>B82-B216</f>
        <v>-12.694999999999993</v>
      </c>
      <c r="C224" s="1508">
        <f t="shared" ref="C224:BD225" si="310">C82-C216</f>
        <v>-3.9349999999999987</v>
      </c>
      <c r="D224" s="1508">
        <f t="shared" si="310"/>
        <v>-47.941999999999993</v>
      </c>
      <c r="E224" s="1508">
        <f t="shared" si="310"/>
        <v>0</v>
      </c>
      <c r="F224" s="1508">
        <f t="shared" si="310"/>
        <v>-3.7000000000000171</v>
      </c>
      <c r="G224" s="1509">
        <f t="shared" si="310"/>
        <v>0</v>
      </c>
      <c r="H224" s="1509">
        <f>H82-H216</f>
        <v>0</v>
      </c>
      <c r="I224" s="1509">
        <f t="shared" si="310"/>
        <v>4.6400000000000006</v>
      </c>
      <c r="J224" s="1509">
        <f t="shared" si="310"/>
        <v>1.1200000000000045</v>
      </c>
      <c r="K224" s="1509">
        <f t="shared" si="310"/>
        <v>-11.901999999999999</v>
      </c>
      <c r="L224" s="1509">
        <f t="shared" si="310"/>
        <v>-2.4</v>
      </c>
      <c r="M224" s="1509">
        <f t="shared" si="310"/>
        <v>0</v>
      </c>
      <c r="N224" s="1510">
        <f>N82-N216</f>
        <v>4.4400000000000119</v>
      </c>
      <c r="O224" s="1510">
        <f t="shared" si="310"/>
        <v>2.96</v>
      </c>
      <c r="P224" s="1511">
        <f t="shared" si="310"/>
        <v>-3.3299999999999983</v>
      </c>
      <c r="Q224" s="1512">
        <f t="shared" si="310"/>
        <v>0</v>
      </c>
      <c r="R224" s="1512">
        <f t="shared" si="310"/>
        <v>-6.7200000000000006</v>
      </c>
      <c r="S224" s="1509">
        <f t="shared" si="310"/>
        <v>-518.27999999999975</v>
      </c>
      <c r="T224" s="1509">
        <f t="shared" si="310"/>
        <v>1.6000000000000227</v>
      </c>
      <c r="U224" s="1509">
        <f t="shared" si="310"/>
        <v>147.23999999999998</v>
      </c>
      <c r="V224" s="1509">
        <f t="shared" si="310"/>
        <v>-1.2000000000000002</v>
      </c>
      <c r="W224" s="1509">
        <f>W82-W216</f>
        <v>-3.6000000000000005</v>
      </c>
      <c r="X224" s="1509">
        <f>X82-X216</f>
        <v>0</v>
      </c>
      <c r="Y224" s="1508">
        <f t="shared" si="310"/>
        <v>853.59000000000015</v>
      </c>
      <c r="Z224" s="1509">
        <f t="shared" si="310"/>
        <v>0</v>
      </c>
      <c r="AA224" s="1508">
        <f t="shared" si="310"/>
        <v>-6.9000000000000057</v>
      </c>
      <c r="AB224" s="1508">
        <f t="shared" si="310"/>
        <v>501.36</v>
      </c>
      <c r="AC224" s="1508">
        <f t="shared" si="310"/>
        <v>12.6</v>
      </c>
      <c r="AD224" s="1508">
        <f t="shared" si="310"/>
        <v>1091.76</v>
      </c>
      <c r="AE224" s="1508">
        <f>AE82-AE216</f>
        <v>31.2</v>
      </c>
      <c r="AF224" s="1508">
        <f>AF82-AF216</f>
        <v>-2.2400000000000002</v>
      </c>
      <c r="AG224" s="1508">
        <f t="shared" si="310"/>
        <v>-8.9599999999999795</v>
      </c>
      <c r="AH224" s="1508">
        <f t="shared" si="310"/>
        <v>-3.0799999999999841</v>
      </c>
      <c r="AI224" s="1508">
        <f t="shared" si="310"/>
        <v>-10.800000000000011</v>
      </c>
      <c r="AJ224" s="1508">
        <f>AJ82-AJ216</f>
        <v>0</v>
      </c>
      <c r="AK224" s="1508">
        <f>AK82-AK216</f>
        <v>691.2</v>
      </c>
      <c r="AL224" s="1508">
        <f t="shared" si="310"/>
        <v>-39.1</v>
      </c>
      <c r="AM224" s="1511">
        <f t="shared" si="310"/>
        <v>-32.6</v>
      </c>
      <c r="AN224" s="1511">
        <f t="shared" si="310"/>
        <v>-3.5999999999999996</v>
      </c>
      <c r="AO224" s="1511">
        <f t="shared" si="310"/>
        <v>-3</v>
      </c>
      <c r="AP224" s="1511">
        <f t="shared" si="310"/>
        <v>0</v>
      </c>
      <c r="AQ224" s="1509">
        <f t="shared" si="310"/>
        <v>0</v>
      </c>
      <c r="AR224" s="1512">
        <f t="shared" si="310"/>
        <v>5.9800000000000182</v>
      </c>
      <c r="AS224" s="1512">
        <f t="shared" si="310"/>
        <v>-8.3999999999999631E-2</v>
      </c>
      <c r="AT224" s="1512">
        <f t="shared" si="310"/>
        <v>0.91500000000000004</v>
      </c>
      <c r="AU224" s="1512">
        <f t="shared" si="310"/>
        <v>8.9999999999999858E-2</v>
      </c>
      <c r="AV224" s="1512">
        <f t="shared" si="310"/>
        <v>0</v>
      </c>
      <c r="AW224" s="1513">
        <f t="shared" si="310"/>
        <v>0</v>
      </c>
      <c r="AX224" s="1512">
        <f t="shared" si="310"/>
        <v>-15.228</v>
      </c>
      <c r="AY224" s="1508">
        <f t="shared" si="310"/>
        <v>1116.25</v>
      </c>
      <c r="AZ224" s="1508">
        <f t="shared" si="310"/>
        <v>24</v>
      </c>
      <c r="BA224" s="1508">
        <f t="shared" si="310"/>
        <v>74.625</v>
      </c>
      <c r="BB224" s="1508">
        <f t="shared" si="310"/>
        <v>309</v>
      </c>
      <c r="BC224" s="1508">
        <f t="shared" si="310"/>
        <v>0</v>
      </c>
      <c r="BD224" s="1508">
        <f t="shared" si="310"/>
        <v>387</v>
      </c>
      <c r="BE224" s="1508">
        <f>BE82-BE216</f>
        <v>33</v>
      </c>
      <c r="BF224" s="1508">
        <f t="shared" ref="BF224:DQ229" si="311">BF82-BF216</f>
        <v>-0.8</v>
      </c>
      <c r="BG224" s="1508">
        <f t="shared" si="311"/>
        <v>290.39999999999998</v>
      </c>
      <c r="BH224" s="1508">
        <f>BH82-BH216</f>
        <v>95.199999999999989</v>
      </c>
      <c r="BI224" s="1508">
        <f>BI82-BI216</f>
        <v>61</v>
      </c>
      <c r="BJ224" s="1508">
        <f t="shared" si="311"/>
        <v>724</v>
      </c>
      <c r="BK224" s="1508">
        <f t="shared" si="311"/>
        <v>17</v>
      </c>
      <c r="BL224" s="1508">
        <f t="shared" si="311"/>
        <v>-3.6000000000000014</v>
      </c>
      <c r="BM224" s="1508">
        <f t="shared" si="311"/>
        <v>731.5</v>
      </c>
      <c r="BN224" s="1508">
        <f t="shared" si="311"/>
        <v>-2.5</v>
      </c>
      <c r="BO224" s="1508">
        <f t="shared" si="311"/>
        <v>166.60000000000002</v>
      </c>
      <c r="BP224" s="1508">
        <f t="shared" si="311"/>
        <v>296</v>
      </c>
      <c r="BQ224" s="1508">
        <f t="shared" si="311"/>
        <v>33</v>
      </c>
      <c r="BR224" s="1508">
        <f>BR82-BR216</f>
        <v>-1.6</v>
      </c>
      <c r="BS224" s="1508">
        <f>BS82-BS216</f>
        <v>98</v>
      </c>
      <c r="BT224" s="1508">
        <f t="shared" si="311"/>
        <v>360</v>
      </c>
      <c r="BU224" s="1508">
        <f t="shared" si="311"/>
        <v>-1.2</v>
      </c>
      <c r="BV224" s="1508">
        <f t="shared" si="311"/>
        <v>301.5</v>
      </c>
      <c r="BW224" s="1508">
        <f t="shared" si="311"/>
        <v>7.75</v>
      </c>
      <c r="BX224" s="1508">
        <f t="shared" si="311"/>
        <v>-0.5</v>
      </c>
      <c r="BY224" s="1508">
        <f t="shared" si="311"/>
        <v>1.1999999999999318</v>
      </c>
      <c r="BZ224" s="1508">
        <f t="shared" si="311"/>
        <v>-1.62</v>
      </c>
      <c r="CA224" s="1508">
        <f t="shared" si="311"/>
        <v>-1.1199999999999992</v>
      </c>
      <c r="CB224" s="1508">
        <f t="shared" si="311"/>
        <v>-1.5</v>
      </c>
      <c r="CC224" s="1508">
        <f t="shared" si="311"/>
        <v>0</v>
      </c>
      <c r="CD224" s="1511">
        <f t="shared" si="311"/>
        <v>-3275.5</v>
      </c>
      <c r="CE224" s="1511">
        <f t="shared" si="311"/>
        <v>1713.8</v>
      </c>
      <c r="CF224" s="1511">
        <f t="shared" si="311"/>
        <v>424.8</v>
      </c>
      <c r="CG224" s="1511">
        <f t="shared" si="311"/>
        <v>-6.4800000000000182</v>
      </c>
      <c r="CH224" s="1511">
        <f t="shared" si="311"/>
        <v>0</v>
      </c>
      <c r="CI224" s="1511">
        <f t="shared" si="311"/>
        <v>-7.2000000000000028</v>
      </c>
      <c r="CJ224" s="1511">
        <f t="shared" si="311"/>
        <v>-1.2000000000000028</v>
      </c>
      <c r="CK224" s="1508">
        <f t="shared" si="311"/>
        <v>658.8</v>
      </c>
      <c r="CL224" s="1508">
        <f t="shared" si="311"/>
        <v>-10.6</v>
      </c>
      <c r="CM224" s="1508">
        <f t="shared" si="311"/>
        <v>-7.3999999999999773</v>
      </c>
      <c r="CN224" s="1508">
        <f t="shared" si="311"/>
        <v>-15.4</v>
      </c>
      <c r="CO224" s="1508">
        <f t="shared" si="311"/>
        <v>-3</v>
      </c>
      <c r="CP224" s="1514">
        <f t="shared" si="311"/>
        <v>0.5</v>
      </c>
      <c r="CQ224" s="1514">
        <f>CQ82-CQ216</f>
        <v>0</v>
      </c>
      <c r="CR224" s="1515">
        <f t="shared" si="311"/>
        <v>8.5</v>
      </c>
      <c r="CS224" s="1515">
        <f>CS82-CS216</f>
        <v>-1.1999999999999993</v>
      </c>
      <c r="CT224" s="1508">
        <f t="shared" si="311"/>
        <v>-4.8</v>
      </c>
      <c r="CU224" s="1512">
        <f t="shared" si="311"/>
        <v>0</v>
      </c>
      <c r="CV224" s="1512"/>
      <c r="CW224" s="1514">
        <f t="shared" si="311"/>
        <v>17.46</v>
      </c>
      <c r="CX224" s="1514">
        <f t="shared" si="311"/>
        <v>0</v>
      </c>
      <c r="CY224" s="1514">
        <f t="shared" si="311"/>
        <v>-5.2200000000000006</v>
      </c>
      <c r="CZ224" s="1514">
        <f t="shared" si="311"/>
        <v>-1.0799999999999841</v>
      </c>
      <c r="DA224" s="1508">
        <f t="shared" si="311"/>
        <v>-0.25</v>
      </c>
      <c r="DB224" s="1508">
        <f t="shared" si="311"/>
        <v>-66.5</v>
      </c>
      <c r="DC224" s="1508">
        <f t="shared" si="311"/>
        <v>17</v>
      </c>
      <c r="DD224" s="1508">
        <f t="shared" si="311"/>
        <v>-18</v>
      </c>
      <c r="DE224" s="1508">
        <f>DE82-DE216</f>
        <v>-1.1999999999999886</v>
      </c>
      <c r="DF224" s="1508">
        <f t="shared" si="311"/>
        <v>0</v>
      </c>
      <c r="DG224" s="1508">
        <f t="shared" si="311"/>
        <v>13.5</v>
      </c>
      <c r="DH224" s="1508">
        <f t="shared" si="311"/>
        <v>14</v>
      </c>
      <c r="DI224" s="1508">
        <f t="shared" si="311"/>
        <v>-8.1999999999999886</v>
      </c>
      <c r="DJ224" s="1516">
        <f t="shared" si="311"/>
        <v>-1059.5</v>
      </c>
      <c r="DK224" s="1508">
        <f t="shared" si="311"/>
        <v>-1032</v>
      </c>
      <c r="DL224" s="1508">
        <f t="shared" si="311"/>
        <v>-37</v>
      </c>
      <c r="DM224" s="1508">
        <f t="shared" si="311"/>
        <v>-21.5</v>
      </c>
      <c r="DN224" s="1508">
        <f t="shared" si="311"/>
        <v>-16</v>
      </c>
      <c r="DO224" s="1508">
        <f t="shared" si="311"/>
        <v>221</v>
      </c>
      <c r="DP224" s="1509">
        <f t="shared" si="311"/>
        <v>-822</v>
      </c>
      <c r="DQ224" s="1512">
        <f t="shared" si="311"/>
        <v>0</v>
      </c>
      <c r="DR224" s="1516">
        <f t="shared" ref="DR224:DW225" si="312">DR82-DR216</f>
        <v>0</v>
      </c>
      <c r="DS224" s="1516">
        <f t="shared" si="312"/>
        <v>0</v>
      </c>
      <c r="DT224" s="1512">
        <f t="shared" si="312"/>
        <v>0</v>
      </c>
      <c r="DU224" s="1516">
        <f t="shared" si="312"/>
        <v>0</v>
      </c>
      <c r="DV224" s="1517">
        <f t="shared" si="312"/>
        <v>0</v>
      </c>
      <c r="DW224" s="1517">
        <f t="shared" si="312"/>
        <v>4390.1140000000014</v>
      </c>
      <c r="DX224" s="1518" t="s">
        <v>698</v>
      </c>
      <c r="DY224" s="659"/>
    </row>
    <row r="225" spans="1:129" ht="14.25" customHeight="1" outlineLevel="1">
      <c r="A225" s="1507" t="s">
        <v>699</v>
      </c>
      <c r="B225" s="1508">
        <f t="shared" ref="B225:O225" si="313">B83-B217</f>
        <v>-35.280999999999999</v>
      </c>
      <c r="C225" s="1508">
        <f t="shared" si="313"/>
        <v>0</v>
      </c>
      <c r="D225" s="1508">
        <f t="shared" si="313"/>
        <v>-3.1920000000000002</v>
      </c>
      <c r="E225" s="1508">
        <f t="shared" si="313"/>
        <v>-3.21</v>
      </c>
      <c r="F225" s="1508">
        <f t="shared" si="313"/>
        <v>-94.46</v>
      </c>
      <c r="G225" s="1509">
        <f t="shared" si="313"/>
        <v>0</v>
      </c>
      <c r="H225" s="1509">
        <f>H83-H217</f>
        <v>0</v>
      </c>
      <c r="I225" s="1509">
        <f t="shared" si="313"/>
        <v>-3.2759999999999998</v>
      </c>
      <c r="J225" s="1509">
        <f t="shared" si="313"/>
        <v>-80.64</v>
      </c>
      <c r="K225" s="1509">
        <f t="shared" si="313"/>
        <v>0</v>
      </c>
      <c r="L225" s="1509">
        <f t="shared" si="313"/>
        <v>0</v>
      </c>
      <c r="M225" s="1509">
        <f t="shared" si="313"/>
        <v>0</v>
      </c>
      <c r="N225" s="1510">
        <f>N83-N217</f>
        <v>-23.68</v>
      </c>
      <c r="O225" s="1510">
        <f t="shared" si="313"/>
        <v>-5.92</v>
      </c>
      <c r="P225" s="1511">
        <f t="shared" si="310"/>
        <v>-94.72</v>
      </c>
      <c r="Q225" s="1512">
        <f t="shared" si="310"/>
        <v>-42.56</v>
      </c>
      <c r="R225" s="1512">
        <f t="shared" si="310"/>
        <v>0</v>
      </c>
      <c r="S225" s="1509">
        <f t="shared" si="310"/>
        <v>-340.48</v>
      </c>
      <c r="T225" s="1509">
        <f t="shared" si="310"/>
        <v>0</v>
      </c>
      <c r="U225" s="1509">
        <f t="shared" si="310"/>
        <v>-14.4</v>
      </c>
      <c r="V225" s="1509">
        <f t="shared" si="310"/>
        <v>-9.6</v>
      </c>
      <c r="W225" s="1509">
        <f>W83-W217</f>
        <v>0</v>
      </c>
      <c r="X225" s="1509">
        <f>X83-X217</f>
        <v>0</v>
      </c>
      <c r="Y225" s="1508">
        <f t="shared" si="310"/>
        <v>-59.94</v>
      </c>
      <c r="Z225" s="1509">
        <f t="shared" si="310"/>
        <v>0</v>
      </c>
      <c r="AA225" s="1508">
        <f t="shared" si="310"/>
        <v>-279.68</v>
      </c>
      <c r="AB225" s="1508">
        <f t="shared" si="310"/>
        <v>-44.4</v>
      </c>
      <c r="AC225" s="1508">
        <f t="shared" si="310"/>
        <v>-19.2</v>
      </c>
      <c r="AD225" s="1508">
        <f t="shared" si="310"/>
        <v>0</v>
      </c>
      <c r="AE225" s="1508">
        <f>AE83-AE217</f>
        <v>0</v>
      </c>
      <c r="AF225" s="1508">
        <f>AF83-AF217</f>
        <v>0</v>
      </c>
      <c r="AG225" s="1508">
        <f t="shared" si="310"/>
        <v>-51.52</v>
      </c>
      <c r="AH225" s="1508">
        <f t="shared" si="310"/>
        <v>-13.44</v>
      </c>
      <c r="AI225" s="1508">
        <f t="shared" si="310"/>
        <v>-336</v>
      </c>
      <c r="AJ225" s="1508">
        <f>AJ83-AJ217</f>
        <v>0</v>
      </c>
      <c r="AK225" s="1508">
        <f>AK83-AK217</f>
        <v>0</v>
      </c>
      <c r="AL225" s="1508">
        <f t="shared" si="310"/>
        <v>-73.599999999999994</v>
      </c>
      <c r="AM225" s="1511">
        <f t="shared" si="310"/>
        <v>-145.80000000000001</v>
      </c>
      <c r="AN225" s="1511">
        <f t="shared" si="310"/>
        <v>0</v>
      </c>
      <c r="AO225" s="1511">
        <f t="shared" si="310"/>
        <v>0</v>
      </c>
      <c r="AP225" s="1511">
        <f t="shared" si="310"/>
        <v>-3.6</v>
      </c>
      <c r="AQ225" s="1509">
        <f t="shared" si="310"/>
        <v>0</v>
      </c>
      <c r="AR225" s="1512">
        <f t="shared" si="310"/>
        <v>-20.8</v>
      </c>
      <c r="AS225" s="1512">
        <f t="shared" si="310"/>
        <v>-21.18</v>
      </c>
      <c r="AT225" s="1512">
        <f t="shared" si="310"/>
        <v>0</v>
      </c>
      <c r="AU225" s="1512">
        <f t="shared" si="310"/>
        <v>2.8000000000000001E-2</v>
      </c>
      <c r="AV225" s="1512">
        <f t="shared" si="310"/>
        <v>0</v>
      </c>
      <c r="AW225" s="1513">
        <f t="shared" si="310"/>
        <v>0</v>
      </c>
      <c r="AX225" s="1512">
        <f t="shared" si="310"/>
        <v>0</v>
      </c>
      <c r="AY225" s="1508">
        <f t="shared" si="310"/>
        <v>-269</v>
      </c>
      <c r="AZ225" s="1508">
        <f t="shared" si="310"/>
        <v>-44</v>
      </c>
      <c r="BA225" s="1508">
        <f t="shared" si="310"/>
        <v>-5</v>
      </c>
      <c r="BB225" s="1508">
        <f t="shared" si="310"/>
        <v>-104.8</v>
      </c>
      <c r="BC225" s="1508">
        <f t="shared" si="310"/>
        <v>0</v>
      </c>
      <c r="BD225" s="1508">
        <f t="shared" si="310"/>
        <v>0</v>
      </c>
      <c r="BE225" s="1508">
        <f>BE83-BE217</f>
        <v>0</v>
      </c>
      <c r="BF225" s="1508">
        <f t="shared" si="311"/>
        <v>0</v>
      </c>
      <c r="BG225" s="1508">
        <f t="shared" si="311"/>
        <v>0</v>
      </c>
      <c r="BH225" s="1508">
        <f>BH83-BH217</f>
        <v>0</v>
      </c>
      <c r="BI225" s="1508">
        <f>BI83-BI217</f>
        <v>0</v>
      </c>
      <c r="BJ225" s="1508">
        <f t="shared" si="311"/>
        <v>0</v>
      </c>
      <c r="BK225" s="1508">
        <f t="shared" si="311"/>
        <v>0</v>
      </c>
      <c r="BL225" s="1508">
        <f t="shared" si="311"/>
        <v>-3.2</v>
      </c>
      <c r="BM225" s="1508">
        <f t="shared" si="311"/>
        <v>-7</v>
      </c>
      <c r="BN225" s="1508">
        <f t="shared" si="311"/>
        <v>-1</v>
      </c>
      <c r="BO225" s="1508">
        <f t="shared" si="311"/>
        <v>-37.6</v>
      </c>
      <c r="BP225" s="1508">
        <f t="shared" si="311"/>
        <v>-188.8</v>
      </c>
      <c r="BQ225" s="1508">
        <f t="shared" si="311"/>
        <v>0</v>
      </c>
      <c r="BR225" s="1508">
        <f>BR83-BR217</f>
        <v>0</v>
      </c>
      <c r="BS225" s="1508">
        <f>BS83-BS217</f>
        <v>0</v>
      </c>
      <c r="BT225" s="1508">
        <f t="shared" si="311"/>
        <v>0</v>
      </c>
      <c r="BU225" s="1508">
        <f t="shared" si="311"/>
        <v>0</v>
      </c>
      <c r="BV225" s="1508">
        <f t="shared" si="311"/>
        <v>0</v>
      </c>
      <c r="BW225" s="1508">
        <f t="shared" si="311"/>
        <v>-78</v>
      </c>
      <c r="BX225" s="1508">
        <f t="shared" si="311"/>
        <v>-9</v>
      </c>
      <c r="BY225" s="1508">
        <f t="shared" si="311"/>
        <v>-38.799999999999997</v>
      </c>
      <c r="BZ225" s="1508">
        <f t="shared" si="311"/>
        <v>-3.24</v>
      </c>
      <c r="CA225" s="1508">
        <f t="shared" si="311"/>
        <v>0</v>
      </c>
      <c r="CB225" s="1508">
        <f t="shared" si="311"/>
        <v>-1.8</v>
      </c>
      <c r="CC225" s="1508">
        <f t="shared" si="311"/>
        <v>0</v>
      </c>
      <c r="CD225" s="1511">
        <f t="shared" si="311"/>
        <v>-48</v>
      </c>
      <c r="CE225" s="1511">
        <f t="shared" si="311"/>
        <v>-15.6</v>
      </c>
      <c r="CF225" s="1511">
        <f t="shared" si="311"/>
        <v>-9.6</v>
      </c>
      <c r="CG225" s="1511">
        <f t="shared" si="311"/>
        <v>0</v>
      </c>
      <c r="CH225" s="1511">
        <f t="shared" si="311"/>
        <v>0</v>
      </c>
      <c r="CI225" s="1511">
        <f t="shared" si="311"/>
        <v>0</v>
      </c>
      <c r="CJ225" s="1511">
        <f t="shared" si="311"/>
        <v>0</v>
      </c>
      <c r="CK225" s="1508">
        <f t="shared" si="311"/>
        <v>0</v>
      </c>
      <c r="CL225" s="1508">
        <f t="shared" si="311"/>
        <v>-8.4</v>
      </c>
      <c r="CM225" s="1508">
        <f t="shared" si="311"/>
        <v>-18</v>
      </c>
      <c r="CN225" s="1508">
        <f t="shared" si="311"/>
        <v>-12</v>
      </c>
      <c r="CO225" s="1508">
        <f t="shared" si="311"/>
        <v>0</v>
      </c>
      <c r="CP225" s="1514">
        <f t="shared" si="311"/>
        <v>-36</v>
      </c>
      <c r="CQ225" s="1514">
        <f>CQ83-CQ217</f>
        <v>0</v>
      </c>
      <c r="CR225" s="1515">
        <f t="shared" si="311"/>
        <v>-12</v>
      </c>
      <c r="CS225" s="1515">
        <f>CS83-CS217</f>
        <v>0</v>
      </c>
      <c r="CT225" s="1508">
        <f t="shared" si="311"/>
        <v>-70.8</v>
      </c>
      <c r="CU225" s="1512">
        <f t="shared" si="311"/>
        <v>0</v>
      </c>
      <c r="CV225" s="1512"/>
      <c r="CW225" s="1514">
        <f t="shared" si="311"/>
        <v>0</v>
      </c>
      <c r="CX225" s="1514">
        <f t="shared" si="311"/>
        <v>0</v>
      </c>
      <c r="CY225" s="1514">
        <f t="shared" si="311"/>
        <v>0</v>
      </c>
      <c r="CZ225" s="1514">
        <f t="shared" si="311"/>
        <v>-36.72</v>
      </c>
      <c r="DA225" s="1508">
        <f t="shared" si="311"/>
        <v>-58.5</v>
      </c>
      <c r="DB225" s="1508">
        <f t="shared" si="311"/>
        <v>-108</v>
      </c>
      <c r="DC225" s="1508">
        <f t="shared" si="311"/>
        <v>-54</v>
      </c>
      <c r="DD225" s="1508">
        <f t="shared" si="311"/>
        <v>0</v>
      </c>
      <c r="DE225" s="1508">
        <f>DE83-DE217</f>
        <v>0</v>
      </c>
      <c r="DF225" s="1508">
        <f t="shared" si="311"/>
        <v>-148.5</v>
      </c>
      <c r="DG225" s="1508">
        <f t="shared" si="311"/>
        <v>0</v>
      </c>
      <c r="DH225" s="1508">
        <f t="shared" si="311"/>
        <v>-960</v>
      </c>
      <c r="DI225" s="1508">
        <f t="shared" si="311"/>
        <v>-34.799999999999997</v>
      </c>
      <c r="DJ225" s="1516">
        <f t="shared" si="311"/>
        <v>1242</v>
      </c>
      <c r="DK225" s="1508">
        <f t="shared" si="311"/>
        <v>834</v>
      </c>
      <c r="DL225" s="1508">
        <f t="shared" si="311"/>
        <v>-3</v>
      </c>
      <c r="DM225" s="1508">
        <f t="shared" si="311"/>
        <v>-24</v>
      </c>
      <c r="DN225" s="1508">
        <f t="shared" si="311"/>
        <v>-3</v>
      </c>
      <c r="DO225" s="1508">
        <f t="shared" si="311"/>
        <v>0</v>
      </c>
      <c r="DP225" s="1509">
        <f t="shared" si="311"/>
        <v>834</v>
      </c>
      <c r="DQ225" s="1512">
        <f t="shared" si="311"/>
        <v>0</v>
      </c>
      <c r="DR225" s="1516">
        <f t="shared" si="312"/>
        <v>0</v>
      </c>
      <c r="DS225" s="1516">
        <f t="shared" si="312"/>
        <v>0</v>
      </c>
      <c r="DT225" s="1512">
        <f t="shared" si="312"/>
        <v>0</v>
      </c>
      <c r="DU225" s="1516">
        <f t="shared" si="312"/>
        <v>0</v>
      </c>
      <c r="DV225" s="1517">
        <f t="shared" si="312"/>
        <v>0</v>
      </c>
      <c r="DW225" s="1517">
        <f t="shared" si="312"/>
        <v>-1362.7110000000002</v>
      </c>
      <c r="DX225" s="1518" t="s">
        <v>699</v>
      </c>
      <c r="DY225" s="659"/>
    </row>
    <row r="226" spans="1:129" ht="14.25" customHeight="1" outlineLevel="1">
      <c r="A226" s="1507" t="s">
        <v>700</v>
      </c>
      <c r="B226" s="1508">
        <f t="shared" ref="B226:BM227" si="314">B108-B218</f>
        <v>0</v>
      </c>
      <c r="C226" s="1508">
        <f t="shared" si="314"/>
        <v>0</v>
      </c>
      <c r="D226" s="1508">
        <f t="shared" si="314"/>
        <v>0</v>
      </c>
      <c r="E226" s="1508">
        <f t="shared" si="314"/>
        <v>0</v>
      </c>
      <c r="F226" s="1508">
        <f t="shared" si="314"/>
        <v>0</v>
      </c>
      <c r="G226" s="1509">
        <f t="shared" si="314"/>
        <v>0</v>
      </c>
      <c r="H226" s="1509">
        <f>H108-H218</f>
        <v>0</v>
      </c>
      <c r="I226" s="1509">
        <f t="shared" si="314"/>
        <v>0</v>
      </c>
      <c r="J226" s="1509">
        <f t="shared" si="314"/>
        <v>0</v>
      </c>
      <c r="K226" s="1509">
        <f t="shared" si="314"/>
        <v>0</v>
      </c>
      <c r="L226" s="1509">
        <f t="shared" si="314"/>
        <v>0</v>
      </c>
      <c r="M226" s="1509">
        <f t="shared" si="314"/>
        <v>0</v>
      </c>
      <c r="N226" s="1510">
        <f t="shared" si="314"/>
        <v>0</v>
      </c>
      <c r="O226" s="1510">
        <f t="shared" si="314"/>
        <v>0</v>
      </c>
      <c r="P226" s="1511">
        <f t="shared" si="314"/>
        <v>0</v>
      </c>
      <c r="Q226" s="1512">
        <f t="shared" si="314"/>
        <v>0</v>
      </c>
      <c r="R226" s="1512">
        <f t="shared" si="314"/>
        <v>0</v>
      </c>
      <c r="S226" s="1509">
        <f t="shared" si="314"/>
        <v>0</v>
      </c>
      <c r="T226" s="1509">
        <f t="shared" si="314"/>
        <v>0</v>
      </c>
      <c r="U226" s="1509">
        <f t="shared" si="314"/>
        <v>0</v>
      </c>
      <c r="V226" s="1509">
        <f t="shared" si="314"/>
        <v>0</v>
      </c>
      <c r="W226" s="1509">
        <f>W108-W218</f>
        <v>0</v>
      </c>
      <c r="X226" s="1509">
        <f>X108-X218</f>
        <v>0</v>
      </c>
      <c r="Y226" s="1508">
        <f t="shared" si="314"/>
        <v>0</v>
      </c>
      <c r="Z226" s="1509">
        <f t="shared" si="314"/>
        <v>0</v>
      </c>
      <c r="AA226" s="1508">
        <f t="shared" si="314"/>
        <v>0</v>
      </c>
      <c r="AB226" s="1508">
        <f t="shared" si="314"/>
        <v>0</v>
      </c>
      <c r="AC226" s="1508">
        <f t="shared" si="314"/>
        <v>0</v>
      </c>
      <c r="AD226" s="1508">
        <f t="shared" si="314"/>
        <v>0</v>
      </c>
      <c r="AE226" s="1508">
        <f>AE108-AE218</f>
        <v>0</v>
      </c>
      <c r="AF226" s="1508">
        <f>AF108-AF218</f>
        <v>0</v>
      </c>
      <c r="AG226" s="1508">
        <f t="shared" si="314"/>
        <v>0</v>
      </c>
      <c r="AH226" s="1508">
        <f t="shared" si="314"/>
        <v>0</v>
      </c>
      <c r="AI226" s="1508">
        <f t="shared" si="314"/>
        <v>0</v>
      </c>
      <c r="AJ226" s="1508">
        <f>AJ108-AJ218</f>
        <v>0</v>
      </c>
      <c r="AK226" s="1508">
        <f>AK108-AK218</f>
        <v>0</v>
      </c>
      <c r="AL226" s="1508">
        <f t="shared" si="314"/>
        <v>0</v>
      </c>
      <c r="AM226" s="1511">
        <f t="shared" si="314"/>
        <v>0</v>
      </c>
      <c r="AN226" s="1511">
        <f t="shared" si="314"/>
        <v>0</v>
      </c>
      <c r="AO226" s="1511">
        <f t="shared" si="314"/>
        <v>0</v>
      </c>
      <c r="AP226" s="1511">
        <f t="shared" si="314"/>
        <v>0</v>
      </c>
      <c r="AQ226" s="1509">
        <f t="shared" si="314"/>
        <v>0</v>
      </c>
      <c r="AR226" s="1512">
        <f t="shared" si="314"/>
        <v>0</v>
      </c>
      <c r="AS226" s="1512">
        <f t="shared" si="314"/>
        <v>0</v>
      </c>
      <c r="AT226" s="1512">
        <f t="shared" si="314"/>
        <v>0</v>
      </c>
      <c r="AU226" s="1512">
        <f t="shared" si="314"/>
        <v>0</v>
      </c>
      <c r="AV226" s="1512">
        <f t="shared" si="314"/>
        <v>0</v>
      </c>
      <c r="AW226" s="1513">
        <f t="shared" si="314"/>
        <v>0</v>
      </c>
      <c r="AX226" s="1512">
        <f t="shared" si="314"/>
        <v>0</v>
      </c>
      <c r="AY226" s="1508">
        <f t="shared" si="314"/>
        <v>0</v>
      </c>
      <c r="AZ226" s="1508">
        <f t="shared" si="314"/>
        <v>0</v>
      </c>
      <c r="BA226" s="1508">
        <f t="shared" si="314"/>
        <v>0</v>
      </c>
      <c r="BB226" s="1508">
        <f t="shared" si="314"/>
        <v>0</v>
      </c>
      <c r="BC226" s="1508">
        <f t="shared" si="314"/>
        <v>0</v>
      </c>
      <c r="BD226" s="1508">
        <f t="shared" si="314"/>
        <v>0</v>
      </c>
      <c r="BE226" s="1508">
        <f t="shared" si="314"/>
        <v>0</v>
      </c>
      <c r="BF226" s="1508">
        <f t="shared" si="314"/>
        <v>0</v>
      </c>
      <c r="BG226" s="1508">
        <f t="shared" si="314"/>
        <v>0</v>
      </c>
      <c r="BH226" s="1508">
        <f>BH108-BH218</f>
        <v>0</v>
      </c>
      <c r="BI226" s="1508">
        <f>BI108-BI218</f>
        <v>0</v>
      </c>
      <c r="BJ226" s="1508">
        <f t="shared" si="314"/>
        <v>0</v>
      </c>
      <c r="BK226" s="1508">
        <f t="shared" si="314"/>
        <v>0</v>
      </c>
      <c r="BL226" s="1508">
        <f t="shared" si="314"/>
        <v>0</v>
      </c>
      <c r="BM226" s="1508">
        <f t="shared" si="314"/>
        <v>0</v>
      </c>
      <c r="BN226" s="1508">
        <f t="shared" ref="BN226:DR227" si="315">BN108-BN218</f>
        <v>0</v>
      </c>
      <c r="BO226" s="1508">
        <f t="shared" si="315"/>
        <v>0</v>
      </c>
      <c r="BP226" s="1508">
        <f t="shared" si="315"/>
        <v>0</v>
      </c>
      <c r="BQ226" s="1508">
        <f t="shared" si="315"/>
        <v>0</v>
      </c>
      <c r="BR226" s="1508">
        <f>BR108-BR218</f>
        <v>0</v>
      </c>
      <c r="BS226" s="1508">
        <f>BS108-BS218</f>
        <v>0</v>
      </c>
      <c r="BT226" s="1508">
        <f t="shared" si="315"/>
        <v>0</v>
      </c>
      <c r="BU226" s="1508">
        <f t="shared" si="315"/>
        <v>0</v>
      </c>
      <c r="BV226" s="1508">
        <f t="shared" si="315"/>
        <v>0</v>
      </c>
      <c r="BW226" s="1508">
        <f t="shared" si="315"/>
        <v>0</v>
      </c>
      <c r="BX226" s="1508">
        <f t="shared" si="315"/>
        <v>0</v>
      </c>
      <c r="BY226" s="1508">
        <f t="shared" si="315"/>
        <v>0</v>
      </c>
      <c r="BZ226" s="1508">
        <f t="shared" si="315"/>
        <v>0</v>
      </c>
      <c r="CA226" s="1508">
        <f t="shared" si="315"/>
        <v>0</v>
      </c>
      <c r="CB226" s="1508">
        <f t="shared" si="315"/>
        <v>0</v>
      </c>
      <c r="CC226" s="1508">
        <f t="shared" si="315"/>
        <v>0</v>
      </c>
      <c r="CD226" s="1511">
        <f t="shared" si="315"/>
        <v>0</v>
      </c>
      <c r="CE226" s="1511">
        <f t="shared" si="315"/>
        <v>0</v>
      </c>
      <c r="CF226" s="1511">
        <f t="shared" si="315"/>
        <v>0</v>
      </c>
      <c r="CG226" s="1511">
        <f t="shared" si="315"/>
        <v>0</v>
      </c>
      <c r="CH226" s="1511">
        <f t="shared" si="311"/>
        <v>0</v>
      </c>
      <c r="CI226" s="1511">
        <f t="shared" si="311"/>
        <v>0</v>
      </c>
      <c r="CJ226" s="1511">
        <f t="shared" si="311"/>
        <v>0</v>
      </c>
      <c r="CK226" s="1508">
        <f t="shared" si="315"/>
        <v>0</v>
      </c>
      <c r="CL226" s="1508">
        <f t="shared" si="315"/>
        <v>0</v>
      </c>
      <c r="CM226" s="1508">
        <f t="shared" si="315"/>
        <v>0</v>
      </c>
      <c r="CN226" s="1508">
        <f t="shared" si="315"/>
        <v>0</v>
      </c>
      <c r="CO226" s="1508">
        <f t="shared" si="315"/>
        <v>0</v>
      </c>
      <c r="CP226" s="1514">
        <f t="shared" si="315"/>
        <v>0</v>
      </c>
      <c r="CQ226" s="1514">
        <f>CQ108-CQ218</f>
        <v>0</v>
      </c>
      <c r="CR226" s="1515">
        <f t="shared" si="315"/>
        <v>0</v>
      </c>
      <c r="CS226" s="1515">
        <f>CS108-CS218</f>
        <v>0</v>
      </c>
      <c r="CT226" s="1508">
        <f t="shared" si="315"/>
        <v>0</v>
      </c>
      <c r="CU226" s="1512">
        <f t="shared" si="315"/>
        <v>0</v>
      </c>
      <c r="CV226" s="1512"/>
      <c r="CW226" s="1514">
        <f t="shared" si="315"/>
        <v>0</v>
      </c>
      <c r="CX226" s="1514">
        <f t="shared" si="315"/>
        <v>0</v>
      </c>
      <c r="CY226" s="1514">
        <f t="shared" si="315"/>
        <v>0</v>
      </c>
      <c r="CZ226" s="1514">
        <f t="shared" si="315"/>
        <v>0</v>
      </c>
      <c r="DA226" s="1508">
        <f t="shared" si="315"/>
        <v>0</v>
      </c>
      <c r="DB226" s="1508">
        <f t="shared" si="315"/>
        <v>0</v>
      </c>
      <c r="DC226" s="1508">
        <f t="shared" si="315"/>
        <v>0</v>
      </c>
      <c r="DD226" s="1508">
        <f t="shared" si="315"/>
        <v>0</v>
      </c>
      <c r="DE226" s="1508">
        <f>DE108-DE218</f>
        <v>0</v>
      </c>
      <c r="DF226" s="1508">
        <f t="shared" si="315"/>
        <v>0</v>
      </c>
      <c r="DG226" s="1508">
        <f t="shared" si="315"/>
        <v>0</v>
      </c>
      <c r="DH226" s="1508">
        <f t="shared" si="315"/>
        <v>0</v>
      </c>
      <c r="DI226" s="1508">
        <f t="shared" si="315"/>
        <v>0</v>
      </c>
      <c r="DJ226" s="1516">
        <f t="shared" si="315"/>
        <v>0</v>
      </c>
      <c r="DK226" s="1508">
        <f t="shared" si="315"/>
        <v>0</v>
      </c>
      <c r="DL226" s="1508">
        <f t="shared" si="315"/>
        <v>0</v>
      </c>
      <c r="DM226" s="1508">
        <f t="shared" si="315"/>
        <v>0</v>
      </c>
      <c r="DN226" s="1508">
        <f t="shared" si="315"/>
        <v>0</v>
      </c>
      <c r="DO226" s="1508">
        <f t="shared" si="315"/>
        <v>0</v>
      </c>
      <c r="DP226" s="1509">
        <f t="shared" si="315"/>
        <v>0</v>
      </c>
      <c r="DQ226" s="1512">
        <f t="shared" si="315"/>
        <v>0</v>
      </c>
      <c r="DR226" s="1510">
        <f t="shared" si="315"/>
        <v>0</v>
      </c>
      <c r="DS226" s="1510"/>
      <c r="DT226" s="1517"/>
      <c r="DU226" s="1510"/>
      <c r="DV226" s="1514">
        <f>DV108-DV218</f>
        <v>0</v>
      </c>
      <c r="DW226" s="1517">
        <f t="shared" ref="DW226:DW229" si="316">DW108-DW218</f>
        <v>0</v>
      </c>
      <c r="DX226" s="1518" t="s">
        <v>700</v>
      </c>
      <c r="DY226" s="659"/>
    </row>
    <row r="227" spans="1:129" ht="14.25" customHeight="1" outlineLevel="1">
      <c r="A227" s="1507" t="s">
        <v>701</v>
      </c>
      <c r="B227" s="1508">
        <f t="shared" si="314"/>
        <v>0</v>
      </c>
      <c r="C227" s="1508">
        <f t="shared" si="314"/>
        <v>0</v>
      </c>
      <c r="D227" s="1508">
        <f t="shared" si="314"/>
        <v>0</v>
      </c>
      <c r="E227" s="1508">
        <f t="shared" si="314"/>
        <v>0</v>
      </c>
      <c r="F227" s="1508">
        <f t="shared" si="314"/>
        <v>0</v>
      </c>
      <c r="G227" s="1509">
        <f t="shared" si="314"/>
        <v>0</v>
      </c>
      <c r="H227" s="1509">
        <f>H109-H219</f>
        <v>0</v>
      </c>
      <c r="I227" s="1509">
        <f t="shared" si="314"/>
        <v>0</v>
      </c>
      <c r="J227" s="1509">
        <f t="shared" si="314"/>
        <v>0</v>
      </c>
      <c r="K227" s="1509">
        <f t="shared" si="314"/>
        <v>0</v>
      </c>
      <c r="L227" s="1509">
        <f t="shared" si="314"/>
        <v>0</v>
      </c>
      <c r="M227" s="1509">
        <f t="shared" si="314"/>
        <v>0</v>
      </c>
      <c r="N227" s="1510">
        <f t="shared" si="314"/>
        <v>0</v>
      </c>
      <c r="O227" s="1510">
        <f t="shared" si="314"/>
        <v>0</v>
      </c>
      <c r="P227" s="1511">
        <f t="shared" si="314"/>
        <v>0</v>
      </c>
      <c r="Q227" s="1512">
        <f t="shared" si="314"/>
        <v>0</v>
      </c>
      <c r="R227" s="1512">
        <f t="shared" si="314"/>
        <v>0</v>
      </c>
      <c r="S227" s="1509">
        <f t="shared" si="314"/>
        <v>0</v>
      </c>
      <c r="T227" s="1509">
        <f t="shared" si="314"/>
        <v>0</v>
      </c>
      <c r="U227" s="1509">
        <f t="shared" si="314"/>
        <v>0</v>
      </c>
      <c r="V227" s="1509">
        <f t="shared" si="314"/>
        <v>0</v>
      </c>
      <c r="W227" s="1509">
        <f>W109-W219</f>
        <v>0</v>
      </c>
      <c r="X227" s="1509">
        <f>X109-X219</f>
        <v>0</v>
      </c>
      <c r="Y227" s="1508">
        <f t="shared" si="314"/>
        <v>0</v>
      </c>
      <c r="Z227" s="1509">
        <f t="shared" si="314"/>
        <v>0</v>
      </c>
      <c r="AA227" s="1508">
        <f t="shared" si="314"/>
        <v>0</v>
      </c>
      <c r="AB227" s="1508">
        <f t="shared" si="314"/>
        <v>0</v>
      </c>
      <c r="AC227" s="1508">
        <f t="shared" si="314"/>
        <v>0</v>
      </c>
      <c r="AD227" s="1508">
        <f t="shared" si="314"/>
        <v>0</v>
      </c>
      <c r="AE227" s="1508">
        <f>AE109-AE219</f>
        <v>0</v>
      </c>
      <c r="AF227" s="1508">
        <f>AF109-AF219</f>
        <v>0</v>
      </c>
      <c r="AG227" s="1508">
        <f t="shared" si="314"/>
        <v>0</v>
      </c>
      <c r="AH227" s="1508">
        <f t="shared" si="314"/>
        <v>0</v>
      </c>
      <c r="AI227" s="1508">
        <f t="shared" si="314"/>
        <v>0</v>
      </c>
      <c r="AJ227" s="1508">
        <f>AJ109-AJ219</f>
        <v>0</v>
      </c>
      <c r="AK227" s="1508">
        <f>AK109-AK219</f>
        <v>0</v>
      </c>
      <c r="AL227" s="1508">
        <f t="shared" si="314"/>
        <v>0</v>
      </c>
      <c r="AM227" s="1511">
        <f t="shared" si="314"/>
        <v>0</v>
      </c>
      <c r="AN227" s="1511">
        <f t="shared" si="314"/>
        <v>0</v>
      </c>
      <c r="AO227" s="1511">
        <f t="shared" si="314"/>
        <v>0</v>
      </c>
      <c r="AP227" s="1511">
        <f t="shared" si="314"/>
        <v>0</v>
      </c>
      <c r="AQ227" s="1509">
        <f t="shared" si="314"/>
        <v>0</v>
      </c>
      <c r="AR227" s="1512">
        <f t="shared" si="314"/>
        <v>0</v>
      </c>
      <c r="AS227" s="1512">
        <f t="shared" si="314"/>
        <v>0</v>
      </c>
      <c r="AT227" s="1512">
        <f t="shared" si="314"/>
        <v>0</v>
      </c>
      <c r="AU227" s="1512">
        <f t="shared" si="314"/>
        <v>0</v>
      </c>
      <c r="AV227" s="1512">
        <f t="shared" si="314"/>
        <v>0</v>
      </c>
      <c r="AW227" s="1513">
        <f t="shared" si="314"/>
        <v>0</v>
      </c>
      <c r="AX227" s="1512">
        <f t="shared" si="314"/>
        <v>0</v>
      </c>
      <c r="AY227" s="1508">
        <f t="shared" si="314"/>
        <v>0</v>
      </c>
      <c r="AZ227" s="1508">
        <f t="shared" si="314"/>
        <v>0</v>
      </c>
      <c r="BA227" s="1508">
        <f t="shared" si="314"/>
        <v>0</v>
      </c>
      <c r="BB227" s="1508">
        <f t="shared" si="314"/>
        <v>0</v>
      </c>
      <c r="BC227" s="1508">
        <f t="shared" si="314"/>
        <v>0</v>
      </c>
      <c r="BD227" s="1508">
        <f t="shared" si="314"/>
        <v>0</v>
      </c>
      <c r="BE227" s="1508">
        <f t="shared" si="314"/>
        <v>0</v>
      </c>
      <c r="BF227" s="1508">
        <f t="shared" si="314"/>
        <v>0</v>
      </c>
      <c r="BG227" s="1508">
        <f t="shared" si="314"/>
        <v>0</v>
      </c>
      <c r="BH227" s="1508">
        <f>BH109-BH219</f>
        <v>0</v>
      </c>
      <c r="BI227" s="1508">
        <f>BI109-BI219</f>
        <v>0</v>
      </c>
      <c r="BJ227" s="1508">
        <f t="shared" si="314"/>
        <v>0</v>
      </c>
      <c r="BK227" s="1508">
        <f t="shared" si="314"/>
        <v>0</v>
      </c>
      <c r="BL227" s="1508">
        <f t="shared" si="314"/>
        <v>0</v>
      </c>
      <c r="BM227" s="1508">
        <f t="shared" si="314"/>
        <v>0</v>
      </c>
      <c r="BN227" s="1508">
        <f t="shared" si="315"/>
        <v>0</v>
      </c>
      <c r="BO227" s="1508">
        <f t="shared" si="315"/>
        <v>0</v>
      </c>
      <c r="BP227" s="1508">
        <f t="shared" si="315"/>
        <v>0</v>
      </c>
      <c r="BQ227" s="1508">
        <f t="shared" si="315"/>
        <v>0</v>
      </c>
      <c r="BR227" s="1508">
        <f>BR109-BR219</f>
        <v>0</v>
      </c>
      <c r="BS227" s="1508">
        <f>BS109-BS219</f>
        <v>0</v>
      </c>
      <c r="BT227" s="1508">
        <f t="shared" si="315"/>
        <v>0</v>
      </c>
      <c r="BU227" s="1508">
        <f t="shared" si="315"/>
        <v>0</v>
      </c>
      <c r="BV227" s="1508">
        <f t="shared" si="315"/>
        <v>0</v>
      </c>
      <c r="BW227" s="1508">
        <f t="shared" si="315"/>
        <v>0</v>
      </c>
      <c r="BX227" s="1508">
        <f t="shared" si="315"/>
        <v>0</v>
      </c>
      <c r="BY227" s="1508">
        <f t="shared" si="315"/>
        <v>0</v>
      </c>
      <c r="BZ227" s="1508">
        <f t="shared" si="315"/>
        <v>0</v>
      </c>
      <c r="CA227" s="1508">
        <f t="shared" si="315"/>
        <v>0</v>
      </c>
      <c r="CB227" s="1508">
        <f t="shared" si="315"/>
        <v>0</v>
      </c>
      <c r="CC227" s="1508">
        <f t="shared" si="315"/>
        <v>0</v>
      </c>
      <c r="CD227" s="1511">
        <f t="shared" si="315"/>
        <v>0</v>
      </c>
      <c r="CE227" s="1511">
        <f t="shared" si="315"/>
        <v>0</v>
      </c>
      <c r="CF227" s="1511">
        <f t="shared" si="315"/>
        <v>0</v>
      </c>
      <c r="CG227" s="1511">
        <f t="shared" si="315"/>
        <v>0</v>
      </c>
      <c r="CH227" s="1511">
        <f t="shared" si="311"/>
        <v>0</v>
      </c>
      <c r="CI227" s="1511">
        <f t="shared" si="311"/>
        <v>0</v>
      </c>
      <c r="CJ227" s="1511">
        <f t="shared" si="311"/>
        <v>0</v>
      </c>
      <c r="CK227" s="1508">
        <f t="shared" si="315"/>
        <v>0</v>
      </c>
      <c r="CL227" s="1508">
        <f t="shared" si="315"/>
        <v>0</v>
      </c>
      <c r="CM227" s="1508">
        <f t="shared" si="315"/>
        <v>0</v>
      </c>
      <c r="CN227" s="1508">
        <f t="shared" si="315"/>
        <v>0</v>
      </c>
      <c r="CO227" s="1508">
        <f t="shared" si="315"/>
        <v>0</v>
      </c>
      <c r="CP227" s="1514">
        <f t="shared" si="315"/>
        <v>0</v>
      </c>
      <c r="CQ227" s="1514">
        <f>CQ109-CQ219</f>
        <v>0</v>
      </c>
      <c r="CR227" s="1515">
        <f t="shared" si="315"/>
        <v>0</v>
      </c>
      <c r="CS227" s="1515">
        <f>CS109-CS219</f>
        <v>0</v>
      </c>
      <c r="CT227" s="1508">
        <f t="shared" si="315"/>
        <v>0</v>
      </c>
      <c r="CU227" s="1512">
        <f t="shared" si="315"/>
        <v>0</v>
      </c>
      <c r="CV227" s="1512"/>
      <c r="CW227" s="1514">
        <f t="shared" si="315"/>
        <v>0</v>
      </c>
      <c r="CX227" s="1514">
        <f t="shared" si="315"/>
        <v>0</v>
      </c>
      <c r="CY227" s="1514">
        <f t="shared" si="315"/>
        <v>0</v>
      </c>
      <c r="CZ227" s="1514">
        <f t="shared" si="315"/>
        <v>0</v>
      </c>
      <c r="DA227" s="1508">
        <f t="shared" si="315"/>
        <v>0</v>
      </c>
      <c r="DB227" s="1508">
        <f t="shared" si="315"/>
        <v>0</v>
      </c>
      <c r="DC227" s="1508">
        <f t="shared" si="315"/>
        <v>0</v>
      </c>
      <c r="DD227" s="1508">
        <f t="shared" si="315"/>
        <v>0</v>
      </c>
      <c r="DE227" s="1508">
        <f>DE109-DE219</f>
        <v>0</v>
      </c>
      <c r="DF227" s="1508">
        <f t="shared" si="315"/>
        <v>0</v>
      </c>
      <c r="DG227" s="1508">
        <f t="shared" si="315"/>
        <v>0</v>
      </c>
      <c r="DH227" s="1508">
        <f t="shared" si="315"/>
        <v>0</v>
      </c>
      <c r="DI227" s="1508">
        <f t="shared" si="315"/>
        <v>0</v>
      </c>
      <c r="DJ227" s="1516">
        <f t="shared" si="315"/>
        <v>0</v>
      </c>
      <c r="DK227" s="1508">
        <f t="shared" si="315"/>
        <v>0</v>
      </c>
      <c r="DL227" s="1508">
        <f t="shared" si="315"/>
        <v>0</v>
      </c>
      <c r="DM227" s="1508">
        <f t="shared" si="315"/>
        <v>0</v>
      </c>
      <c r="DN227" s="1508">
        <f t="shared" si="315"/>
        <v>0</v>
      </c>
      <c r="DO227" s="1508">
        <f t="shared" si="315"/>
        <v>0</v>
      </c>
      <c r="DP227" s="1509">
        <f t="shared" si="315"/>
        <v>0</v>
      </c>
      <c r="DQ227" s="1512">
        <f t="shared" si="315"/>
        <v>0</v>
      </c>
      <c r="DR227" s="1510">
        <f t="shared" si="315"/>
        <v>0</v>
      </c>
      <c r="DS227" s="1510"/>
      <c r="DT227" s="1517"/>
      <c r="DU227" s="1510"/>
      <c r="DV227" s="1514">
        <f>DV109-DV219</f>
        <v>0</v>
      </c>
      <c r="DW227" s="1517">
        <f t="shared" si="316"/>
        <v>0</v>
      </c>
      <c r="DX227" s="1518" t="s">
        <v>701</v>
      </c>
      <c r="DY227" s="659"/>
    </row>
    <row r="228" spans="1:129" ht="14.25" customHeight="1" outlineLevel="1" thickBot="1">
      <c r="A228" s="1507" t="s">
        <v>702</v>
      </c>
      <c r="B228" s="1519">
        <f t="shared" ref="B228:BM229" si="317">B86-B220</f>
        <v>0</v>
      </c>
      <c r="C228" s="1519">
        <f t="shared" si="317"/>
        <v>0</v>
      </c>
      <c r="D228" s="1519">
        <f t="shared" si="317"/>
        <v>0</v>
      </c>
      <c r="E228" s="1519">
        <f t="shared" si="317"/>
        <v>0</v>
      </c>
      <c r="F228" s="1519">
        <f t="shared" si="317"/>
        <v>0</v>
      </c>
      <c r="G228" s="1520">
        <f t="shared" si="317"/>
        <v>0</v>
      </c>
      <c r="H228" s="1520">
        <f>H86-H220</f>
        <v>0</v>
      </c>
      <c r="I228" s="1520">
        <f t="shared" si="317"/>
        <v>0</v>
      </c>
      <c r="J228" s="1520">
        <f t="shared" si="317"/>
        <v>0</v>
      </c>
      <c r="K228" s="1520">
        <f t="shared" si="317"/>
        <v>0</v>
      </c>
      <c r="L228" s="1520">
        <f t="shared" si="317"/>
        <v>0</v>
      </c>
      <c r="M228" s="1520">
        <f t="shared" si="317"/>
        <v>0</v>
      </c>
      <c r="N228" s="1521">
        <f t="shared" si="317"/>
        <v>0</v>
      </c>
      <c r="O228" s="1521">
        <f t="shared" si="317"/>
        <v>0</v>
      </c>
      <c r="P228" s="1522">
        <f t="shared" si="317"/>
        <v>0</v>
      </c>
      <c r="Q228" s="1523">
        <f t="shared" si="317"/>
        <v>0</v>
      </c>
      <c r="R228" s="1523">
        <f t="shared" si="317"/>
        <v>0</v>
      </c>
      <c r="S228" s="1520">
        <f t="shared" si="317"/>
        <v>0</v>
      </c>
      <c r="T228" s="1520">
        <f t="shared" si="317"/>
        <v>0</v>
      </c>
      <c r="U228" s="1520">
        <f t="shared" si="317"/>
        <v>0</v>
      </c>
      <c r="V228" s="1520">
        <f t="shared" si="317"/>
        <v>0</v>
      </c>
      <c r="W228" s="1520">
        <f>W86-W220</f>
        <v>0</v>
      </c>
      <c r="X228" s="1520">
        <f>X86-X220</f>
        <v>0</v>
      </c>
      <c r="Y228" s="1519">
        <f t="shared" si="317"/>
        <v>0</v>
      </c>
      <c r="Z228" s="1520">
        <f t="shared" si="317"/>
        <v>0</v>
      </c>
      <c r="AA228" s="1519">
        <f t="shared" si="317"/>
        <v>0</v>
      </c>
      <c r="AB228" s="1519">
        <f t="shared" si="317"/>
        <v>0</v>
      </c>
      <c r="AC228" s="1519">
        <f t="shared" si="317"/>
        <v>0</v>
      </c>
      <c r="AD228" s="1519">
        <f t="shared" si="317"/>
        <v>0</v>
      </c>
      <c r="AE228" s="1519">
        <f>AE86-AE220</f>
        <v>0</v>
      </c>
      <c r="AF228" s="1519">
        <f>AF86-AF220</f>
        <v>0</v>
      </c>
      <c r="AG228" s="1519">
        <f t="shared" si="317"/>
        <v>0</v>
      </c>
      <c r="AH228" s="1519">
        <f t="shared" si="317"/>
        <v>0</v>
      </c>
      <c r="AI228" s="1519">
        <f t="shared" si="317"/>
        <v>0</v>
      </c>
      <c r="AJ228" s="1519">
        <f>AJ86-AJ220</f>
        <v>0</v>
      </c>
      <c r="AK228" s="1519">
        <f>AK86-AK220</f>
        <v>0</v>
      </c>
      <c r="AL228" s="1519">
        <f t="shared" si="317"/>
        <v>0</v>
      </c>
      <c r="AM228" s="1522">
        <f t="shared" si="317"/>
        <v>0</v>
      </c>
      <c r="AN228" s="1522">
        <f t="shared" si="317"/>
        <v>0</v>
      </c>
      <c r="AO228" s="1522">
        <f t="shared" si="317"/>
        <v>0</v>
      </c>
      <c r="AP228" s="1522">
        <f t="shared" si="317"/>
        <v>0</v>
      </c>
      <c r="AQ228" s="1520">
        <f t="shared" si="317"/>
        <v>0</v>
      </c>
      <c r="AR228" s="1523">
        <f t="shared" si="317"/>
        <v>0</v>
      </c>
      <c r="AS228" s="1523">
        <f t="shared" si="317"/>
        <v>0</v>
      </c>
      <c r="AT228" s="1523">
        <f t="shared" si="317"/>
        <v>0</v>
      </c>
      <c r="AU228" s="1523">
        <f t="shared" si="317"/>
        <v>0</v>
      </c>
      <c r="AV228" s="1523">
        <f t="shared" si="317"/>
        <v>0</v>
      </c>
      <c r="AW228" s="1524">
        <f t="shared" si="317"/>
        <v>0</v>
      </c>
      <c r="AX228" s="1523">
        <f t="shared" si="317"/>
        <v>0</v>
      </c>
      <c r="AY228" s="1519">
        <f t="shared" si="317"/>
        <v>0</v>
      </c>
      <c r="AZ228" s="1519">
        <f t="shared" si="317"/>
        <v>0</v>
      </c>
      <c r="BA228" s="1519">
        <f t="shared" si="317"/>
        <v>0</v>
      </c>
      <c r="BB228" s="1519">
        <f t="shared" si="317"/>
        <v>0</v>
      </c>
      <c r="BC228" s="1519">
        <f t="shared" si="317"/>
        <v>0</v>
      </c>
      <c r="BD228" s="1519">
        <f t="shared" si="317"/>
        <v>0</v>
      </c>
      <c r="BE228" s="1519">
        <f t="shared" si="317"/>
        <v>0</v>
      </c>
      <c r="BF228" s="1519">
        <f t="shared" si="317"/>
        <v>0</v>
      </c>
      <c r="BG228" s="1519">
        <f t="shared" si="317"/>
        <v>0</v>
      </c>
      <c r="BH228" s="1519">
        <f>BH86-BH220</f>
        <v>0</v>
      </c>
      <c r="BI228" s="1519">
        <f>BI86-BI220</f>
        <v>0</v>
      </c>
      <c r="BJ228" s="1519">
        <f t="shared" si="317"/>
        <v>0</v>
      </c>
      <c r="BK228" s="1519">
        <f t="shared" si="317"/>
        <v>0</v>
      </c>
      <c r="BL228" s="1519">
        <f t="shared" si="317"/>
        <v>0</v>
      </c>
      <c r="BM228" s="1519">
        <f t="shared" si="317"/>
        <v>0</v>
      </c>
      <c r="BN228" s="1519">
        <f t="shared" ref="BN228:DR229" si="318">BN86-BN220</f>
        <v>0</v>
      </c>
      <c r="BO228" s="1519">
        <f t="shared" si="318"/>
        <v>0</v>
      </c>
      <c r="BP228" s="1519">
        <f t="shared" si="318"/>
        <v>0</v>
      </c>
      <c r="BQ228" s="1519">
        <f t="shared" si="318"/>
        <v>0</v>
      </c>
      <c r="BR228" s="1519">
        <f>BR86-BR220</f>
        <v>0</v>
      </c>
      <c r="BS228" s="1519">
        <f>BS86-BS220</f>
        <v>0</v>
      </c>
      <c r="BT228" s="1519">
        <f t="shared" si="318"/>
        <v>0</v>
      </c>
      <c r="BU228" s="1519">
        <f t="shared" si="318"/>
        <v>0</v>
      </c>
      <c r="BV228" s="1519">
        <f t="shared" si="318"/>
        <v>0</v>
      </c>
      <c r="BW228" s="1519">
        <f t="shared" si="318"/>
        <v>0</v>
      </c>
      <c r="BX228" s="1519">
        <f t="shared" si="318"/>
        <v>0</v>
      </c>
      <c r="BY228" s="1519">
        <f t="shared" si="318"/>
        <v>0</v>
      </c>
      <c r="BZ228" s="1519">
        <f t="shared" si="318"/>
        <v>0</v>
      </c>
      <c r="CA228" s="1519">
        <f t="shared" si="318"/>
        <v>0</v>
      </c>
      <c r="CB228" s="1519">
        <f t="shared" si="318"/>
        <v>0</v>
      </c>
      <c r="CC228" s="1519">
        <f t="shared" si="318"/>
        <v>0</v>
      </c>
      <c r="CD228" s="1522">
        <f t="shared" si="318"/>
        <v>0</v>
      </c>
      <c r="CE228" s="1522">
        <f t="shared" si="318"/>
        <v>0</v>
      </c>
      <c r="CF228" s="1522">
        <f t="shared" si="318"/>
        <v>0</v>
      </c>
      <c r="CG228" s="1522">
        <f t="shared" si="318"/>
        <v>0</v>
      </c>
      <c r="CH228" s="1519">
        <f t="shared" si="311"/>
        <v>0</v>
      </c>
      <c r="CI228" s="1519">
        <f t="shared" si="311"/>
        <v>0</v>
      </c>
      <c r="CJ228" s="1519">
        <f t="shared" si="311"/>
        <v>0</v>
      </c>
      <c r="CK228" s="1519">
        <f t="shared" si="318"/>
        <v>0</v>
      </c>
      <c r="CL228" s="1519">
        <f t="shared" si="318"/>
        <v>0</v>
      </c>
      <c r="CM228" s="1519">
        <f t="shared" si="318"/>
        <v>0</v>
      </c>
      <c r="CN228" s="1519">
        <f t="shared" si="318"/>
        <v>0</v>
      </c>
      <c r="CO228" s="1519">
        <f t="shared" si="318"/>
        <v>0</v>
      </c>
      <c r="CP228" s="1525">
        <f t="shared" si="318"/>
        <v>0</v>
      </c>
      <c r="CQ228" s="1525">
        <f>CQ86-CQ220</f>
        <v>0</v>
      </c>
      <c r="CR228" s="1526">
        <f t="shared" si="318"/>
        <v>0</v>
      </c>
      <c r="CS228" s="1526">
        <f>CS86-CS220</f>
        <v>0</v>
      </c>
      <c r="CT228" s="1519">
        <f t="shared" si="318"/>
        <v>0</v>
      </c>
      <c r="CU228" s="1523">
        <f t="shared" si="318"/>
        <v>0</v>
      </c>
      <c r="CV228" s="1523"/>
      <c r="CW228" s="1525">
        <f t="shared" si="318"/>
        <v>0</v>
      </c>
      <c r="CX228" s="1525">
        <f t="shared" si="318"/>
        <v>0</v>
      </c>
      <c r="CY228" s="1525">
        <f t="shared" si="318"/>
        <v>0</v>
      </c>
      <c r="CZ228" s="1525">
        <f t="shared" si="318"/>
        <v>0</v>
      </c>
      <c r="DA228" s="1519">
        <f t="shared" si="318"/>
        <v>0</v>
      </c>
      <c r="DB228" s="1519">
        <f t="shared" si="318"/>
        <v>0</v>
      </c>
      <c r="DC228" s="1519">
        <f t="shared" si="318"/>
        <v>0</v>
      </c>
      <c r="DD228" s="1519">
        <f t="shared" si="318"/>
        <v>0</v>
      </c>
      <c r="DE228" s="1519">
        <f>DE86-DE220</f>
        <v>0</v>
      </c>
      <c r="DF228" s="1519">
        <f t="shared" si="318"/>
        <v>0</v>
      </c>
      <c r="DG228" s="1519">
        <f t="shared" si="318"/>
        <v>0</v>
      </c>
      <c r="DH228" s="1519">
        <f t="shared" si="318"/>
        <v>0</v>
      </c>
      <c r="DI228" s="1519">
        <f t="shared" si="318"/>
        <v>0</v>
      </c>
      <c r="DJ228" s="1527">
        <f t="shared" si="318"/>
        <v>0</v>
      </c>
      <c r="DK228" s="1519">
        <f t="shared" si="318"/>
        <v>0</v>
      </c>
      <c r="DL228" s="1519">
        <f t="shared" si="318"/>
        <v>0</v>
      </c>
      <c r="DM228" s="1519">
        <f t="shared" si="318"/>
        <v>0</v>
      </c>
      <c r="DN228" s="1519">
        <f t="shared" si="318"/>
        <v>0</v>
      </c>
      <c r="DO228" s="1519">
        <f t="shared" si="318"/>
        <v>0</v>
      </c>
      <c r="DP228" s="1520">
        <f t="shared" si="318"/>
        <v>0</v>
      </c>
      <c r="DQ228" s="1523">
        <f t="shared" si="318"/>
        <v>0</v>
      </c>
      <c r="DR228" s="1527">
        <f t="shared" si="318"/>
        <v>0</v>
      </c>
      <c r="DS228" s="1527"/>
      <c r="DT228" s="1523"/>
      <c r="DU228" s="1527"/>
      <c r="DV228" s="1525">
        <f>DV86-DV220</f>
        <v>0</v>
      </c>
      <c r="DW228" s="1528">
        <f t="shared" si="316"/>
        <v>0</v>
      </c>
      <c r="DX228" s="1518" t="s">
        <v>702</v>
      </c>
      <c r="DY228" s="659"/>
    </row>
    <row r="229" spans="1:129" ht="15" customHeight="1" outlineLevel="1" thickTop="1" thickBot="1">
      <c r="A229" s="1529" t="s">
        <v>703</v>
      </c>
      <c r="B229" s="1530">
        <f t="shared" si="317"/>
        <v>0</v>
      </c>
      <c r="C229" s="1530">
        <f t="shared" si="317"/>
        <v>0</v>
      </c>
      <c r="D229" s="1530">
        <f t="shared" si="317"/>
        <v>0</v>
      </c>
      <c r="E229" s="1530">
        <f t="shared" si="317"/>
        <v>0</v>
      </c>
      <c r="F229" s="1530">
        <f t="shared" si="317"/>
        <v>0</v>
      </c>
      <c r="G229" s="1531">
        <f t="shared" si="317"/>
        <v>0</v>
      </c>
      <c r="H229" s="1531">
        <f>H87-H221</f>
        <v>0</v>
      </c>
      <c r="I229" s="1532">
        <f t="shared" si="317"/>
        <v>0</v>
      </c>
      <c r="J229" s="1532">
        <f t="shared" si="317"/>
        <v>0</v>
      </c>
      <c r="K229" s="1532">
        <f t="shared" si="317"/>
        <v>0</v>
      </c>
      <c r="L229" s="1532">
        <f t="shared" si="317"/>
        <v>0</v>
      </c>
      <c r="M229" s="1532">
        <f t="shared" si="317"/>
        <v>0</v>
      </c>
      <c r="N229" s="1531">
        <f t="shared" si="317"/>
        <v>0</v>
      </c>
      <c r="O229" s="1531">
        <f t="shared" si="317"/>
        <v>0</v>
      </c>
      <c r="P229" s="1533">
        <f t="shared" si="317"/>
        <v>0</v>
      </c>
      <c r="Q229" s="1534">
        <f t="shared" si="317"/>
        <v>0</v>
      </c>
      <c r="R229" s="1534">
        <f t="shared" si="317"/>
        <v>0</v>
      </c>
      <c r="S229" s="1531">
        <f t="shared" si="317"/>
        <v>0</v>
      </c>
      <c r="T229" s="1531">
        <f t="shared" si="317"/>
        <v>0</v>
      </c>
      <c r="U229" s="1531">
        <f t="shared" si="317"/>
        <v>0</v>
      </c>
      <c r="V229" s="1531">
        <f t="shared" si="317"/>
        <v>0</v>
      </c>
      <c r="W229" s="1531">
        <f>W87-W221</f>
        <v>0</v>
      </c>
      <c r="X229" s="1531">
        <f>X87-X221</f>
        <v>0</v>
      </c>
      <c r="Y229" s="1530">
        <f t="shared" si="317"/>
        <v>0</v>
      </c>
      <c r="Z229" s="1531">
        <f t="shared" si="317"/>
        <v>0</v>
      </c>
      <c r="AA229" s="1530">
        <f t="shared" si="317"/>
        <v>0</v>
      </c>
      <c r="AB229" s="1530">
        <f t="shared" si="317"/>
        <v>0</v>
      </c>
      <c r="AC229" s="1530">
        <f t="shared" si="317"/>
        <v>0</v>
      </c>
      <c r="AD229" s="1530">
        <f t="shared" si="317"/>
        <v>0</v>
      </c>
      <c r="AE229" s="1530">
        <f>AE87-AE221</f>
        <v>0</v>
      </c>
      <c r="AF229" s="1530">
        <f>AF87-AF221</f>
        <v>0</v>
      </c>
      <c r="AG229" s="1530">
        <f t="shared" si="317"/>
        <v>0</v>
      </c>
      <c r="AH229" s="1530">
        <f t="shared" si="317"/>
        <v>0</v>
      </c>
      <c r="AI229" s="1530">
        <f t="shared" si="317"/>
        <v>0</v>
      </c>
      <c r="AJ229" s="1530">
        <f>AJ87-AJ221</f>
        <v>0</v>
      </c>
      <c r="AK229" s="1530">
        <f>AK87-AK221</f>
        <v>0</v>
      </c>
      <c r="AL229" s="1530">
        <f t="shared" si="317"/>
        <v>0</v>
      </c>
      <c r="AM229" s="1533">
        <f t="shared" si="317"/>
        <v>0</v>
      </c>
      <c r="AN229" s="1533">
        <f t="shared" si="317"/>
        <v>0</v>
      </c>
      <c r="AO229" s="1533">
        <f t="shared" si="317"/>
        <v>0</v>
      </c>
      <c r="AP229" s="1533">
        <f t="shared" si="317"/>
        <v>0</v>
      </c>
      <c r="AQ229" s="1531">
        <f t="shared" si="317"/>
        <v>0</v>
      </c>
      <c r="AR229" s="1531">
        <f t="shared" si="317"/>
        <v>0</v>
      </c>
      <c r="AS229" s="1531">
        <f t="shared" si="317"/>
        <v>0</v>
      </c>
      <c r="AT229" s="1531">
        <f t="shared" si="317"/>
        <v>0</v>
      </c>
      <c r="AU229" s="1531">
        <f t="shared" si="317"/>
        <v>0</v>
      </c>
      <c r="AV229" s="1531">
        <f t="shared" si="317"/>
        <v>0</v>
      </c>
      <c r="AW229" s="1531">
        <f t="shared" si="317"/>
        <v>0</v>
      </c>
      <c r="AX229" s="1531">
        <f t="shared" si="317"/>
        <v>0</v>
      </c>
      <c r="AY229" s="1530">
        <f t="shared" si="317"/>
        <v>0</v>
      </c>
      <c r="AZ229" s="1530">
        <f t="shared" si="317"/>
        <v>0</v>
      </c>
      <c r="BA229" s="1530">
        <f t="shared" si="317"/>
        <v>0</v>
      </c>
      <c r="BB229" s="1530">
        <f t="shared" si="317"/>
        <v>0</v>
      </c>
      <c r="BC229" s="1530">
        <f t="shared" si="317"/>
        <v>0</v>
      </c>
      <c r="BD229" s="1530">
        <f t="shared" si="317"/>
        <v>0</v>
      </c>
      <c r="BE229" s="1530">
        <f t="shared" si="317"/>
        <v>0</v>
      </c>
      <c r="BF229" s="1530">
        <f t="shared" si="317"/>
        <v>0</v>
      </c>
      <c r="BG229" s="1530">
        <f t="shared" si="317"/>
        <v>0</v>
      </c>
      <c r="BH229" s="1530">
        <f>BH87-BH221</f>
        <v>0</v>
      </c>
      <c r="BI229" s="1530">
        <f>BI87-BI221</f>
        <v>0</v>
      </c>
      <c r="BJ229" s="1530">
        <f t="shared" si="317"/>
        <v>0</v>
      </c>
      <c r="BK229" s="1530">
        <f t="shared" si="317"/>
        <v>0</v>
      </c>
      <c r="BL229" s="1530">
        <f t="shared" si="317"/>
        <v>0</v>
      </c>
      <c r="BM229" s="1530">
        <f t="shared" si="317"/>
        <v>0</v>
      </c>
      <c r="BN229" s="1530">
        <f t="shared" si="318"/>
        <v>0</v>
      </c>
      <c r="BO229" s="1530">
        <f t="shared" si="318"/>
        <v>0</v>
      </c>
      <c r="BP229" s="1530">
        <f t="shared" si="318"/>
        <v>0</v>
      </c>
      <c r="BQ229" s="1530">
        <f t="shared" si="318"/>
        <v>0</v>
      </c>
      <c r="BR229" s="1530">
        <f>BR87-BR221</f>
        <v>0</v>
      </c>
      <c r="BS229" s="1530">
        <f>BS87-BS221</f>
        <v>0</v>
      </c>
      <c r="BT229" s="1530">
        <f t="shared" si="318"/>
        <v>0</v>
      </c>
      <c r="BU229" s="1530">
        <f t="shared" si="318"/>
        <v>0</v>
      </c>
      <c r="BV229" s="1530">
        <f t="shared" si="318"/>
        <v>0</v>
      </c>
      <c r="BW229" s="1530">
        <f t="shared" si="318"/>
        <v>0</v>
      </c>
      <c r="BX229" s="1530">
        <f t="shared" si="318"/>
        <v>0</v>
      </c>
      <c r="BY229" s="1530">
        <f t="shared" si="318"/>
        <v>0</v>
      </c>
      <c r="BZ229" s="1530">
        <f t="shared" si="318"/>
        <v>0</v>
      </c>
      <c r="CA229" s="1530">
        <f t="shared" si="318"/>
        <v>0</v>
      </c>
      <c r="CB229" s="1530">
        <f t="shared" si="318"/>
        <v>0</v>
      </c>
      <c r="CC229" s="1530">
        <f t="shared" si="318"/>
        <v>0</v>
      </c>
      <c r="CD229" s="1533">
        <f t="shared" si="318"/>
        <v>0</v>
      </c>
      <c r="CE229" s="1533">
        <f t="shared" si="318"/>
        <v>0</v>
      </c>
      <c r="CF229" s="1533">
        <f t="shared" si="318"/>
        <v>0</v>
      </c>
      <c r="CG229" s="1533">
        <f>CG87-CG221</f>
        <v>0</v>
      </c>
      <c r="CH229" s="1533">
        <f>CH87-CH221</f>
        <v>0</v>
      </c>
      <c r="CI229" s="1533">
        <f t="shared" si="311"/>
        <v>0</v>
      </c>
      <c r="CJ229" s="1533">
        <f t="shared" si="311"/>
        <v>0</v>
      </c>
      <c r="CK229" s="1530">
        <f t="shared" si="318"/>
        <v>0</v>
      </c>
      <c r="CL229" s="1530">
        <f t="shared" si="318"/>
        <v>0</v>
      </c>
      <c r="CM229" s="1530">
        <f t="shared" si="318"/>
        <v>0</v>
      </c>
      <c r="CN229" s="1530">
        <f t="shared" si="318"/>
        <v>0</v>
      </c>
      <c r="CO229" s="1530">
        <f t="shared" si="318"/>
        <v>0</v>
      </c>
      <c r="CP229" s="1532">
        <f t="shared" si="318"/>
        <v>0</v>
      </c>
      <c r="CQ229" s="1532">
        <f>CQ87-CQ221</f>
        <v>0</v>
      </c>
      <c r="CR229" s="1530">
        <f t="shared" si="318"/>
        <v>0</v>
      </c>
      <c r="CS229" s="1530">
        <f>CS87-CS221</f>
        <v>0</v>
      </c>
      <c r="CT229" s="1530">
        <f t="shared" si="318"/>
        <v>0</v>
      </c>
      <c r="CU229" s="1531">
        <f t="shared" si="318"/>
        <v>0</v>
      </c>
      <c r="CV229" s="1531"/>
      <c r="CW229" s="1532">
        <f t="shared" si="318"/>
        <v>0</v>
      </c>
      <c r="CX229" s="1532">
        <f t="shared" si="318"/>
        <v>0</v>
      </c>
      <c r="CY229" s="1532">
        <f t="shared" si="318"/>
        <v>0</v>
      </c>
      <c r="CZ229" s="1532">
        <f t="shared" si="318"/>
        <v>0</v>
      </c>
      <c r="DA229" s="1530">
        <f t="shared" si="318"/>
        <v>0</v>
      </c>
      <c r="DB229" s="1530">
        <f t="shared" si="318"/>
        <v>0</v>
      </c>
      <c r="DC229" s="1530">
        <f t="shared" si="318"/>
        <v>0</v>
      </c>
      <c r="DD229" s="1530">
        <f t="shared" si="318"/>
        <v>0</v>
      </c>
      <c r="DE229" s="1530">
        <f>DE87-DE221</f>
        <v>0</v>
      </c>
      <c r="DF229" s="1530">
        <f t="shared" si="318"/>
        <v>0</v>
      </c>
      <c r="DG229" s="1530">
        <f t="shared" si="318"/>
        <v>0</v>
      </c>
      <c r="DH229" s="1530">
        <f t="shared" si="318"/>
        <v>0</v>
      </c>
      <c r="DI229" s="1530">
        <f t="shared" si="318"/>
        <v>0</v>
      </c>
      <c r="DJ229" s="1530">
        <f t="shared" si="318"/>
        <v>0</v>
      </c>
      <c r="DK229" s="1530">
        <f t="shared" si="318"/>
        <v>0</v>
      </c>
      <c r="DL229" s="1530">
        <f t="shared" si="318"/>
        <v>0</v>
      </c>
      <c r="DM229" s="1530">
        <f t="shared" si="318"/>
        <v>0</v>
      </c>
      <c r="DN229" s="1530">
        <f t="shared" si="318"/>
        <v>0</v>
      </c>
      <c r="DO229" s="1530">
        <f t="shared" si="318"/>
        <v>0</v>
      </c>
      <c r="DP229" s="1531">
        <f t="shared" si="318"/>
        <v>0</v>
      </c>
      <c r="DQ229" s="1532">
        <f t="shared" si="318"/>
        <v>0</v>
      </c>
      <c r="DR229" s="1532">
        <f t="shared" si="318"/>
        <v>0</v>
      </c>
      <c r="DS229" s="1532"/>
      <c r="DT229" s="1532"/>
      <c r="DU229" s="1532"/>
      <c r="DV229" s="1532">
        <f>DV87-DV221</f>
        <v>0</v>
      </c>
      <c r="DW229" s="1535">
        <f t="shared" si="316"/>
        <v>0</v>
      </c>
      <c r="DX229" s="1536" t="s">
        <v>703</v>
      </c>
      <c r="DY229" s="659"/>
    </row>
    <row r="230" spans="1:129" ht="16.5" customHeight="1" collapsed="1" thickTop="1">
      <c r="A230" s="1537"/>
      <c r="B230" s="1537"/>
      <c r="C230" s="1537"/>
      <c r="D230" s="1537"/>
      <c r="E230" s="1537"/>
      <c r="F230" s="1537"/>
      <c r="G230" s="1537"/>
      <c r="H230" s="1537"/>
      <c r="I230" s="1537"/>
      <c r="J230" s="1537"/>
      <c r="K230" s="1537"/>
      <c r="L230" s="1537"/>
      <c r="M230" s="1537"/>
      <c r="N230" s="1537"/>
      <c r="O230" s="1537"/>
      <c r="P230" s="1537"/>
      <c r="Q230" s="1537"/>
      <c r="R230" s="1537"/>
      <c r="S230" s="1537"/>
      <c r="T230" s="1537"/>
      <c r="U230" s="1537"/>
      <c r="V230" s="1537"/>
      <c r="W230" s="1537"/>
      <c r="X230" s="1537"/>
      <c r="Y230" s="1537"/>
      <c r="Z230" s="1537"/>
      <c r="AA230" s="1537"/>
      <c r="AB230" s="1537"/>
      <c r="AC230" s="1537"/>
      <c r="AD230" s="1537"/>
      <c r="AE230" s="1537"/>
      <c r="AF230" s="1537"/>
      <c r="AG230" s="1537"/>
      <c r="AH230" s="1537"/>
      <c r="AI230" s="1537"/>
      <c r="AJ230" s="1537"/>
      <c r="AK230" s="1537"/>
      <c r="AL230" s="1537"/>
      <c r="AM230" s="1537"/>
      <c r="AN230" s="1537"/>
      <c r="AO230" s="1537"/>
      <c r="AP230" s="1537"/>
      <c r="AQ230" s="1537"/>
      <c r="AR230" s="1537"/>
      <c r="AS230" s="1537"/>
      <c r="AT230" s="1537"/>
      <c r="AU230" s="1537"/>
      <c r="AV230" s="1537"/>
      <c r="AW230" s="1537"/>
      <c r="AX230" s="1537"/>
      <c r="AY230" s="1537"/>
      <c r="AZ230" s="1537"/>
      <c r="BA230" s="1537"/>
      <c r="BB230" s="1537"/>
      <c r="BC230" s="1537"/>
      <c r="BD230" s="1537"/>
      <c r="BE230" s="1537"/>
      <c r="BF230" s="1537"/>
      <c r="BG230" s="1537"/>
      <c r="BH230" s="1537"/>
      <c r="BI230" s="1537"/>
      <c r="BJ230" s="1537"/>
      <c r="BK230" s="1537"/>
      <c r="BL230" s="1537"/>
      <c r="BM230" s="1537"/>
      <c r="BN230" s="1537"/>
      <c r="BO230" s="1537"/>
      <c r="BP230" s="1537"/>
      <c r="BQ230" s="1537"/>
      <c r="BR230" s="1537"/>
      <c r="BS230" s="1537"/>
      <c r="BT230" s="1537"/>
      <c r="BU230" s="1537"/>
      <c r="BV230" s="1537"/>
      <c r="BW230" s="1537"/>
      <c r="BX230" s="1537"/>
      <c r="BY230" s="1537"/>
      <c r="BZ230" s="1537"/>
      <c r="CA230" s="1537"/>
      <c r="CB230" s="1537"/>
      <c r="CC230" s="1537"/>
      <c r="CD230" s="1537"/>
      <c r="CE230" s="1537"/>
      <c r="CF230" s="1537"/>
      <c r="CG230" s="1537"/>
      <c r="CH230" s="1537"/>
      <c r="CI230" s="1537"/>
      <c r="CJ230" s="1537"/>
      <c r="CK230" s="1537"/>
      <c r="CL230" s="1537"/>
      <c r="CM230" s="1537"/>
      <c r="CN230" s="1537"/>
      <c r="CO230" s="1537"/>
      <c r="CP230" s="1537"/>
      <c r="CQ230" s="1537"/>
      <c r="CR230" s="1537"/>
      <c r="CS230" s="1537"/>
      <c r="CT230" s="1537"/>
      <c r="CU230" s="1537"/>
      <c r="CV230" s="1537"/>
      <c r="CW230" s="1537"/>
      <c r="CX230" s="1537"/>
      <c r="CY230" s="1537"/>
      <c r="CZ230" s="1537"/>
      <c r="DA230" s="1537"/>
      <c r="DB230" s="1537"/>
      <c r="DC230" s="1537"/>
      <c r="DD230" s="1537"/>
      <c r="DE230" s="1537"/>
      <c r="DF230" s="1537"/>
      <c r="DG230" s="1537"/>
      <c r="DH230" s="1537"/>
      <c r="DI230" s="1537"/>
      <c r="DJ230" s="1537"/>
      <c r="DK230" s="1537"/>
      <c r="DL230" s="1537"/>
      <c r="DM230" s="1537"/>
      <c r="DN230" s="1537"/>
      <c r="DO230" s="1537"/>
      <c r="DP230" s="1537"/>
      <c r="DQ230" s="1537"/>
      <c r="DR230" s="1537"/>
      <c r="DS230" s="1537"/>
      <c r="DT230" s="1537"/>
      <c r="DU230" s="1537"/>
      <c r="DV230" s="1537"/>
      <c r="DW230" s="1537"/>
      <c r="DX230" s="1538"/>
      <c r="DY230" s="659"/>
    </row>
    <row r="231" spans="1:129" ht="14.4">
      <c r="A231" s="1539" t="s">
        <v>704</v>
      </c>
      <c r="B231" s="1537"/>
      <c r="C231" s="1537"/>
      <c r="D231" s="1537"/>
      <c r="E231" s="1537"/>
      <c r="F231" s="1537"/>
      <c r="G231" s="1537"/>
      <c r="H231" s="1537"/>
      <c r="I231" s="1537"/>
      <c r="J231" s="1537"/>
      <c r="K231" s="1537"/>
      <c r="L231" s="1537"/>
      <c r="M231" s="1537"/>
      <c r="N231" s="1537"/>
      <c r="O231" s="1537"/>
      <c r="P231" s="1537"/>
      <c r="Q231" s="1537"/>
      <c r="R231" s="1537"/>
      <c r="S231" s="1537"/>
      <c r="T231" s="1537"/>
      <c r="U231" s="1537"/>
      <c r="V231" s="1537"/>
      <c r="W231" s="1537"/>
      <c r="X231" s="1537"/>
      <c r="Y231" s="1537"/>
      <c r="Z231" s="1537"/>
      <c r="AA231" s="1537"/>
      <c r="AB231" s="1537"/>
      <c r="AC231" s="1537"/>
      <c r="AD231" s="1537"/>
      <c r="AE231" s="1537"/>
      <c r="AF231" s="1537"/>
      <c r="AG231" s="1537"/>
      <c r="AH231" s="1537"/>
      <c r="AI231" s="1537"/>
      <c r="AJ231" s="1537"/>
      <c r="AK231" s="1537"/>
      <c r="AL231" s="1537"/>
      <c r="AM231" s="1537"/>
      <c r="AN231" s="1537"/>
      <c r="AO231" s="1537"/>
      <c r="AP231" s="1537"/>
      <c r="AQ231" s="1537"/>
      <c r="AR231" s="1537"/>
      <c r="AS231" s="1537"/>
      <c r="AT231" s="1537"/>
      <c r="AU231" s="1537"/>
      <c r="AV231" s="1537"/>
      <c r="AW231" s="1537"/>
      <c r="AX231" s="1537"/>
      <c r="AY231" s="1537"/>
      <c r="AZ231" s="1537"/>
      <c r="BA231" s="1537"/>
      <c r="BB231" s="1537"/>
      <c r="BC231" s="1537"/>
      <c r="BD231" s="1537"/>
      <c r="BE231" s="1537"/>
      <c r="BF231" s="1537"/>
      <c r="BG231" s="1537"/>
      <c r="BH231" s="1537"/>
      <c r="BI231" s="1537"/>
      <c r="BJ231" s="1537"/>
      <c r="BK231" s="1537"/>
      <c r="BL231" s="1537"/>
      <c r="BM231" s="1537"/>
      <c r="BN231" s="1537"/>
      <c r="BO231" s="1537"/>
      <c r="BP231" s="1537"/>
      <c r="BQ231" s="1537"/>
      <c r="BR231" s="1537"/>
      <c r="BS231" s="1537"/>
      <c r="BT231" s="1537"/>
      <c r="BU231" s="1537"/>
      <c r="BV231" s="1537"/>
      <c r="BW231" s="1537"/>
      <c r="BX231" s="1537"/>
      <c r="BY231" s="1537"/>
      <c r="BZ231" s="1537"/>
      <c r="CA231" s="1537"/>
      <c r="CB231" s="1537"/>
      <c r="CC231" s="1537"/>
      <c r="CD231" s="1537"/>
      <c r="CE231" s="1537"/>
      <c r="CF231" s="1537"/>
      <c r="CG231" s="1537"/>
      <c r="CH231" s="1537"/>
      <c r="CI231" s="1537"/>
      <c r="CJ231" s="1537"/>
      <c r="CK231" s="1537"/>
      <c r="CL231" s="1537"/>
      <c r="CM231" s="1537"/>
      <c r="CN231" s="1537"/>
      <c r="CO231" s="1537"/>
      <c r="CP231" s="1537"/>
      <c r="CQ231" s="1537"/>
      <c r="CR231" s="1537"/>
      <c r="CS231" s="1537"/>
      <c r="CT231" s="1537"/>
      <c r="CU231" s="1537"/>
      <c r="CV231" s="1537"/>
      <c r="CW231" s="1537"/>
      <c r="CX231" s="1537"/>
      <c r="CY231" s="1537"/>
      <c r="CZ231" s="1537"/>
      <c r="DA231" s="1537"/>
      <c r="DB231" s="1537"/>
      <c r="DC231" s="1537"/>
      <c r="DD231" s="1537"/>
      <c r="DE231" s="1537"/>
      <c r="DF231" s="1537"/>
      <c r="DG231" s="1537"/>
      <c r="DH231" s="1537"/>
      <c r="DI231" s="1537"/>
      <c r="DJ231" s="1537"/>
      <c r="DK231" s="1537"/>
      <c r="DL231" s="1537"/>
      <c r="DM231" s="1537"/>
      <c r="DN231" s="1537"/>
      <c r="DO231" s="1537"/>
      <c r="DP231" s="1537"/>
      <c r="DQ231" s="1537"/>
      <c r="DR231" s="1537"/>
      <c r="DS231" s="1537"/>
      <c r="DT231" s="1537"/>
      <c r="DU231" s="1537"/>
      <c r="DV231" s="1537"/>
      <c r="DW231" s="1537"/>
      <c r="DX231" s="1537"/>
      <c r="DY231" s="659"/>
    </row>
    <row r="232" spans="1:129" s="1542" customFormat="1" ht="13.5" customHeight="1">
      <c r="A232" s="1540" t="s">
        <v>924</v>
      </c>
      <c r="B232" s="1832">
        <v>3419.9859999999999</v>
      </c>
      <c r="C232" s="1832">
        <v>184.364</v>
      </c>
      <c r="D232" s="1832">
        <v>1352.3320000000001</v>
      </c>
      <c r="E232" s="1832">
        <v>444.37</v>
      </c>
      <c r="F232" s="1832">
        <v>1891.44</v>
      </c>
      <c r="G232" s="1832">
        <v>174</v>
      </c>
      <c r="H232" s="1832">
        <v>0</v>
      </c>
      <c r="I232" s="1832">
        <v>668.99800000000005</v>
      </c>
      <c r="J232" s="1832">
        <v>1537.76</v>
      </c>
      <c r="K232" s="1832">
        <v>703.12</v>
      </c>
      <c r="L232" s="1832">
        <v>880.11</v>
      </c>
      <c r="M232" s="1832">
        <v>0</v>
      </c>
      <c r="N232" s="1832">
        <v>679.32</v>
      </c>
      <c r="O232" s="1832">
        <v>251.6</v>
      </c>
      <c r="P232" s="1832">
        <v>624.55999999999995</v>
      </c>
      <c r="Q232" s="1832">
        <v>362.88</v>
      </c>
      <c r="R232" s="1832">
        <v>408</v>
      </c>
      <c r="S232" s="1832">
        <v>19175.52</v>
      </c>
      <c r="T232" s="1832">
        <v>521</v>
      </c>
      <c r="U232" s="1832">
        <v>1659.6</v>
      </c>
      <c r="V232" s="1832">
        <v>847.2</v>
      </c>
      <c r="W232" s="1832">
        <v>0</v>
      </c>
      <c r="X232" s="1832">
        <v>0</v>
      </c>
      <c r="Y232" s="1832">
        <v>3093.57</v>
      </c>
      <c r="Z232" s="1832">
        <v>195.36</v>
      </c>
      <c r="AA232" s="1832">
        <v>2693.76</v>
      </c>
      <c r="AB232" s="1832">
        <v>910.8</v>
      </c>
      <c r="AC232" s="1832">
        <v>51.6</v>
      </c>
      <c r="AD232" s="1832">
        <v>1560</v>
      </c>
      <c r="AE232" s="1832">
        <v>0</v>
      </c>
      <c r="AF232" s="1832">
        <v>0</v>
      </c>
      <c r="AG232" s="1832">
        <v>1579.2</v>
      </c>
      <c r="AH232" s="1832">
        <v>104.16</v>
      </c>
      <c r="AI232" s="1832">
        <v>4809.6000000000004</v>
      </c>
      <c r="AJ232" s="1832">
        <v>0</v>
      </c>
      <c r="AK232" s="1832">
        <v>6624</v>
      </c>
      <c r="AL232" s="1832">
        <v>805.46</v>
      </c>
      <c r="AM232" s="1832">
        <v>17223</v>
      </c>
      <c r="AN232" s="1832">
        <v>108</v>
      </c>
      <c r="AO232" s="1832">
        <v>1470</v>
      </c>
      <c r="AP232" s="1832">
        <v>45.6</v>
      </c>
      <c r="AQ232" s="1832">
        <v>920</v>
      </c>
      <c r="AR232" s="1832">
        <v>239.2</v>
      </c>
      <c r="AS232" s="1832">
        <v>102.675</v>
      </c>
      <c r="AT232" s="1832">
        <v>75.16</v>
      </c>
      <c r="AU232" s="1832">
        <v>34.545000000000002</v>
      </c>
      <c r="AV232" s="1832">
        <v>0</v>
      </c>
      <c r="AW232" s="1833">
        <v>0</v>
      </c>
      <c r="AX232" s="1833">
        <v>0</v>
      </c>
      <c r="AY232" s="1832">
        <v>2005.5</v>
      </c>
      <c r="AZ232" s="1832">
        <v>317.625</v>
      </c>
      <c r="BA232" s="1832">
        <v>542</v>
      </c>
      <c r="BB232" s="1832">
        <v>2219.1999999999998</v>
      </c>
      <c r="BC232" s="1832">
        <v>238.8</v>
      </c>
      <c r="BD232" s="1832">
        <v>657</v>
      </c>
      <c r="BE232" s="1832">
        <v>162</v>
      </c>
      <c r="BF232" s="1832">
        <v>0</v>
      </c>
      <c r="BG232" s="1832">
        <v>0</v>
      </c>
      <c r="BH232" s="1832">
        <v>0</v>
      </c>
      <c r="BI232" s="1832">
        <v>0</v>
      </c>
      <c r="BJ232" s="1832">
        <v>822</v>
      </c>
      <c r="BK232" s="1832">
        <v>72.5</v>
      </c>
      <c r="BL232" s="1832">
        <v>199.2</v>
      </c>
      <c r="BM232" s="1832">
        <v>9141.3799999999992</v>
      </c>
      <c r="BN232" s="1832">
        <v>59.625</v>
      </c>
      <c r="BO232" s="1832">
        <v>5755.8</v>
      </c>
      <c r="BP232" s="1832">
        <v>0</v>
      </c>
      <c r="BQ232" s="1832">
        <v>162</v>
      </c>
      <c r="BR232" s="1832">
        <v>0</v>
      </c>
      <c r="BS232" s="1832">
        <v>0</v>
      </c>
      <c r="BT232" s="1832">
        <v>480</v>
      </c>
      <c r="BU232" s="1832">
        <v>518.4</v>
      </c>
      <c r="BV232" s="1832">
        <v>858</v>
      </c>
      <c r="BW232" s="1832">
        <v>2158.5</v>
      </c>
      <c r="BX232" s="1832">
        <v>246</v>
      </c>
      <c r="BY232" s="1832">
        <v>0</v>
      </c>
      <c r="BZ232" s="1832">
        <v>363.42</v>
      </c>
      <c r="CA232" s="1832">
        <v>18047.400000000001</v>
      </c>
      <c r="CB232" s="1832">
        <v>167.4</v>
      </c>
      <c r="CC232" s="1832">
        <v>0</v>
      </c>
      <c r="CD232" s="1832">
        <v>33957</v>
      </c>
      <c r="CE232" s="1832">
        <v>10283.4</v>
      </c>
      <c r="CF232" s="1832">
        <v>192</v>
      </c>
      <c r="CG232" s="1832">
        <v>2334.96</v>
      </c>
      <c r="CH232" s="1832">
        <v>633</v>
      </c>
      <c r="CI232" s="1832">
        <v>0</v>
      </c>
      <c r="CJ232" s="1832">
        <v>0</v>
      </c>
      <c r="CK232" s="1832">
        <v>288</v>
      </c>
      <c r="CL232" s="1832">
        <v>225</v>
      </c>
      <c r="CM232" s="1832">
        <v>160.19999999999999</v>
      </c>
      <c r="CN232" s="1832">
        <v>382.2</v>
      </c>
      <c r="CO232" s="1832">
        <v>190.5</v>
      </c>
      <c r="CP232" s="1832">
        <v>585</v>
      </c>
      <c r="CQ232" s="1832">
        <v>0</v>
      </c>
      <c r="CR232" s="1832">
        <v>441</v>
      </c>
      <c r="CS232" s="1832">
        <v>0</v>
      </c>
      <c r="CT232" s="1832">
        <v>418.2</v>
      </c>
      <c r="CU232" s="1832">
        <v>1746.36</v>
      </c>
      <c r="CV232" s="1832">
        <v>0</v>
      </c>
      <c r="CW232" s="1832">
        <v>983.34</v>
      </c>
      <c r="CX232" s="1832">
        <v>86.4</v>
      </c>
      <c r="CY232" s="1832">
        <v>477</v>
      </c>
      <c r="CZ232" s="1832">
        <v>271.08</v>
      </c>
      <c r="DA232" s="1832">
        <v>1332.75</v>
      </c>
      <c r="DB232" s="1832">
        <v>11889.75</v>
      </c>
      <c r="DC232" s="1832">
        <v>5166</v>
      </c>
      <c r="DD232" s="1832">
        <v>810</v>
      </c>
      <c r="DE232" s="1832">
        <v>0</v>
      </c>
      <c r="DF232" s="1832">
        <v>1177.5</v>
      </c>
      <c r="DG232" s="1832">
        <v>66</v>
      </c>
      <c r="DH232" s="1832">
        <v>345</v>
      </c>
      <c r="DI232" s="1832">
        <v>205.2</v>
      </c>
      <c r="DJ232" s="1832">
        <v>580.5</v>
      </c>
      <c r="DK232" s="1832">
        <v>1098</v>
      </c>
      <c r="DL232" s="1832">
        <v>42</v>
      </c>
      <c r="DM232" s="1832">
        <v>57</v>
      </c>
      <c r="DN232" s="1832">
        <v>51</v>
      </c>
      <c r="DO232" s="1832">
        <v>360</v>
      </c>
      <c r="DP232" s="1832">
        <v>1464</v>
      </c>
      <c r="DQ232" s="1541"/>
      <c r="DR232" s="1541"/>
      <c r="DS232" s="1541"/>
      <c r="DT232" s="1541"/>
      <c r="DU232" s="1541"/>
      <c r="DV232" s="1541"/>
      <c r="DW232" s="1541">
        <v>134164.329</v>
      </c>
      <c r="DX232" s="1540" t="str">
        <f>A232</f>
        <v>заявка 46 к.н.</v>
      </c>
    </row>
    <row r="233" spans="1:129" s="1542" customFormat="1" ht="13.5" customHeight="1">
      <c r="A233" s="1540" t="s">
        <v>925</v>
      </c>
      <c r="B233" s="1832">
        <v>2432.6680000000001</v>
      </c>
      <c r="C233" s="1832">
        <v>112.09399999999999</v>
      </c>
      <c r="D233" s="1832">
        <v>2749.2840000000001</v>
      </c>
      <c r="E233" s="1832">
        <v>391.39400000000001</v>
      </c>
      <c r="F233" s="1832">
        <v>1820.4</v>
      </c>
      <c r="G233" s="1832">
        <v>144</v>
      </c>
      <c r="H233" s="1832">
        <v>0</v>
      </c>
      <c r="I233" s="1832">
        <v>2111.076</v>
      </c>
      <c r="J233" s="1832">
        <v>1492.96</v>
      </c>
      <c r="K233" s="1832">
        <v>540.654</v>
      </c>
      <c r="L233" s="1832">
        <v>806.4</v>
      </c>
      <c r="M233" s="1832">
        <v>0</v>
      </c>
      <c r="N233" s="1832">
        <v>686.72</v>
      </c>
      <c r="O233" s="1832">
        <v>372.96</v>
      </c>
      <c r="P233" s="1832">
        <v>512.08000000000004</v>
      </c>
      <c r="Q233" s="1832">
        <v>719.04</v>
      </c>
      <c r="R233" s="1832">
        <v>1004</v>
      </c>
      <c r="S233" s="1832">
        <v>30254.560000000001</v>
      </c>
      <c r="T233" s="1832">
        <v>742.4</v>
      </c>
      <c r="U233" s="1832">
        <v>2458.8000000000002</v>
      </c>
      <c r="V233" s="1832">
        <v>902.4</v>
      </c>
      <c r="W233" s="1832">
        <v>0</v>
      </c>
      <c r="X233" s="1832">
        <v>0</v>
      </c>
      <c r="Y233" s="1832">
        <v>3523.14</v>
      </c>
      <c r="Z233" s="1832">
        <v>144.30000000000001</v>
      </c>
      <c r="AA233" s="1832">
        <v>2697.44</v>
      </c>
      <c r="AB233" s="1832">
        <v>3006.12</v>
      </c>
      <c r="AC233" s="1832">
        <v>116.4</v>
      </c>
      <c r="AD233" s="1832">
        <v>2628</v>
      </c>
      <c r="AE233" s="1832">
        <v>0</v>
      </c>
      <c r="AF233" s="1832">
        <v>0</v>
      </c>
      <c r="AG233" s="1832">
        <v>2986.2</v>
      </c>
      <c r="AH233" s="1832">
        <v>152.32</v>
      </c>
      <c r="AI233" s="1832">
        <v>6732</v>
      </c>
      <c r="AJ233" s="1832">
        <v>0</v>
      </c>
      <c r="AK233" s="1832">
        <v>364.8</v>
      </c>
      <c r="AL233" s="1832">
        <v>2360.7199999999998</v>
      </c>
      <c r="AM233" s="1832">
        <v>9738</v>
      </c>
      <c r="AN233" s="1832">
        <v>108</v>
      </c>
      <c r="AO233" s="1832">
        <v>1710</v>
      </c>
      <c r="AP233" s="1832">
        <v>38.4</v>
      </c>
      <c r="AQ233" s="1832">
        <v>975.2</v>
      </c>
      <c r="AR233" s="1832">
        <v>277.16000000000003</v>
      </c>
      <c r="AS233" s="1832">
        <v>88.655000000000001</v>
      </c>
      <c r="AT233" s="1832">
        <v>124.595</v>
      </c>
      <c r="AU233" s="1832">
        <v>33.11</v>
      </c>
      <c r="AV233" s="1832">
        <v>0</v>
      </c>
      <c r="AW233" s="1833">
        <v>0</v>
      </c>
      <c r="AX233" s="1833">
        <v>0</v>
      </c>
      <c r="AY233" s="1832">
        <v>1863.25</v>
      </c>
      <c r="AZ233" s="1832">
        <v>324</v>
      </c>
      <c r="BA233" s="1832">
        <v>952</v>
      </c>
      <c r="BB233" s="1832">
        <v>2166.8000000000002</v>
      </c>
      <c r="BC233" s="1832">
        <v>244.8</v>
      </c>
      <c r="BD233" s="1832">
        <v>772.5</v>
      </c>
      <c r="BE233" s="1832">
        <v>135</v>
      </c>
      <c r="BF233" s="1832">
        <v>0</v>
      </c>
      <c r="BG233" s="1832">
        <v>0</v>
      </c>
      <c r="BH233" s="1832">
        <v>0</v>
      </c>
      <c r="BI233" s="1832">
        <v>0</v>
      </c>
      <c r="BJ233" s="1832">
        <v>890</v>
      </c>
      <c r="BK233" s="1832">
        <v>77.5</v>
      </c>
      <c r="BL233" s="1832">
        <v>114.4</v>
      </c>
      <c r="BM233" s="1832">
        <v>3001</v>
      </c>
      <c r="BN233" s="1832">
        <v>104</v>
      </c>
      <c r="BO233" s="1832">
        <v>6212.6</v>
      </c>
      <c r="BP233" s="1832">
        <v>0</v>
      </c>
      <c r="BQ233" s="1832">
        <v>123</v>
      </c>
      <c r="BR233" s="1832">
        <v>0</v>
      </c>
      <c r="BS233" s="1832">
        <v>0</v>
      </c>
      <c r="BT233" s="1832">
        <v>613.6</v>
      </c>
      <c r="BU233" s="1832">
        <v>423.6</v>
      </c>
      <c r="BV233" s="1832">
        <v>910.5</v>
      </c>
      <c r="BW233" s="1832">
        <v>2044.75</v>
      </c>
      <c r="BX233" s="1832">
        <v>534</v>
      </c>
      <c r="BY233" s="1832">
        <v>0</v>
      </c>
      <c r="BZ233" s="1832">
        <v>462.42</v>
      </c>
      <c r="CA233" s="1832">
        <v>3995.04</v>
      </c>
      <c r="CB233" s="1832">
        <v>151.19999999999999</v>
      </c>
      <c r="CC233" s="1832">
        <v>0</v>
      </c>
      <c r="CD233" s="1832">
        <v>16488</v>
      </c>
      <c r="CE233" s="1832">
        <v>22080</v>
      </c>
      <c r="CF233" s="1832">
        <v>228</v>
      </c>
      <c r="CG233" s="1832">
        <v>2337.12</v>
      </c>
      <c r="CH233" s="1832">
        <v>720</v>
      </c>
      <c r="CI233" s="1832">
        <v>0</v>
      </c>
      <c r="CJ233" s="1832">
        <v>0</v>
      </c>
      <c r="CK233" s="1832">
        <v>480</v>
      </c>
      <c r="CL233" s="1832">
        <v>308.8</v>
      </c>
      <c r="CM233" s="1832">
        <v>351.6</v>
      </c>
      <c r="CN233" s="1832">
        <v>254.4</v>
      </c>
      <c r="CO233" s="1832">
        <v>76.5</v>
      </c>
      <c r="CP233" s="1832">
        <v>339</v>
      </c>
      <c r="CQ233" s="1832">
        <v>0</v>
      </c>
      <c r="CR233" s="1832">
        <v>978</v>
      </c>
      <c r="CS233" s="1832">
        <v>0</v>
      </c>
      <c r="CT233" s="1832">
        <v>489</v>
      </c>
      <c r="CU233" s="1832">
        <v>1937.52</v>
      </c>
      <c r="CV233" s="1832">
        <v>72</v>
      </c>
      <c r="CW233" s="1832">
        <v>1773.9</v>
      </c>
      <c r="CX233" s="1832">
        <v>86.4</v>
      </c>
      <c r="CY233" s="1832">
        <v>594</v>
      </c>
      <c r="CZ233" s="1832">
        <v>304.74</v>
      </c>
      <c r="DA233" s="1832">
        <v>1714</v>
      </c>
      <c r="DB233" s="1832">
        <v>4833</v>
      </c>
      <c r="DC233" s="1832">
        <v>5826</v>
      </c>
      <c r="DD233" s="1832">
        <v>942</v>
      </c>
      <c r="DE233" s="1832">
        <v>0</v>
      </c>
      <c r="DF233" s="1832">
        <v>1387.5</v>
      </c>
      <c r="DG233" s="1832">
        <v>76.5</v>
      </c>
      <c r="DH233" s="1832">
        <v>405</v>
      </c>
      <c r="DI233" s="1832">
        <v>340.8</v>
      </c>
      <c r="DJ233" s="1832">
        <v>1051</v>
      </c>
      <c r="DK233" s="1832">
        <v>1984</v>
      </c>
      <c r="DL233" s="1832">
        <v>90</v>
      </c>
      <c r="DM233" s="1832">
        <v>110</v>
      </c>
      <c r="DN233" s="1832">
        <v>16.5</v>
      </c>
      <c r="DO233" s="1832">
        <v>456</v>
      </c>
      <c r="DP233" s="1832">
        <v>1788</v>
      </c>
      <c r="DQ233" s="1541"/>
      <c r="DR233" s="1541"/>
      <c r="DS233" s="1541"/>
      <c r="DT233" s="1541"/>
      <c r="DU233" s="1541"/>
      <c r="DV233" s="1541"/>
      <c r="DW233" s="1541">
        <v>157553.57800000001</v>
      </c>
      <c r="DX233" s="1540" t="s">
        <v>705</v>
      </c>
    </row>
    <row r="234" spans="1:129" s="1542" customFormat="1" ht="13.5" customHeight="1">
      <c r="A234" s="1540" t="s">
        <v>926</v>
      </c>
      <c r="B234" s="1832">
        <v>3785.23</v>
      </c>
      <c r="C234" s="1832">
        <v>175.744</v>
      </c>
      <c r="D234" s="1832">
        <v>1843.6579999999999</v>
      </c>
      <c r="E234" s="1832">
        <v>196.916</v>
      </c>
      <c r="F234" s="1832">
        <v>2020.2</v>
      </c>
      <c r="G234" s="1832">
        <v>18</v>
      </c>
      <c r="H234" s="1832">
        <v>0</v>
      </c>
      <c r="I234" s="1832">
        <v>427.80200000000002</v>
      </c>
      <c r="J234" s="1832">
        <v>1435.84</v>
      </c>
      <c r="K234" s="1832">
        <v>29.882000000000001</v>
      </c>
      <c r="L234" s="1832">
        <v>0</v>
      </c>
      <c r="M234" s="1832">
        <v>0</v>
      </c>
      <c r="N234" s="1832">
        <v>845.08</v>
      </c>
      <c r="O234" s="1832">
        <v>328.56</v>
      </c>
      <c r="P234" s="1832">
        <v>651.20000000000005</v>
      </c>
      <c r="Q234" s="1832">
        <v>752.64</v>
      </c>
      <c r="R234" s="1832">
        <v>1208</v>
      </c>
      <c r="S234" s="1832">
        <v>16403.52</v>
      </c>
      <c r="T234" s="1832">
        <v>322.2</v>
      </c>
      <c r="U234" s="1832">
        <v>2420.4</v>
      </c>
      <c r="V234" s="1832">
        <v>1155</v>
      </c>
      <c r="W234" s="1832">
        <v>0</v>
      </c>
      <c r="X234" s="1832">
        <v>0</v>
      </c>
      <c r="Y234" s="1832">
        <v>2793.5</v>
      </c>
      <c r="Z234" s="1832">
        <v>177.6</v>
      </c>
      <c r="AA234" s="1832">
        <v>4254.08</v>
      </c>
      <c r="AB234" s="1832">
        <v>1319.04</v>
      </c>
      <c r="AC234" s="1832">
        <v>97.57</v>
      </c>
      <c r="AD234" s="1832">
        <v>1596</v>
      </c>
      <c r="AE234" s="1832">
        <v>0</v>
      </c>
      <c r="AF234" s="1832">
        <v>0</v>
      </c>
      <c r="AG234" s="1832">
        <v>2247.84</v>
      </c>
      <c r="AH234" s="1832">
        <v>64.400000000000006</v>
      </c>
      <c r="AI234" s="1832">
        <v>4676.3999999999996</v>
      </c>
      <c r="AJ234" s="1832">
        <v>0</v>
      </c>
      <c r="AK234" s="1832">
        <v>2448</v>
      </c>
      <c r="AL234" s="1832">
        <v>1021.2</v>
      </c>
      <c r="AM234" s="1832">
        <v>6756</v>
      </c>
      <c r="AN234" s="1832">
        <v>194.4</v>
      </c>
      <c r="AO234" s="1832">
        <v>2082</v>
      </c>
      <c r="AP234" s="1832">
        <v>52.8</v>
      </c>
      <c r="AQ234" s="1832">
        <v>1066.8</v>
      </c>
      <c r="AR234" s="1832">
        <v>263.12</v>
      </c>
      <c r="AS234" s="1832">
        <v>125.13</v>
      </c>
      <c r="AT234" s="1832">
        <v>17</v>
      </c>
      <c r="AU234" s="1832">
        <v>1.74</v>
      </c>
      <c r="AV234" s="1832">
        <v>0</v>
      </c>
      <c r="AW234" s="1833">
        <v>0</v>
      </c>
      <c r="AX234" s="1832">
        <v>0</v>
      </c>
      <c r="AY234" s="1832">
        <v>2259</v>
      </c>
      <c r="AZ234" s="1832">
        <v>567.5</v>
      </c>
      <c r="BA234" s="1832">
        <v>307</v>
      </c>
      <c r="BB234" s="1832">
        <v>1399.2</v>
      </c>
      <c r="BC234" s="1832">
        <v>267.60000000000002</v>
      </c>
      <c r="BD234" s="1832">
        <v>1110</v>
      </c>
      <c r="BE234" s="1832">
        <v>111</v>
      </c>
      <c r="BF234" s="1832">
        <v>0.8</v>
      </c>
      <c r="BG234" s="1832">
        <v>619.20000000000005</v>
      </c>
      <c r="BH234" s="1832">
        <v>0</v>
      </c>
      <c r="BI234" s="1832">
        <v>0</v>
      </c>
      <c r="BJ234" s="1832">
        <v>818</v>
      </c>
      <c r="BK234" s="1832">
        <v>65.5</v>
      </c>
      <c r="BL234" s="1832">
        <v>99.2</v>
      </c>
      <c r="BM234" s="1832">
        <v>2208</v>
      </c>
      <c r="BN234" s="1832">
        <v>154</v>
      </c>
      <c r="BO234" s="1832">
        <v>4170.5</v>
      </c>
      <c r="BP234" s="1832">
        <v>0.8</v>
      </c>
      <c r="BQ234" s="1832">
        <v>93</v>
      </c>
      <c r="BR234" s="1832">
        <v>0</v>
      </c>
      <c r="BS234" s="1832">
        <v>0</v>
      </c>
      <c r="BT234" s="1832">
        <v>308.8</v>
      </c>
      <c r="BU234" s="1832">
        <v>378</v>
      </c>
      <c r="BV234" s="1832">
        <v>942</v>
      </c>
      <c r="BW234" s="1832">
        <v>2526.5</v>
      </c>
      <c r="BX234" s="1832">
        <v>226</v>
      </c>
      <c r="BY234" s="1832">
        <v>0</v>
      </c>
      <c r="BZ234" s="1832">
        <v>387</v>
      </c>
      <c r="CA234" s="1832">
        <v>4908.96</v>
      </c>
      <c r="CB234" s="1832">
        <v>118.2</v>
      </c>
      <c r="CC234" s="1832">
        <v>0</v>
      </c>
      <c r="CD234" s="1832">
        <v>49350</v>
      </c>
      <c r="CE234" s="1832">
        <v>12304.2</v>
      </c>
      <c r="CF234" s="1832">
        <v>420</v>
      </c>
      <c r="CG234" s="1832">
        <v>2373.84</v>
      </c>
      <c r="CH234" s="1832">
        <v>825</v>
      </c>
      <c r="CI234" s="1832">
        <v>0</v>
      </c>
      <c r="CJ234" s="1832">
        <v>0</v>
      </c>
      <c r="CK234" s="1832">
        <v>276</v>
      </c>
      <c r="CL234" s="1832">
        <v>630.4</v>
      </c>
      <c r="CM234" s="1832">
        <v>598.6</v>
      </c>
      <c r="CN234" s="1832">
        <v>1260</v>
      </c>
      <c r="CO234" s="1832">
        <v>4.5</v>
      </c>
      <c r="CP234" s="1832">
        <v>377</v>
      </c>
      <c r="CQ234" s="1832">
        <v>0</v>
      </c>
      <c r="CR234" s="1832">
        <v>867</v>
      </c>
      <c r="CS234" s="1832">
        <v>0</v>
      </c>
      <c r="CT234" s="1832">
        <v>487.2</v>
      </c>
      <c r="CU234" s="1832">
        <v>1871.64</v>
      </c>
      <c r="CV234" s="1832">
        <v>192</v>
      </c>
      <c r="CW234" s="1832">
        <v>1897.56</v>
      </c>
      <c r="CX234" s="1832">
        <v>97.2</v>
      </c>
      <c r="CY234" s="1832">
        <v>563.76</v>
      </c>
      <c r="CZ234" s="1832">
        <v>489.24</v>
      </c>
      <c r="DA234" s="1832">
        <v>1750.5</v>
      </c>
      <c r="DB234" s="1832">
        <v>5259</v>
      </c>
      <c r="DC234" s="1832">
        <v>5619</v>
      </c>
      <c r="DD234" s="1832">
        <v>933</v>
      </c>
      <c r="DE234" s="1832">
        <v>0</v>
      </c>
      <c r="DF234" s="1832">
        <v>1410</v>
      </c>
      <c r="DG234" s="1832">
        <v>13.5</v>
      </c>
      <c r="DH234" s="1832">
        <v>495</v>
      </c>
      <c r="DI234" s="1832">
        <v>642.79999999999995</v>
      </c>
      <c r="DJ234" s="1832">
        <v>1311</v>
      </c>
      <c r="DK234" s="1832">
        <v>1386</v>
      </c>
      <c r="DL234" s="1832">
        <v>244.5</v>
      </c>
      <c r="DM234" s="1832">
        <v>231.5</v>
      </c>
      <c r="DN234" s="1832">
        <v>33.5</v>
      </c>
      <c r="DO234" s="1832">
        <v>280</v>
      </c>
      <c r="DP234" s="1832">
        <v>870</v>
      </c>
      <c r="DQ234" s="1541"/>
      <c r="DR234" s="1541"/>
      <c r="DS234" s="1541"/>
      <c r="DT234" s="1541"/>
      <c r="DU234" s="1541"/>
      <c r="DV234" s="1541"/>
      <c r="DW234" s="1541">
        <v>185876.26300000001</v>
      </c>
      <c r="DX234" s="1540" t="s">
        <v>706</v>
      </c>
    </row>
    <row r="235" spans="1:129" s="1542" customFormat="1" ht="13.5" customHeight="1">
      <c r="A235" s="1540" t="s">
        <v>927</v>
      </c>
      <c r="B235" s="1832">
        <v>2435.86</v>
      </c>
      <c r="C235" s="1832">
        <v>227.75</v>
      </c>
      <c r="D235" s="1832">
        <v>2372.0639999999999</v>
      </c>
      <c r="E235" s="1832">
        <v>230.298</v>
      </c>
      <c r="F235" s="1832">
        <v>2113.44</v>
      </c>
      <c r="G235" s="1832">
        <v>36</v>
      </c>
      <c r="H235" s="1832">
        <v>0</v>
      </c>
      <c r="I235" s="1832">
        <v>571.18399999999997</v>
      </c>
      <c r="J235" s="1832">
        <v>1877.12</v>
      </c>
      <c r="K235" s="1832">
        <v>621.202</v>
      </c>
      <c r="L235" s="1832">
        <v>0</v>
      </c>
      <c r="M235" s="1832">
        <v>0</v>
      </c>
      <c r="N235" s="1832">
        <v>781.44</v>
      </c>
      <c r="O235" s="1832">
        <v>301.92</v>
      </c>
      <c r="P235" s="1832">
        <v>479.52</v>
      </c>
      <c r="Q235" s="1832">
        <v>1079.68</v>
      </c>
      <c r="R235" s="1832">
        <v>1812.6271999999999</v>
      </c>
      <c r="S235" s="1832">
        <v>17008.88</v>
      </c>
      <c r="T235" s="1832">
        <v>498.6</v>
      </c>
      <c r="U235" s="1832">
        <v>1954.8</v>
      </c>
      <c r="V235" s="1832">
        <v>1060.92</v>
      </c>
      <c r="W235" s="1832">
        <v>0</v>
      </c>
      <c r="X235" s="1832">
        <v>0</v>
      </c>
      <c r="Y235" s="1832">
        <v>2091.2399999999998</v>
      </c>
      <c r="Z235" s="1832">
        <v>222</v>
      </c>
      <c r="AA235" s="1832">
        <v>4003.84</v>
      </c>
      <c r="AB235" s="1832">
        <v>475.32</v>
      </c>
      <c r="AC235" s="1832">
        <v>241.8</v>
      </c>
      <c r="AD235" s="1832">
        <v>1638</v>
      </c>
      <c r="AE235" s="1832">
        <v>0</v>
      </c>
      <c r="AF235" s="1832">
        <v>0</v>
      </c>
      <c r="AG235" s="1832">
        <v>1713.88</v>
      </c>
      <c r="AH235" s="1832">
        <v>280</v>
      </c>
      <c r="AI235" s="1832">
        <v>7257.6</v>
      </c>
      <c r="AJ235" s="1832">
        <v>0</v>
      </c>
      <c r="AK235" s="1832">
        <v>2524.8000000000002</v>
      </c>
      <c r="AL235" s="1832">
        <v>460</v>
      </c>
      <c r="AM235" s="1832">
        <v>9417.6</v>
      </c>
      <c r="AN235" s="1832">
        <v>151.19999999999999</v>
      </c>
      <c r="AO235" s="1832">
        <v>3582</v>
      </c>
      <c r="AP235" s="1832">
        <v>60</v>
      </c>
      <c r="AQ235" s="1832">
        <v>1306.57</v>
      </c>
      <c r="AR235" s="1832">
        <v>426.4</v>
      </c>
      <c r="AS235" s="1832">
        <v>305.33499999999998</v>
      </c>
      <c r="AT235" s="1832">
        <v>223.80500000000001</v>
      </c>
      <c r="AU235" s="1832">
        <v>30.79</v>
      </c>
      <c r="AV235" s="1832">
        <v>0</v>
      </c>
      <c r="AW235" s="1832">
        <v>0</v>
      </c>
      <c r="AX235" s="1832">
        <v>0</v>
      </c>
      <c r="AY235" s="1832">
        <v>3429.75</v>
      </c>
      <c r="AZ235" s="1832">
        <v>602</v>
      </c>
      <c r="BA235" s="1832">
        <v>453</v>
      </c>
      <c r="BB235" s="1832">
        <v>1192.8</v>
      </c>
      <c r="BC235" s="1832">
        <v>248.4</v>
      </c>
      <c r="BD235" s="1832">
        <v>844.5</v>
      </c>
      <c r="BE235" s="1832">
        <v>189</v>
      </c>
      <c r="BF235" s="1832">
        <v>153.6</v>
      </c>
      <c r="BG235" s="1832">
        <v>124.8</v>
      </c>
      <c r="BH235" s="1832">
        <v>0</v>
      </c>
      <c r="BI235" s="1832">
        <v>0</v>
      </c>
      <c r="BJ235" s="1832">
        <v>735</v>
      </c>
      <c r="BK235" s="1832">
        <v>47</v>
      </c>
      <c r="BL235" s="1832">
        <v>108.8</v>
      </c>
      <c r="BM235" s="1832">
        <v>10750</v>
      </c>
      <c r="BN235" s="1832">
        <v>210</v>
      </c>
      <c r="BO235" s="1832">
        <v>3371.3</v>
      </c>
      <c r="BP235" s="1832">
        <v>153.6</v>
      </c>
      <c r="BQ235" s="1832">
        <v>132</v>
      </c>
      <c r="BR235" s="1832">
        <v>0</v>
      </c>
      <c r="BS235" s="1832">
        <v>0</v>
      </c>
      <c r="BT235" s="1832">
        <v>345.6</v>
      </c>
      <c r="BU235" s="1832">
        <v>481.2</v>
      </c>
      <c r="BV235" s="1832">
        <v>1513.5</v>
      </c>
      <c r="BW235" s="1832">
        <v>3664.25</v>
      </c>
      <c r="BX235" s="1832">
        <v>378</v>
      </c>
      <c r="BY235" s="1832">
        <v>0</v>
      </c>
      <c r="BZ235" s="1832">
        <v>263.7</v>
      </c>
      <c r="CA235" s="1832">
        <v>208.32</v>
      </c>
      <c r="CB235" s="1832">
        <v>93.6</v>
      </c>
      <c r="CC235" s="1832">
        <v>0</v>
      </c>
      <c r="CD235" s="1832">
        <v>31899</v>
      </c>
      <c r="CE235" s="1832">
        <v>20288.400000000001</v>
      </c>
      <c r="CF235" s="1832">
        <v>72</v>
      </c>
      <c r="CG235" s="1832">
        <v>2370.6</v>
      </c>
      <c r="CH235" s="1832">
        <v>765</v>
      </c>
      <c r="CI235" s="1832">
        <v>0</v>
      </c>
      <c r="CJ235" s="1832">
        <v>0</v>
      </c>
      <c r="CK235" s="1832">
        <v>0</v>
      </c>
      <c r="CL235" s="1832">
        <v>450.8</v>
      </c>
      <c r="CM235" s="1832">
        <v>974.2</v>
      </c>
      <c r="CN235" s="1832">
        <v>1199.4000000000001</v>
      </c>
      <c r="CO235" s="1832">
        <v>25.5</v>
      </c>
      <c r="CP235" s="1832">
        <v>471</v>
      </c>
      <c r="CQ235" s="1832">
        <v>0</v>
      </c>
      <c r="CR235" s="1832">
        <v>342</v>
      </c>
      <c r="CS235" s="1832">
        <v>0</v>
      </c>
      <c r="CT235" s="1832">
        <v>678</v>
      </c>
      <c r="CU235" s="1832">
        <v>1755</v>
      </c>
      <c r="CV235" s="1832">
        <v>168</v>
      </c>
      <c r="CW235" s="1832">
        <v>1480.68</v>
      </c>
      <c r="CX235" s="1832">
        <v>151.19999999999999</v>
      </c>
      <c r="CY235" s="1832">
        <v>798.12</v>
      </c>
      <c r="CZ235" s="1832">
        <v>687.78</v>
      </c>
      <c r="DA235" s="1832">
        <v>24506.75</v>
      </c>
      <c r="DB235" s="1832">
        <v>4145.5</v>
      </c>
      <c r="DC235" s="1832">
        <v>3900.5</v>
      </c>
      <c r="DD235" s="1832">
        <v>808.5</v>
      </c>
      <c r="DE235" s="1832">
        <v>0</v>
      </c>
      <c r="DF235" s="1832">
        <v>1267.5</v>
      </c>
      <c r="DG235" s="1832">
        <v>1.5</v>
      </c>
      <c r="DH235" s="1832">
        <v>1050</v>
      </c>
      <c r="DI235" s="1832">
        <v>709.6</v>
      </c>
      <c r="DJ235" s="1832">
        <v>1113.5</v>
      </c>
      <c r="DK235" s="1832">
        <v>1356</v>
      </c>
      <c r="DL235" s="1832">
        <v>241</v>
      </c>
      <c r="DM235" s="1832">
        <v>198.5</v>
      </c>
      <c r="DN235" s="1832">
        <v>35</v>
      </c>
      <c r="DO235" s="1832">
        <v>312</v>
      </c>
      <c r="DP235" s="1832">
        <v>576</v>
      </c>
      <c r="DQ235" s="1541"/>
      <c r="DR235" s="1541"/>
      <c r="DS235" s="1541"/>
      <c r="DT235" s="1541"/>
      <c r="DU235" s="1541"/>
      <c r="DV235" s="1541"/>
      <c r="DW235" s="1541">
        <f>SUM(B235:DP235)</f>
        <v>206367.73520000002</v>
      </c>
      <c r="DX235" s="1540" t="s">
        <v>707</v>
      </c>
    </row>
    <row r="236" spans="1:129" s="1542" customFormat="1" ht="13.5" hidden="1" customHeight="1" outlineLevel="1">
      <c r="A236" s="1540" t="s">
        <v>928</v>
      </c>
      <c r="B236" s="1832">
        <v>2971.8960000000002</v>
      </c>
      <c r="C236" s="1832">
        <v>212.654</v>
      </c>
      <c r="D236" s="1832">
        <v>1722.26</v>
      </c>
      <c r="E236" s="1832">
        <v>344.04399999999998</v>
      </c>
      <c r="F236" s="1832">
        <v>2145.63</v>
      </c>
      <c r="G236" s="1832">
        <v>102</v>
      </c>
      <c r="H236" s="1832">
        <v>0</v>
      </c>
      <c r="I236" s="1832">
        <v>413.64400000000001</v>
      </c>
      <c r="J236" s="1832">
        <v>1149.68</v>
      </c>
      <c r="K236" s="1832">
        <v>81.915999999999997</v>
      </c>
      <c r="L236" s="1832">
        <v>0</v>
      </c>
      <c r="M236" s="1832">
        <v>0</v>
      </c>
      <c r="N236" s="1832">
        <v>852.48</v>
      </c>
      <c r="O236" s="1832">
        <v>817.7</v>
      </c>
      <c r="P236" s="1832">
        <v>701.52</v>
      </c>
      <c r="Q236" s="1832">
        <v>922.88</v>
      </c>
      <c r="R236" s="1832">
        <v>1114.24</v>
      </c>
      <c r="S236" s="1832">
        <v>26354.720000000001</v>
      </c>
      <c r="T236" s="1832">
        <v>435.6</v>
      </c>
      <c r="U236" s="1832">
        <v>1346.4</v>
      </c>
      <c r="V236" s="1832">
        <v>1208.4000000000001</v>
      </c>
      <c r="W236" s="1832">
        <v>0</v>
      </c>
      <c r="X236" s="1832">
        <v>0</v>
      </c>
      <c r="Y236" s="1832">
        <v>1882.56</v>
      </c>
      <c r="Z236" s="1832">
        <v>213.12</v>
      </c>
      <c r="AA236" s="1832">
        <v>4861.28</v>
      </c>
      <c r="AB236" s="1832">
        <v>536.4</v>
      </c>
      <c r="AC236" s="1832">
        <v>345.6</v>
      </c>
      <c r="AD236" s="1832">
        <v>1134</v>
      </c>
      <c r="AE236" s="1832">
        <v>0</v>
      </c>
      <c r="AF236" s="1832">
        <v>0</v>
      </c>
      <c r="AG236" s="1832">
        <v>2442.16</v>
      </c>
      <c r="AH236" s="1832">
        <v>333.76</v>
      </c>
      <c r="AI236" s="1832">
        <v>4598.3999999999996</v>
      </c>
      <c r="AJ236" s="1832">
        <v>0</v>
      </c>
      <c r="AK236" s="1832">
        <v>1075.2</v>
      </c>
      <c r="AL236" s="1832">
        <v>689.08</v>
      </c>
      <c r="AM236" s="1832">
        <v>3081.6</v>
      </c>
      <c r="AN236" s="1832">
        <v>172.8</v>
      </c>
      <c r="AO236" s="1832">
        <v>1254</v>
      </c>
      <c r="AP236" s="1832">
        <v>52.8</v>
      </c>
      <c r="AQ236" s="1832">
        <v>1316.11</v>
      </c>
      <c r="AR236" s="1832">
        <v>386.88</v>
      </c>
      <c r="AS236" s="1832">
        <v>81.92</v>
      </c>
      <c r="AT236" s="1832">
        <v>173.435</v>
      </c>
      <c r="AU236" s="1832">
        <v>30.524999999999999</v>
      </c>
      <c r="AV236" s="1832">
        <v>0</v>
      </c>
      <c r="AW236" s="1832">
        <v>0</v>
      </c>
      <c r="AX236" s="1832">
        <v>0</v>
      </c>
      <c r="AY236" s="1832">
        <v>5220.25</v>
      </c>
      <c r="AZ236" s="1832">
        <v>1376</v>
      </c>
      <c r="BA236" s="1832">
        <v>508</v>
      </c>
      <c r="BB236" s="1832">
        <v>1164.8</v>
      </c>
      <c r="BC236" s="1832">
        <v>319.2</v>
      </c>
      <c r="BD236" s="1832">
        <v>838.5</v>
      </c>
      <c r="BE236" s="1832">
        <v>268.5</v>
      </c>
      <c r="BF236" s="1832">
        <v>339.2</v>
      </c>
      <c r="BG236" s="1832">
        <v>386.4</v>
      </c>
      <c r="BH236" s="1832">
        <v>0</v>
      </c>
      <c r="BI236" s="1832">
        <v>0</v>
      </c>
      <c r="BJ236" s="1832">
        <v>660</v>
      </c>
      <c r="BK236" s="1832">
        <v>94</v>
      </c>
      <c r="BL236" s="1832">
        <v>153.6</v>
      </c>
      <c r="BM236" s="1832">
        <v>16033.75</v>
      </c>
      <c r="BN236" s="1832">
        <v>172</v>
      </c>
      <c r="BO236" s="1832">
        <v>4573</v>
      </c>
      <c r="BP236" s="1832">
        <v>319.2</v>
      </c>
      <c r="BQ236" s="1832">
        <v>201</v>
      </c>
      <c r="BR236" s="1832">
        <v>0</v>
      </c>
      <c r="BS236" s="1832">
        <v>0</v>
      </c>
      <c r="BT236" s="1832">
        <v>470.4</v>
      </c>
      <c r="BU236" s="1832">
        <v>688.8</v>
      </c>
      <c r="BV236" s="1832">
        <v>667.5</v>
      </c>
      <c r="BW236" s="1832">
        <v>2512</v>
      </c>
      <c r="BX236" s="1832">
        <v>591</v>
      </c>
      <c r="BY236" s="1832">
        <v>579.6</v>
      </c>
      <c r="BZ236" s="1832">
        <v>259.56</v>
      </c>
      <c r="CA236" s="1832">
        <v>101.64</v>
      </c>
      <c r="CB236" s="1832">
        <v>198</v>
      </c>
      <c r="CC236" s="1832">
        <v>0</v>
      </c>
      <c r="CD236" s="1832">
        <v>43620</v>
      </c>
      <c r="CE236" s="1832">
        <v>8974.7999999999993</v>
      </c>
      <c r="CF236" s="1832">
        <v>576</v>
      </c>
      <c r="CG236" s="1832">
        <v>2073.6</v>
      </c>
      <c r="CH236" s="1832">
        <v>931.5</v>
      </c>
      <c r="CI236" s="1832">
        <v>0</v>
      </c>
      <c r="CJ236" s="1832">
        <v>0</v>
      </c>
      <c r="CK236" s="1832">
        <v>36</v>
      </c>
      <c r="CL236" s="1832">
        <v>762.8</v>
      </c>
      <c r="CM236" s="1832">
        <v>947.8</v>
      </c>
      <c r="CN236" s="1832">
        <v>638.6</v>
      </c>
      <c r="CO236" s="1832">
        <v>36</v>
      </c>
      <c r="CP236" s="1832">
        <v>389</v>
      </c>
      <c r="CQ236" s="1832">
        <v>0</v>
      </c>
      <c r="CR236" s="1832">
        <v>342.5</v>
      </c>
      <c r="CS236" s="1832">
        <v>0</v>
      </c>
      <c r="CT236" s="1832">
        <v>458.4</v>
      </c>
      <c r="CU236" s="1832">
        <v>2041.2</v>
      </c>
      <c r="CV236" s="1832">
        <v>0</v>
      </c>
      <c r="CW236" s="1832">
        <v>2181.6</v>
      </c>
      <c r="CX236" s="1832">
        <v>0</v>
      </c>
      <c r="CY236" s="1832">
        <v>748.26</v>
      </c>
      <c r="CZ236" s="1832">
        <v>364.68</v>
      </c>
      <c r="DA236" s="1832">
        <v>26738.5</v>
      </c>
      <c r="DB236" s="1832">
        <v>2697</v>
      </c>
      <c r="DC236" s="1832">
        <v>4536.5</v>
      </c>
      <c r="DD236" s="1832">
        <v>1084.5</v>
      </c>
      <c r="DE236" s="1832">
        <v>0</v>
      </c>
      <c r="DF236" s="1832">
        <v>945</v>
      </c>
      <c r="DG236" s="1832">
        <v>18</v>
      </c>
      <c r="DH236" s="1832">
        <v>1140</v>
      </c>
      <c r="DI236" s="1832">
        <v>1095.2</v>
      </c>
      <c r="DJ236" s="1832">
        <v>1272</v>
      </c>
      <c r="DK236" s="1832">
        <v>1326</v>
      </c>
      <c r="DL236" s="1832">
        <v>273</v>
      </c>
      <c r="DM236" s="1832">
        <v>143.5</v>
      </c>
      <c r="DN236" s="1832">
        <v>48</v>
      </c>
      <c r="DO236" s="1832">
        <v>486</v>
      </c>
      <c r="DP236" s="1832">
        <v>1056</v>
      </c>
      <c r="DQ236" s="1541"/>
      <c r="DR236" s="1541"/>
      <c r="DS236" s="1541"/>
      <c r="DT236" s="1541"/>
      <c r="DU236" s="1541"/>
      <c r="DV236" s="1541"/>
      <c r="DW236" s="1541">
        <f>SUM(B236:DP236)</f>
        <v>214237.13399999999</v>
      </c>
      <c r="DX236" s="1540" t="s">
        <v>707</v>
      </c>
    </row>
    <row r="237" spans="1:129" s="1542" customFormat="1" ht="13.5" hidden="1" customHeight="1" outlineLevel="1">
      <c r="A237" s="1540" t="s">
        <v>929</v>
      </c>
      <c r="B237" s="1832">
        <v>1277.886</v>
      </c>
      <c r="C237" s="1832">
        <v>244.24</v>
      </c>
      <c r="D237" s="1832">
        <v>2404.0279999999998</v>
      </c>
      <c r="E237" s="1832">
        <v>332.536</v>
      </c>
      <c r="F237" s="1832">
        <v>2910.79</v>
      </c>
      <c r="G237" s="1832">
        <v>270</v>
      </c>
      <c r="H237" s="1832">
        <v>0</v>
      </c>
      <c r="I237" s="1832">
        <v>667.55</v>
      </c>
      <c r="J237" s="1832">
        <v>2202.48</v>
      </c>
      <c r="K237" s="1832">
        <v>63.49</v>
      </c>
      <c r="L237" s="1832">
        <v>93.914000000000001</v>
      </c>
      <c r="M237" s="1832">
        <v>0</v>
      </c>
      <c r="N237" s="1832">
        <v>1092.24</v>
      </c>
      <c r="O237" s="1832">
        <v>1408.96</v>
      </c>
      <c r="P237" s="1832">
        <v>704.48</v>
      </c>
      <c r="Q237" s="1832">
        <v>990.08</v>
      </c>
      <c r="R237" s="1832">
        <v>1620</v>
      </c>
      <c r="S237" s="1832">
        <v>15571.08</v>
      </c>
      <c r="T237" s="1832">
        <v>453.6</v>
      </c>
      <c r="U237" s="1832">
        <v>1297.92</v>
      </c>
      <c r="V237" s="1832">
        <v>1417.2</v>
      </c>
      <c r="W237" s="1832">
        <v>1.2</v>
      </c>
      <c r="X237" s="1832">
        <v>1707.6</v>
      </c>
      <c r="Y237" s="1832">
        <v>3454.32</v>
      </c>
      <c r="Z237" s="1832">
        <v>215.34</v>
      </c>
      <c r="AA237" s="1832">
        <v>6557.76</v>
      </c>
      <c r="AB237" s="1832">
        <v>536.28</v>
      </c>
      <c r="AC237" s="1832">
        <v>189.84</v>
      </c>
      <c r="AD237" s="1832">
        <v>2163.6</v>
      </c>
      <c r="AE237" s="1832">
        <v>1.2</v>
      </c>
      <c r="AF237" s="1832">
        <v>2.2400000000000002</v>
      </c>
      <c r="AG237" s="1832">
        <v>2165.2399999999998</v>
      </c>
      <c r="AH237" s="1832">
        <v>225.12</v>
      </c>
      <c r="AI237" s="1832">
        <v>4060.8</v>
      </c>
      <c r="AJ237" s="1832">
        <v>0</v>
      </c>
      <c r="AK237" s="1832">
        <v>1921</v>
      </c>
      <c r="AL237" s="1832">
        <v>931.04</v>
      </c>
      <c r="AM237" s="1832">
        <v>4195.8</v>
      </c>
      <c r="AN237" s="1832">
        <v>172.8</v>
      </c>
      <c r="AO237" s="1832">
        <v>2694</v>
      </c>
      <c r="AP237" s="1832">
        <v>54</v>
      </c>
      <c r="AQ237" s="1832">
        <v>1545.6</v>
      </c>
      <c r="AR237" s="1832">
        <v>473.46</v>
      </c>
      <c r="AS237" s="1832">
        <v>173.73625000000001</v>
      </c>
      <c r="AT237" s="1832">
        <v>135.96</v>
      </c>
      <c r="AU237" s="1832">
        <v>64.91</v>
      </c>
      <c r="AV237" s="1832">
        <v>0</v>
      </c>
      <c r="AW237" s="1832">
        <v>0</v>
      </c>
      <c r="AX237" s="1832">
        <v>0</v>
      </c>
      <c r="AY237" s="1832">
        <v>4541.875</v>
      </c>
      <c r="AZ237" s="1832">
        <v>1123.625</v>
      </c>
      <c r="BA237" s="1832">
        <v>849.25</v>
      </c>
      <c r="BB237" s="1832">
        <v>1445.6</v>
      </c>
      <c r="BC237" s="1832">
        <v>878.4</v>
      </c>
      <c r="BD237" s="1832">
        <v>1591.5</v>
      </c>
      <c r="BE237" s="1832">
        <v>337.5</v>
      </c>
      <c r="BF237" s="1832">
        <v>1444</v>
      </c>
      <c r="BG237" s="1832">
        <v>620.79999999999995</v>
      </c>
      <c r="BH237" s="1832">
        <v>250.8</v>
      </c>
      <c r="BI237" s="1832">
        <v>261</v>
      </c>
      <c r="BJ237" s="1832">
        <v>1075</v>
      </c>
      <c r="BK237" s="1832">
        <v>125</v>
      </c>
      <c r="BL237" s="1832">
        <v>180</v>
      </c>
      <c r="BM237" s="1832">
        <v>16095</v>
      </c>
      <c r="BN237" s="1832">
        <v>259.375</v>
      </c>
      <c r="BO237" s="1832">
        <v>4845.1000000000004</v>
      </c>
      <c r="BP237" s="1832">
        <v>31.2</v>
      </c>
      <c r="BQ237" s="1832">
        <v>261</v>
      </c>
      <c r="BR237" s="1832">
        <v>250.8</v>
      </c>
      <c r="BS237" s="1832">
        <v>261</v>
      </c>
      <c r="BT237" s="1832">
        <v>1028</v>
      </c>
      <c r="BU237" s="1832">
        <v>1575.6</v>
      </c>
      <c r="BV237" s="1832">
        <v>1803</v>
      </c>
      <c r="BW237" s="1832">
        <v>2758.75</v>
      </c>
      <c r="BX237" s="1832">
        <v>747</v>
      </c>
      <c r="BY237" s="1832">
        <v>0</v>
      </c>
      <c r="BZ237" s="1832">
        <v>295.92</v>
      </c>
      <c r="CA237" s="1832">
        <v>130.19999999999999</v>
      </c>
      <c r="CB237" s="1832">
        <v>222</v>
      </c>
      <c r="CC237" s="1832">
        <v>0</v>
      </c>
      <c r="CD237" s="1832">
        <v>20187</v>
      </c>
      <c r="CE237" s="1832">
        <v>18706.8</v>
      </c>
      <c r="CF237" s="1832">
        <v>0</v>
      </c>
      <c r="CG237" s="1832">
        <v>3094.2</v>
      </c>
      <c r="CH237" s="1832">
        <v>1636.5</v>
      </c>
      <c r="CI237" s="1832">
        <v>1.2</v>
      </c>
      <c r="CJ237" s="1832">
        <v>1.2</v>
      </c>
      <c r="CK237" s="1832">
        <v>240</v>
      </c>
      <c r="CL237" s="1832">
        <v>764.8</v>
      </c>
      <c r="CM237" s="1832">
        <v>910.4</v>
      </c>
      <c r="CN237" s="1832">
        <v>477.6</v>
      </c>
      <c r="CO237" s="1832">
        <v>105</v>
      </c>
      <c r="CP237" s="1832">
        <v>619.5</v>
      </c>
      <c r="CQ237" s="1832">
        <v>1.5</v>
      </c>
      <c r="CR237" s="1832">
        <v>582</v>
      </c>
      <c r="CS237" s="1832">
        <v>1.2</v>
      </c>
      <c r="CT237" s="1832">
        <v>421.6</v>
      </c>
      <c r="CU237" s="1832">
        <v>2343.6</v>
      </c>
      <c r="CV237" s="1832">
        <v>96</v>
      </c>
      <c r="CW237" s="1832">
        <v>1879.56</v>
      </c>
      <c r="CX237" s="1832">
        <v>118.8</v>
      </c>
      <c r="CY237" s="1832">
        <v>1016.46</v>
      </c>
      <c r="CZ237" s="1832">
        <v>370.26</v>
      </c>
      <c r="DA237" s="1832">
        <v>17758</v>
      </c>
      <c r="DB237" s="1832">
        <v>2133</v>
      </c>
      <c r="DC237" s="1832">
        <v>7011</v>
      </c>
      <c r="DD237" s="1832">
        <v>2307</v>
      </c>
      <c r="DE237" s="1832">
        <v>1.2</v>
      </c>
      <c r="DF237" s="1832">
        <v>1743</v>
      </c>
      <c r="DG237" s="1832">
        <v>120</v>
      </c>
      <c r="DH237" s="1832">
        <v>1467</v>
      </c>
      <c r="DI237" s="1832">
        <v>849.6</v>
      </c>
      <c r="DJ237" s="1832">
        <v>1380.5</v>
      </c>
      <c r="DK237" s="1832">
        <v>1460</v>
      </c>
      <c r="DL237" s="1832">
        <v>234</v>
      </c>
      <c r="DM237" s="1832">
        <v>175</v>
      </c>
      <c r="DN237" s="1832">
        <v>29</v>
      </c>
      <c r="DO237" s="1832">
        <v>420</v>
      </c>
      <c r="DP237" s="1832">
        <v>1488</v>
      </c>
      <c r="DQ237" s="1541"/>
      <c r="DR237" s="1541"/>
      <c r="DS237" s="1541"/>
      <c r="DT237" s="1541"/>
      <c r="DU237" s="1541"/>
      <c r="DV237" s="1541"/>
      <c r="DW237" s="1541">
        <f>SUM(B237:DP237)</f>
        <v>206105.09525000007</v>
      </c>
      <c r="DX237" s="1540" t="s">
        <v>707</v>
      </c>
    </row>
    <row r="238" spans="1:129" s="1542" customFormat="1" ht="13.5" hidden="1" customHeight="1" outlineLevel="1">
      <c r="A238" s="1540"/>
      <c r="B238" s="1541"/>
      <c r="C238" s="1541"/>
      <c r="D238" s="1541"/>
      <c r="E238" s="1541"/>
      <c r="F238" s="1541"/>
      <c r="G238" s="1541"/>
      <c r="H238" s="1541"/>
      <c r="I238" s="1541"/>
      <c r="J238" s="1541"/>
      <c r="K238" s="1541"/>
      <c r="L238" s="1541"/>
      <c r="M238" s="1541"/>
      <c r="N238" s="1541"/>
      <c r="O238" s="1541"/>
      <c r="P238" s="1541"/>
      <c r="Q238" s="1541"/>
      <c r="R238" s="1541"/>
      <c r="S238" s="1541"/>
      <c r="T238" s="1541"/>
      <c r="U238" s="1541"/>
      <c r="V238" s="1541"/>
      <c r="W238" s="1541"/>
      <c r="X238" s="1541"/>
      <c r="Y238" s="1541"/>
      <c r="Z238" s="1541"/>
      <c r="AA238" s="1541"/>
      <c r="AB238" s="1541"/>
      <c r="AC238" s="1541"/>
      <c r="AD238" s="1541"/>
      <c r="AE238" s="1541"/>
      <c r="AF238" s="1541"/>
      <c r="AG238" s="1541"/>
      <c r="AH238" s="1541"/>
      <c r="AI238" s="1541"/>
      <c r="AJ238" s="1541"/>
      <c r="AK238" s="1541"/>
      <c r="AL238" s="1541"/>
      <c r="AM238" s="1541"/>
      <c r="AN238" s="1541"/>
      <c r="AO238" s="1541"/>
      <c r="AP238" s="1541"/>
      <c r="AQ238" s="1541"/>
      <c r="AR238" s="1541"/>
      <c r="AS238" s="1541"/>
      <c r="AT238" s="1541"/>
      <c r="AU238" s="1541"/>
      <c r="AV238" s="1541"/>
      <c r="AW238" s="1541"/>
      <c r="AX238" s="1541"/>
      <c r="AY238" s="1541"/>
      <c r="AZ238" s="1541"/>
      <c r="BA238" s="1541"/>
      <c r="BB238" s="1541"/>
      <c r="BC238" s="1541"/>
      <c r="BD238" s="1541"/>
      <c r="BE238" s="1541"/>
      <c r="BF238" s="1541"/>
      <c r="BG238" s="1541"/>
      <c r="BH238" s="1541"/>
      <c r="BI238" s="1541"/>
      <c r="BJ238" s="1541"/>
      <c r="BK238" s="1541"/>
      <c r="BL238" s="1541"/>
      <c r="BM238" s="1541"/>
      <c r="BN238" s="1541"/>
      <c r="BO238" s="1541"/>
      <c r="BP238" s="1541"/>
      <c r="BQ238" s="1541"/>
      <c r="BR238" s="1541"/>
      <c r="BS238" s="1541"/>
      <c r="BT238" s="1541"/>
      <c r="BU238" s="1541"/>
      <c r="BV238" s="1541"/>
      <c r="BW238" s="1541"/>
      <c r="BX238" s="1541"/>
      <c r="BY238" s="1541"/>
      <c r="BZ238" s="1541"/>
      <c r="CA238" s="1541"/>
      <c r="CB238" s="1541"/>
      <c r="CC238" s="1541"/>
      <c r="CD238" s="1541"/>
      <c r="CE238" s="1541"/>
      <c r="CF238" s="1541"/>
      <c r="CG238" s="1541"/>
      <c r="CH238" s="1541"/>
      <c r="CI238" s="1541"/>
      <c r="CJ238" s="1541"/>
      <c r="CK238" s="1541"/>
      <c r="CL238" s="1541"/>
      <c r="CM238" s="1541"/>
      <c r="CN238" s="1541"/>
      <c r="CO238" s="1541"/>
      <c r="CP238" s="1541"/>
      <c r="CQ238" s="1541"/>
      <c r="CR238" s="1541"/>
      <c r="CS238" s="1541"/>
      <c r="CT238" s="1541"/>
      <c r="CU238" s="1541"/>
      <c r="CV238" s="1541"/>
      <c r="CW238" s="1541"/>
      <c r="CX238" s="1541"/>
      <c r="CY238" s="1541"/>
      <c r="CZ238" s="1541"/>
      <c r="DA238" s="1541"/>
      <c r="DB238" s="1541"/>
      <c r="DC238" s="1541"/>
      <c r="DD238" s="1541"/>
      <c r="DE238" s="1541"/>
      <c r="DF238" s="1541"/>
      <c r="DG238" s="1541"/>
      <c r="DH238" s="1541"/>
      <c r="DI238" s="1541"/>
      <c r="DJ238" s="1541"/>
      <c r="DK238" s="1541"/>
      <c r="DL238" s="1541"/>
      <c r="DM238" s="1541"/>
      <c r="DN238" s="1541"/>
      <c r="DO238" s="1541"/>
      <c r="DP238" s="1541"/>
      <c r="DQ238" s="1541"/>
      <c r="DR238" s="1541"/>
      <c r="DS238" s="1541"/>
      <c r="DT238" s="1541"/>
      <c r="DU238" s="1541"/>
      <c r="DV238" s="1541"/>
      <c r="DW238" s="1541"/>
      <c r="DX238" s="1540"/>
    </row>
    <row r="239" spans="1:129" s="1542" customFormat="1" ht="13.5" hidden="1" customHeight="1" outlineLevel="1">
      <c r="A239" s="1540"/>
      <c r="B239" s="1541"/>
      <c r="C239" s="1541"/>
      <c r="D239" s="1541"/>
      <c r="E239" s="1541"/>
      <c r="F239" s="1541"/>
      <c r="G239" s="1541"/>
      <c r="H239" s="1541"/>
      <c r="I239" s="1541"/>
      <c r="J239" s="1541"/>
      <c r="K239" s="1541"/>
      <c r="L239" s="1541"/>
      <c r="M239" s="1541"/>
      <c r="N239" s="1541"/>
      <c r="O239" s="1541"/>
      <c r="P239" s="1541"/>
      <c r="Q239" s="1541"/>
      <c r="R239" s="1541"/>
      <c r="S239" s="1541"/>
      <c r="T239" s="1541"/>
      <c r="U239" s="1541"/>
      <c r="V239" s="1541"/>
      <c r="W239" s="1541"/>
      <c r="X239" s="1541"/>
      <c r="Y239" s="1541"/>
      <c r="Z239" s="1541"/>
      <c r="AA239" s="1541"/>
      <c r="AB239" s="1541"/>
      <c r="AC239" s="1541"/>
      <c r="AD239" s="1541"/>
      <c r="AE239" s="1541"/>
      <c r="AF239" s="1541"/>
      <c r="AG239" s="1541"/>
      <c r="AH239" s="1541"/>
      <c r="AI239" s="1541"/>
      <c r="AJ239" s="1541"/>
      <c r="AK239" s="1541"/>
      <c r="AL239" s="1541"/>
      <c r="AM239" s="1541"/>
      <c r="AN239" s="1541"/>
      <c r="AO239" s="1541"/>
      <c r="AP239" s="1541"/>
      <c r="AQ239" s="1541"/>
      <c r="AR239" s="1541"/>
      <c r="AS239" s="1541"/>
      <c r="AT239" s="1541"/>
      <c r="AU239" s="1541"/>
      <c r="AV239" s="1541"/>
      <c r="AW239" s="1541"/>
      <c r="AX239" s="1541"/>
      <c r="AY239" s="1541"/>
      <c r="AZ239" s="1541"/>
      <c r="BA239" s="1541"/>
      <c r="BB239" s="1541"/>
      <c r="BC239" s="1541"/>
      <c r="BD239" s="1541"/>
      <c r="BE239" s="1541"/>
      <c r="BF239" s="1541"/>
      <c r="BG239" s="1541"/>
      <c r="BH239" s="1541"/>
      <c r="BI239" s="1541"/>
      <c r="BJ239" s="1541"/>
      <c r="BK239" s="1541"/>
      <c r="BL239" s="1541"/>
      <c r="BM239" s="1541"/>
      <c r="BN239" s="1541"/>
      <c r="BO239" s="1541"/>
      <c r="BP239" s="1541"/>
      <c r="BQ239" s="1541"/>
      <c r="BR239" s="1541"/>
      <c r="BS239" s="1541"/>
      <c r="BT239" s="1541"/>
      <c r="BU239" s="1541"/>
      <c r="BV239" s="1541"/>
      <c r="BW239" s="1541"/>
      <c r="BX239" s="1541"/>
      <c r="BY239" s="1541"/>
      <c r="BZ239" s="1541"/>
      <c r="CA239" s="1541"/>
      <c r="CB239" s="1541"/>
      <c r="CC239" s="1541"/>
      <c r="CD239" s="1541"/>
      <c r="CE239" s="1541"/>
      <c r="CF239" s="1541"/>
      <c r="CG239" s="1541"/>
      <c r="CH239" s="1541"/>
      <c r="CI239" s="1541"/>
      <c r="CJ239" s="1541"/>
      <c r="CK239" s="1541"/>
      <c r="CL239" s="1541"/>
      <c r="CM239" s="1541"/>
      <c r="CN239" s="1541"/>
      <c r="CO239" s="1541"/>
      <c r="CP239" s="1541"/>
      <c r="CQ239" s="1541"/>
      <c r="CR239" s="1541"/>
      <c r="CS239" s="1541"/>
      <c r="CT239" s="1541"/>
      <c r="CU239" s="1541"/>
      <c r="CV239" s="1541"/>
      <c r="CW239" s="1541"/>
      <c r="CX239" s="1541"/>
      <c r="CY239" s="1541"/>
      <c r="CZ239" s="1541"/>
      <c r="DA239" s="1541"/>
      <c r="DB239" s="1541"/>
      <c r="DC239" s="1541"/>
      <c r="DD239" s="1541"/>
      <c r="DE239" s="1541"/>
      <c r="DF239" s="1541"/>
      <c r="DG239" s="1541"/>
      <c r="DH239" s="1541"/>
      <c r="DI239" s="1541"/>
      <c r="DJ239" s="1541"/>
      <c r="DK239" s="1541"/>
      <c r="DL239" s="1541"/>
      <c r="DM239" s="1541"/>
      <c r="DN239" s="1541"/>
      <c r="DO239" s="1541"/>
      <c r="DP239" s="1541"/>
      <c r="DQ239" s="1541"/>
      <c r="DR239" s="1541"/>
      <c r="DS239" s="1541"/>
      <c r="DT239" s="1541"/>
      <c r="DU239" s="1541"/>
      <c r="DV239" s="1541"/>
      <c r="DW239" s="1541"/>
      <c r="DX239" s="1540"/>
    </row>
    <row r="240" spans="1:129" s="1542" customFormat="1" ht="13.5" hidden="1" customHeight="1" outlineLevel="1">
      <c r="A240" s="1540"/>
      <c r="B240" s="1541"/>
      <c r="C240" s="1541"/>
      <c r="D240" s="1541"/>
      <c r="E240" s="1541"/>
      <c r="F240" s="1541"/>
      <c r="G240" s="1541"/>
      <c r="H240" s="1541"/>
      <c r="I240" s="1541"/>
      <c r="J240" s="1541"/>
      <c r="K240" s="1541"/>
      <c r="L240" s="1541"/>
      <c r="M240" s="1541"/>
      <c r="N240" s="1541"/>
      <c r="O240" s="1541"/>
      <c r="P240" s="1541"/>
      <c r="Q240" s="1541"/>
      <c r="R240" s="1541"/>
      <c r="S240" s="1541"/>
      <c r="T240" s="1541"/>
      <c r="U240" s="1541"/>
      <c r="V240" s="1541"/>
      <c r="W240" s="1541"/>
      <c r="X240" s="1541"/>
      <c r="Y240" s="1541"/>
      <c r="Z240" s="1541"/>
      <c r="AA240" s="1541"/>
      <c r="AB240" s="1541"/>
      <c r="AC240" s="1541"/>
      <c r="AD240" s="1541"/>
      <c r="AE240" s="1541"/>
      <c r="AF240" s="1541"/>
      <c r="AG240" s="1541"/>
      <c r="AH240" s="1541"/>
      <c r="AI240" s="1541"/>
      <c r="AJ240" s="1541"/>
      <c r="AK240" s="1541"/>
      <c r="AL240" s="1541"/>
      <c r="AM240" s="1541"/>
      <c r="AN240" s="1541"/>
      <c r="AO240" s="1541"/>
      <c r="AP240" s="1541"/>
      <c r="AQ240" s="1541"/>
      <c r="AR240" s="1541"/>
      <c r="AS240" s="1541"/>
      <c r="AT240" s="1541"/>
      <c r="AU240" s="1541"/>
      <c r="AV240" s="1541"/>
      <c r="AW240" s="1541"/>
      <c r="AX240" s="1541"/>
      <c r="AY240" s="1541"/>
      <c r="AZ240" s="1541"/>
      <c r="BA240" s="1541"/>
      <c r="BB240" s="1541"/>
      <c r="BC240" s="1541"/>
      <c r="BD240" s="1541"/>
      <c r="BE240" s="1541"/>
      <c r="BF240" s="1541"/>
      <c r="BG240" s="1541"/>
      <c r="BH240" s="1541"/>
      <c r="BI240" s="1541"/>
      <c r="BJ240" s="1541"/>
      <c r="BK240" s="1541"/>
      <c r="BL240" s="1541"/>
      <c r="BM240" s="1541"/>
      <c r="BN240" s="1541"/>
      <c r="BO240" s="1541"/>
      <c r="BP240" s="1541"/>
      <c r="BQ240" s="1541"/>
      <c r="BR240" s="1541"/>
      <c r="BS240" s="1541"/>
      <c r="BT240" s="1541"/>
      <c r="BU240" s="1541"/>
      <c r="BV240" s="1541"/>
      <c r="BW240" s="1541"/>
      <c r="BX240" s="1541"/>
      <c r="BY240" s="1541"/>
      <c r="BZ240" s="1541"/>
      <c r="CA240" s="1541"/>
      <c r="CB240" s="1541"/>
      <c r="CC240" s="1541"/>
      <c r="CD240" s="1541"/>
      <c r="CE240" s="1541"/>
      <c r="CF240" s="1541"/>
      <c r="CG240" s="1541"/>
      <c r="CH240" s="1541"/>
      <c r="CI240" s="1541"/>
      <c r="CJ240" s="1541"/>
      <c r="CK240" s="1541"/>
      <c r="CL240" s="1541"/>
      <c r="CM240" s="1541"/>
      <c r="CN240" s="1541"/>
      <c r="CO240" s="1541"/>
      <c r="CP240" s="1541"/>
      <c r="CQ240" s="1541"/>
      <c r="CR240" s="1541"/>
      <c r="CS240" s="1541"/>
      <c r="CT240" s="1541"/>
      <c r="CU240" s="1541"/>
      <c r="CV240" s="1541"/>
      <c r="CW240" s="1541"/>
      <c r="CX240" s="1541"/>
      <c r="CY240" s="1541"/>
      <c r="CZ240" s="1541"/>
      <c r="DA240" s="1541"/>
      <c r="DB240" s="1541"/>
      <c r="DC240" s="1541"/>
      <c r="DD240" s="1541"/>
      <c r="DE240" s="1541"/>
      <c r="DF240" s="1541"/>
      <c r="DG240" s="1541"/>
      <c r="DH240" s="1541"/>
      <c r="DI240" s="1541"/>
      <c r="DJ240" s="1541"/>
      <c r="DK240" s="1541"/>
      <c r="DL240" s="1541"/>
      <c r="DM240" s="1541"/>
      <c r="DN240" s="1541"/>
      <c r="DO240" s="1541"/>
      <c r="DP240" s="1541"/>
      <c r="DQ240" s="1541"/>
      <c r="DR240" s="1541"/>
      <c r="DS240" s="1541"/>
      <c r="DT240" s="1541"/>
      <c r="DU240" s="1541"/>
      <c r="DV240" s="1541"/>
      <c r="DW240" s="1541"/>
      <c r="DX240" s="1540"/>
    </row>
    <row r="241" spans="1:130" s="1545" customFormat="1" ht="13.5" hidden="1" customHeight="1" outlineLevel="1">
      <c r="A241" s="1543" t="s">
        <v>708</v>
      </c>
      <c r="B241" s="1544">
        <v>1606.3440000000001</v>
      </c>
      <c r="C241" s="1544">
        <v>255.01</v>
      </c>
      <c r="D241" s="1544">
        <v>2933.152</v>
      </c>
      <c r="E241" s="1544">
        <v>331.30799999999999</v>
      </c>
      <c r="F241" s="1544">
        <v>2772.78</v>
      </c>
      <c r="G241" s="1544">
        <v>162</v>
      </c>
      <c r="H241" s="1544"/>
      <c r="I241" s="1544">
        <v>1028.3230000000001</v>
      </c>
      <c r="J241" s="1544">
        <v>3386.88</v>
      </c>
      <c r="K241" s="1544">
        <v>310.18599999999998</v>
      </c>
      <c r="L241" s="1544">
        <v>0</v>
      </c>
      <c r="M241" s="1544">
        <v>3947.68</v>
      </c>
      <c r="N241" s="1544">
        <v>1989.12</v>
      </c>
      <c r="O241" s="1544">
        <v>6674.8</v>
      </c>
      <c r="P241" s="1544">
        <v>631.59</v>
      </c>
      <c r="Q241" s="1544">
        <v>3727.36</v>
      </c>
      <c r="R241" s="1544"/>
      <c r="S241" s="1544">
        <v>11181.52</v>
      </c>
      <c r="T241" s="1544">
        <v>208.8</v>
      </c>
      <c r="U241" s="1544">
        <v>3318</v>
      </c>
      <c r="V241" s="1544">
        <v>416.4</v>
      </c>
      <c r="W241" s="1544"/>
      <c r="X241" s="1544"/>
      <c r="Y241" s="1544">
        <v>2999.96</v>
      </c>
      <c r="Z241" s="1544">
        <v>0</v>
      </c>
      <c r="AA241" s="1544">
        <v>3334.08</v>
      </c>
      <c r="AB241" s="1544">
        <v>439.08</v>
      </c>
      <c r="AC241" s="1544"/>
      <c r="AD241" s="1544">
        <v>1317.6</v>
      </c>
      <c r="AE241" s="1544"/>
      <c r="AF241" s="1544"/>
      <c r="AG241" s="1544">
        <v>1955.24</v>
      </c>
      <c r="AH241" s="1544"/>
      <c r="AI241" s="1544"/>
      <c r="AJ241" s="1544"/>
      <c r="AK241" s="1544"/>
      <c r="AL241" s="1544">
        <v>1151.8399999999999</v>
      </c>
      <c r="AM241" s="1544">
        <v>11571</v>
      </c>
      <c r="AN241" s="1544"/>
      <c r="AO241" s="1544">
        <v>534</v>
      </c>
      <c r="AP241" s="1544">
        <v>135.6</v>
      </c>
      <c r="AQ241" s="1544">
        <v>809.6</v>
      </c>
      <c r="AR241" s="1544">
        <v>173.94</v>
      </c>
      <c r="AS241" s="1544">
        <v>34.450000000000003</v>
      </c>
      <c r="AT241" s="1544"/>
      <c r="AU241" s="1544">
        <v>24.707999999999998</v>
      </c>
      <c r="AV241" s="1544">
        <v>11.382</v>
      </c>
      <c r="AW241" s="1544">
        <v>0</v>
      </c>
      <c r="AX241" s="1544">
        <v>0</v>
      </c>
      <c r="AY241" s="1544">
        <v>1740</v>
      </c>
      <c r="AZ241" s="1544">
        <v>334</v>
      </c>
      <c r="BA241" s="1544">
        <v>297</v>
      </c>
      <c r="BB241" s="1544">
        <v>1488.2</v>
      </c>
      <c r="BC241" s="1544">
        <v>423.6</v>
      </c>
      <c r="BD241" s="1544">
        <v>930</v>
      </c>
      <c r="BE241" s="1544">
        <v>190.5</v>
      </c>
      <c r="BF241" s="1544"/>
      <c r="BG241" s="1544"/>
      <c r="BH241" s="1544"/>
      <c r="BI241" s="1544"/>
      <c r="BJ241" s="1544"/>
      <c r="BK241" s="1544">
        <v>139</v>
      </c>
      <c r="BL241" s="1544">
        <v>4.2</v>
      </c>
      <c r="BM241" s="1544">
        <v>1419</v>
      </c>
      <c r="BN241" s="1544"/>
      <c r="BO241" s="1544">
        <v>1857.2</v>
      </c>
      <c r="BP241" s="1544"/>
      <c r="BQ241" s="1544">
        <v>157.5</v>
      </c>
      <c r="BR241" s="1544"/>
      <c r="BS241" s="1544"/>
      <c r="BT241" s="1544"/>
      <c r="BU241" s="1544">
        <v>618</v>
      </c>
      <c r="BV241" s="1544">
        <v>864</v>
      </c>
      <c r="BW241" s="1544">
        <v>3481.75</v>
      </c>
      <c r="BX241" s="1544">
        <v>42</v>
      </c>
      <c r="BY241" s="1544"/>
      <c r="BZ241" s="1544">
        <v>1553.22</v>
      </c>
      <c r="CA241" s="1544">
        <v>0</v>
      </c>
      <c r="CB241" s="1544"/>
      <c r="CC241" s="1544"/>
      <c r="CD241" s="1544">
        <v>26034</v>
      </c>
      <c r="CE241" s="1544">
        <v>16494</v>
      </c>
      <c r="CF241" s="1544"/>
      <c r="CG241" s="1544">
        <v>3153.6</v>
      </c>
      <c r="CH241" s="1544"/>
      <c r="CI241" s="1544"/>
      <c r="CJ241" s="1544"/>
      <c r="CK241" s="1544">
        <v>240</v>
      </c>
      <c r="CL241" s="1544"/>
      <c r="CM241" s="1544"/>
      <c r="CN241" s="1544"/>
      <c r="CO241" s="1544">
        <v>61.5</v>
      </c>
      <c r="CP241" s="1544">
        <v>425</v>
      </c>
      <c r="CQ241" s="1544"/>
      <c r="CR241" s="1544">
        <v>204</v>
      </c>
      <c r="CS241" s="1544"/>
      <c r="CT241" s="1544">
        <v>385.2</v>
      </c>
      <c r="CU241" s="1544">
        <v>2035.8</v>
      </c>
      <c r="CV241" s="1544"/>
      <c r="CW241" s="1544">
        <v>1184.76</v>
      </c>
      <c r="CX241" s="1544"/>
      <c r="CY241" s="1544">
        <v>636.66</v>
      </c>
      <c r="CZ241" s="1544">
        <v>421.56</v>
      </c>
      <c r="DA241" s="1544">
        <v>2380.75</v>
      </c>
      <c r="DB241" s="1544">
        <v>7995</v>
      </c>
      <c r="DC241" s="1544">
        <v>3060</v>
      </c>
      <c r="DD241" s="1544"/>
      <c r="DE241" s="1544"/>
      <c r="DF241" s="1544">
        <v>1852.5</v>
      </c>
      <c r="DG241" s="1544">
        <v>25.5</v>
      </c>
      <c r="DH241" s="1544">
        <v>924</v>
      </c>
      <c r="DI241" s="1544"/>
      <c r="DJ241" s="1544">
        <v>1225</v>
      </c>
      <c r="DK241" s="1544">
        <v>604</v>
      </c>
      <c r="DL241" s="1544"/>
      <c r="DM241" s="1544"/>
      <c r="DN241" s="1544"/>
      <c r="DO241" s="1544">
        <v>144</v>
      </c>
      <c r="DP241" s="1544">
        <v>438</v>
      </c>
      <c r="DQ241" s="1544"/>
      <c r="DR241" s="1544"/>
      <c r="DS241" s="1544"/>
      <c r="DT241" s="1544"/>
      <c r="DU241" s="1544"/>
      <c r="DV241" s="1544"/>
      <c r="DW241" s="1544">
        <v>185876.26300000001</v>
      </c>
      <c r="DX241" s="1540" t="s">
        <v>708</v>
      </c>
    </row>
    <row r="242" spans="1:130" ht="15.75" hidden="1" customHeight="1" outlineLevel="1">
      <c r="A242" s="550" t="s">
        <v>709</v>
      </c>
      <c r="B242" s="1537"/>
      <c r="C242" s="1537"/>
      <c r="D242" s="1537"/>
      <c r="E242" s="1537"/>
      <c r="F242" s="1537"/>
      <c r="G242" s="1537"/>
      <c r="H242" s="1537"/>
      <c r="I242" s="1537"/>
      <c r="J242" s="1537"/>
      <c r="K242" s="1537"/>
      <c r="L242" s="1537"/>
      <c r="M242" s="1537"/>
      <c r="N242" s="1537"/>
      <c r="O242" s="1537"/>
      <c r="P242" s="1537"/>
      <c r="Q242" s="1537"/>
      <c r="R242" s="1537"/>
      <c r="S242" s="1537"/>
      <c r="T242" s="1537"/>
      <c r="U242" s="1537"/>
      <c r="V242" s="1537"/>
      <c r="W242" s="1537"/>
      <c r="X242" s="1537"/>
      <c r="Y242" s="1537"/>
      <c r="Z242" s="1537"/>
      <c r="AA242" s="1537"/>
      <c r="AB242" s="1537"/>
      <c r="AC242" s="1537"/>
      <c r="AD242" s="1537"/>
      <c r="AE242" s="1537"/>
      <c r="AF242" s="1537"/>
      <c r="AG242" s="1537"/>
      <c r="AH242" s="1537"/>
      <c r="AI242" s="1537"/>
      <c r="AJ242" s="1537"/>
      <c r="AK242" s="1537"/>
      <c r="AL242" s="1537"/>
      <c r="AM242" s="1537"/>
      <c r="AN242" s="1537"/>
      <c r="AO242" s="1537"/>
      <c r="AP242" s="1537"/>
      <c r="AQ242" s="1537"/>
      <c r="AR242" s="1537"/>
      <c r="AS242" s="1537"/>
      <c r="AT242" s="1537"/>
      <c r="AU242" s="1537"/>
      <c r="AV242" s="1537"/>
      <c r="AW242" s="1537"/>
      <c r="AX242" s="1537"/>
      <c r="AY242" s="1537"/>
      <c r="AZ242" s="1537"/>
      <c r="BA242" s="1537"/>
      <c r="BB242" s="1537"/>
      <c r="BC242" s="1537"/>
      <c r="BD242" s="1537"/>
      <c r="BE242" s="1537"/>
      <c r="BF242" s="1537"/>
      <c r="BG242" s="1537"/>
      <c r="BH242" s="1537"/>
      <c r="BI242" s="1537"/>
      <c r="BJ242" s="1537"/>
      <c r="BK242" s="1537"/>
      <c r="BL242" s="1537"/>
      <c r="BM242" s="1537"/>
      <c r="BN242" s="1537"/>
      <c r="BO242" s="1537"/>
      <c r="BP242" s="1537"/>
      <c r="BQ242" s="1537"/>
      <c r="BR242" s="1537"/>
      <c r="BS242" s="1537"/>
      <c r="BT242" s="1537"/>
      <c r="BU242" s="1537"/>
      <c r="BV242" s="1537"/>
      <c r="BW242" s="1537"/>
      <c r="BX242" s="1537"/>
      <c r="BY242" s="1537"/>
      <c r="BZ242" s="1537"/>
      <c r="CA242" s="1537"/>
      <c r="CB242" s="1537"/>
      <c r="CC242" s="1537"/>
      <c r="CD242" s="1537"/>
      <c r="CE242" s="1537"/>
      <c r="CF242" s="1537"/>
      <c r="CG242" s="1537"/>
      <c r="CH242" s="1537"/>
      <c r="CI242" s="1537"/>
      <c r="CJ242" s="1537"/>
      <c r="CK242" s="1537"/>
      <c r="CL242" s="1537"/>
      <c r="CM242" s="1537"/>
      <c r="CN242" s="1537"/>
      <c r="CO242" s="1537"/>
      <c r="CP242" s="1537"/>
      <c r="CQ242" s="1537"/>
      <c r="CR242" s="1537"/>
      <c r="CS242" s="1537"/>
      <c r="CT242" s="1537"/>
      <c r="CU242" s="1537"/>
      <c r="CV242" s="1537"/>
      <c r="CW242" s="1537"/>
      <c r="CX242" s="1537"/>
      <c r="CY242" s="1537"/>
      <c r="CZ242" s="1537"/>
      <c r="DA242" s="1537"/>
      <c r="DB242" s="1537"/>
      <c r="DC242" s="1537"/>
      <c r="DD242" s="1537"/>
      <c r="DE242" s="1537"/>
      <c r="DF242" s="1537"/>
      <c r="DG242" s="1537"/>
      <c r="DH242" s="1537"/>
      <c r="DI242" s="1537"/>
      <c r="DJ242" s="1537"/>
      <c r="DK242" s="1537"/>
      <c r="DL242" s="1537"/>
      <c r="DM242" s="1537"/>
      <c r="DN242" s="1537"/>
      <c r="DO242" s="1537"/>
      <c r="DP242" s="1537"/>
      <c r="DQ242" s="1537"/>
      <c r="DR242" s="1537"/>
      <c r="DS242" s="1537"/>
      <c r="DT242" s="1537"/>
      <c r="DU242" s="1537"/>
      <c r="DV242" s="1537"/>
      <c r="DW242" s="1537"/>
      <c r="DX242" s="1537"/>
      <c r="DY242" s="1537"/>
      <c r="DZ242" s="1537"/>
    </row>
    <row r="243" spans="1:130" ht="78" hidden="1" customHeight="1" outlineLevel="1" collapsed="1">
      <c r="A243" s="1546"/>
      <c r="B243" s="1547" t="s">
        <v>165</v>
      </c>
      <c r="C243" s="1547"/>
      <c r="D243" s="1547"/>
      <c r="E243" s="1548" t="s">
        <v>33</v>
      </c>
      <c r="F243" s="1548" t="s">
        <v>298</v>
      </c>
      <c r="G243" s="1549" t="s">
        <v>164</v>
      </c>
      <c r="H243" s="1549"/>
      <c r="I243" s="1549"/>
      <c r="J243" s="1549" t="s">
        <v>131</v>
      </c>
      <c r="K243" s="1549"/>
      <c r="L243" s="1548" t="s">
        <v>124</v>
      </c>
      <c r="M243" s="1548" t="s">
        <v>710</v>
      </c>
      <c r="N243" s="1548" t="s">
        <v>107</v>
      </c>
      <c r="O243" s="1548" t="s">
        <v>307</v>
      </c>
      <c r="P243" s="1548" t="s">
        <v>521</v>
      </c>
      <c r="Q243" s="1548" t="s">
        <v>305</v>
      </c>
      <c r="R243" s="1548"/>
      <c r="S243" s="1548" t="s">
        <v>108</v>
      </c>
      <c r="T243" s="1548" t="s">
        <v>87</v>
      </c>
      <c r="U243" s="1548" t="s">
        <v>176</v>
      </c>
      <c r="V243" s="1548" t="s">
        <v>418</v>
      </c>
      <c r="W243" s="1548"/>
      <c r="X243" s="1548"/>
      <c r="Y243" s="1548" t="s">
        <v>118</v>
      </c>
      <c r="Z243" s="1548" t="s">
        <v>92</v>
      </c>
      <c r="AA243" s="1548" t="s">
        <v>420</v>
      </c>
      <c r="AB243" s="1548" t="s">
        <v>109</v>
      </c>
      <c r="AC243" s="1548"/>
      <c r="AD243" s="1548" t="s">
        <v>319</v>
      </c>
      <c r="AE243" s="1548"/>
      <c r="AF243" s="1548"/>
      <c r="AG243" s="1548" t="s">
        <v>96</v>
      </c>
      <c r="AH243" s="1548"/>
      <c r="AI243" s="1548"/>
      <c r="AJ243" s="1548"/>
      <c r="AK243" s="1548"/>
      <c r="AL243" s="1548" t="s">
        <v>711</v>
      </c>
      <c r="AM243" s="1548" t="s">
        <v>322</v>
      </c>
      <c r="AN243" s="1548"/>
      <c r="AO243" s="1548" t="s">
        <v>323</v>
      </c>
      <c r="AP243" s="1548" t="s">
        <v>160</v>
      </c>
      <c r="AQ243" s="1548" t="s">
        <v>321</v>
      </c>
      <c r="AR243" s="1548" t="s">
        <v>712</v>
      </c>
      <c r="AS243" s="1548" t="s">
        <v>520</v>
      </c>
      <c r="AT243" s="1548" t="s">
        <v>179</v>
      </c>
      <c r="AU243" s="1548" t="s">
        <v>179</v>
      </c>
      <c r="AV243" s="1548" t="s">
        <v>713</v>
      </c>
      <c r="AW243" s="1548" t="s">
        <v>136</v>
      </c>
      <c r="AX243" s="1548" t="s">
        <v>421</v>
      </c>
      <c r="AY243" s="1548" t="s">
        <v>304</v>
      </c>
      <c r="AZ243" s="1548" t="s">
        <v>93</v>
      </c>
      <c r="BA243" s="1548" t="s">
        <v>714</v>
      </c>
      <c r="BB243" s="1548" t="s">
        <v>310</v>
      </c>
      <c r="BC243" s="1548" t="s">
        <v>147</v>
      </c>
      <c r="BD243" s="1548" t="s">
        <v>715</v>
      </c>
      <c r="BE243" s="1548" t="s">
        <v>127</v>
      </c>
      <c r="BF243" s="1548"/>
      <c r="BG243" s="1548"/>
      <c r="BH243" s="1548"/>
      <c r="BI243" s="1548"/>
      <c r="BJ243" s="1548"/>
      <c r="BK243" s="1548" t="s">
        <v>716</v>
      </c>
      <c r="BL243" s="1548" t="s">
        <v>448</v>
      </c>
      <c r="BM243" s="1548" t="s">
        <v>303</v>
      </c>
      <c r="BN243" s="1548"/>
      <c r="BO243" s="1548" t="s">
        <v>390</v>
      </c>
      <c r="BP243" s="1548"/>
      <c r="BQ243" s="1548" t="s">
        <v>449</v>
      </c>
      <c r="BR243" s="1548"/>
      <c r="BS243" s="1548"/>
      <c r="BT243" s="1548"/>
      <c r="BU243" s="1548" t="s">
        <v>146</v>
      </c>
      <c r="BV243" s="1548" t="s">
        <v>523</v>
      </c>
      <c r="BW243" s="1548" t="s">
        <v>158</v>
      </c>
      <c r="BX243" s="1548" t="s">
        <v>123</v>
      </c>
      <c r="BY243" s="1548"/>
      <c r="BZ243" s="1548" t="s">
        <v>522</v>
      </c>
      <c r="CA243" s="1548" t="s">
        <v>150</v>
      </c>
      <c r="CB243" s="1548"/>
      <c r="CC243" s="1548"/>
      <c r="CD243" s="1548" t="s">
        <v>309</v>
      </c>
      <c r="CE243" s="1548" t="s">
        <v>144</v>
      </c>
      <c r="CF243" s="1548"/>
      <c r="CG243" s="1548" t="s">
        <v>524</v>
      </c>
      <c r="CH243" s="1548" t="s">
        <v>159</v>
      </c>
      <c r="CI243" s="1548"/>
      <c r="CJ243" s="1548"/>
      <c r="CK243" s="1548" t="s">
        <v>151</v>
      </c>
      <c r="CL243" s="1548"/>
      <c r="CM243" s="1548"/>
      <c r="CN243" s="1548"/>
      <c r="CO243" s="1548" t="s">
        <v>98</v>
      </c>
      <c r="CP243" s="1548" t="s">
        <v>175</v>
      </c>
      <c r="CQ243" s="1548"/>
      <c r="CR243" s="1548" t="s">
        <v>268</v>
      </c>
      <c r="CS243" s="1548"/>
      <c r="CT243" s="1548" t="s">
        <v>155</v>
      </c>
      <c r="CU243" s="1548" t="s">
        <v>717</v>
      </c>
      <c r="CV243" s="1548"/>
      <c r="CW243" s="1548" t="s">
        <v>315</v>
      </c>
      <c r="CX243" s="1548"/>
      <c r="CY243" s="1548" t="s">
        <v>314</v>
      </c>
      <c r="CZ243" s="1548" t="s">
        <v>130</v>
      </c>
      <c r="DA243" s="1548" t="s">
        <v>312</v>
      </c>
      <c r="DB243" s="1548" t="s">
        <v>313</v>
      </c>
      <c r="DC243" s="1548" t="s">
        <v>101</v>
      </c>
      <c r="DD243" s="1548" t="s">
        <v>316</v>
      </c>
      <c r="DE243" s="1548"/>
      <c r="DF243" s="1548" t="s">
        <v>718</v>
      </c>
      <c r="DG243" s="1548" t="s">
        <v>452</v>
      </c>
      <c r="DH243" s="1548" t="s">
        <v>417</v>
      </c>
      <c r="DI243" s="1548"/>
      <c r="DJ243" s="1548" t="s">
        <v>135</v>
      </c>
      <c r="DK243" s="1548" t="s">
        <v>168</v>
      </c>
      <c r="DL243" s="1548"/>
      <c r="DM243" s="1548"/>
      <c r="DN243" s="1548"/>
      <c r="DO243" s="1548" t="s">
        <v>419</v>
      </c>
      <c r="DP243" s="1548" t="s">
        <v>302</v>
      </c>
      <c r="DQ243" s="1548" t="s">
        <v>441</v>
      </c>
      <c r="DR243" s="1548" t="s">
        <v>719</v>
      </c>
      <c r="DS243" s="1548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2.9" hidden="1" customHeight="1" outlineLevel="1">
      <c r="A244" s="1550"/>
      <c r="B244" s="1547"/>
      <c r="C244" s="1551"/>
      <c r="D244" s="613"/>
      <c r="E244" s="1548">
        <v>1594</v>
      </c>
      <c r="F244" s="1552" t="s">
        <v>534</v>
      </c>
      <c r="G244" s="1549" t="s">
        <v>532</v>
      </c>
      <c r="H244" s="1549"/>
      <c r="I244" s="1549"/>
      <c r="J244" s="1549" t="s">
        <v>530</v>
      </c>
      <c r="K244" s="1549"/>
      <c r="L244" s="1548" t="s">
        <v>529</v>
      </c>
      <c r="M244" s="1548" t="s">
        <v>531</v>
      </c>
      <c r="N244" s="1548" t="s">
        <v>535</v>
      </c>
      <c r="O244" s="1548" t="s">
        <v>568</v>
      </c>
      <c r="P244" s="1548" t="s">
        <v>565</v>
      </c>
      <c r="Q244" s="1548" t="s">
        <v>566</v>
      </c>
      <c r="R244" s="1548"/>
      <c r="S244" s="1548" t="s">
        <v>720</v>
      </c>
      <c r="T244" s="1548" t="s">
        <v>542</v>
      </c>
      <c r="U244" s="1548" t="s">
        <v>605</v>
      </c>
      <c r="V244" s="1548" t="s">
        <v>608</v>
      </c>
      <c r="W244" s="1548"/>
      <c r="X244" s="1548"/>
      <c r="Y244" s="1548" t="s">
        <v>604</v>
      </c>
      <c r="Z244" s="1548" t="s">
        <v>614</v>
      </c>
      <c r="AA244" s="1548" t="s">
        <v>612</v>
      </c>
      <c r="AB244" s="1548" t="s">
        <v>617</v>
      </c>
      <c r="AC244" s="1548"/>
      <c r="AD244" s="1548" t="s">
        <v>616</v>
      </c>
      <c r="AE244" s="1548"/>
      <c r="AF244" s="1548"/>
      <c r="AG244" s="1548">
        <v>326636013</v>
      </c>
      <c r="AH244" s="1548"/>
      <c r="AI244" s="1548"/>
      <c r="AJ244" s="1548"/>
      <c r="AK244" s="1548"/>
      <c r="AL244" s="1548" t="s">
        <v>721</v>
      </c>
      <c r="AM244" s="1548" t="s">
        <v>621</v>
      </c>
      <c r="AN244" s="1548"/>
      <c r="AO244" s="1548" t="s">
        <v>622</v>
      </c>
      <c r="AP244" s="1548" t="s">
        <v>623</v>
      </c>
      <c r="AQ244" s="1548" t="s">
        <v>620</v>
      </c>
      <c r="AR244" s="1548" t="s">
        <v>722</v>
      </c>
      <c r="AS244" s="1548" t="s">
        <v>560</v>
      </c>
      <c r="AT244" s="1548" t="s">
        <v>723</v>
      </c>
      <c r="AU244" s="1548" t="s">
        <v>723</v>
      </c>
      <c r="AV244" s="1548" t="s">
        <v>724</v>
      </c>
      <c r="AW244" s="1548" t="s">
        <v>725</v>
      </c>
      <c r="AX244" s="1548" t="s">
        <v>563</v>
      </c>
      <c r="AY244" s="1548" t="s">
        <v>562</v>
      </c>
      <c r="AZ244" s="1548" t="s">
        <v>726</v>
      </c>
      <c r="BA244" s="1548" t="s">
        <v>572</v>
      </c>
      <c r="BB244" s="1548" t="s">
        <v>580</v>
      </c>
      <c r="BC244" s="1548" t="s">
        <v>727</v>
      </c>
      <c r="BD244" s="1548" t="s">
        <v>559</v>
      </c>
      <c r="BE244" s="1548" t="s">
        <v>728</v>
      </c>
      <c r="BF244" s="1548"/>
      <c r="BG244" s="1548"/>
      <c r="BH244" s="1548"/>
      <c r="BI244" s="1548"/>
      <c r="BJ244" s="1548"/>
      <c r="BK244" s="1548" t="s">
        <v>729</v>
      </c>
      <c r="BL244" s="1548" t="s">
        <v>556</v>
      </c>
      <c r="BM244" s="1548" t="s">
        <v>553</v>
      </c>
      <c r="BN244" s="1548"/>
      <c r="BO244" s="1548" t="s">
        <v>555</v>
      </c>
      <c r="BP244" s="1548"/>
      <c r="BQ244" s="1548" t="s">
        <v>579</v>
      </c>
      <c r="BR244" s="1548"/>
      <c r="BS244" s="1548"/>
      <c r="BT244" s="1548"/>
      <c r="BU244" s="1553" t="s">
        <v>576</v>
      </c>
      <c r="BV244" s="1548" t="s">
        <v>574</v>
      </c>
      <c r="BW244" s="1548" t="s">
        <v>730</v>
      </c>
      <c r="BX244" s="1548" t="s">
        <v>731</v>
      </c>
      <c r="BY244" s="1548"/>
      <c r="BZ244" s="1548" t="s">
        <v>571</v>
      </c>
      <c r="CA244" s="1548" t="s">
        <v>732</v>
      </c>
      <c r="CB244" s="1548"/>
      <c r="CC244" s="1548"/>
      <c r="CD244" s="1548" t="s">
        <v>575</v>
      </c>
      <c r="CE244" s="1548" t="s">
        <v>584</v>
      </c>
      <c r="CF244" s="1548"/>
      <c r="CG244" s="1548" t="s">
        <v>583</v>
      </c>
      <c r="CH244" s="1548" t="s">
        <v>733</v>
      </c>
      <c r="CI244" s="1548"/>
      <c r="CJ244" s="1548"/>
      <c r="CK244" s="1548" t="s">
        <v>734</v>
      </c>
      <c r="CL244" s="1548"/>
      <c r="CM244" s="1548"/>
      <c r="CN244" s="1548"/>
      <c r="CO244" s="1548">
        <v>327192013</v>
      </c>
      <c r="CP244" s="1553" t="s">
        <v>564</v>
      </c>
      <c r="CQ244" s="1553"/>
      <c r="CR244" s="1548" t="s">
        <v>735</v>
      </c>
      <c r="CS244" s="1548"/>
      <c r="CT244" s="1548" t="s">
        <v>543</v>
      </c>
      <c r="CU244" s="1548" t="s">
        <v>736</v>
      </c>
      <c r="CV244" s="1548"/>
      <c r="CW244" s="1548" t="s">
        <v>595</v>
      </c>
      <c r="CX244" s="1548"/>
      <c r="CY244" s="1548" t="s">
        <v>594</v>
      </c>
      <c r="CZ244" s="1548" t="s">
        <v>589</v>
      </c>
      <c r="DA244" s="1548" t="s">
        <v>587</v>
      </c>
      <c r="DB244" s="1548" t="s">
        <v>588</v>
      </c>
      <c r="DC244" s="1548">
        <v>326635016</v>
      </c>
      <c r="DD244" s="1548" t="s">
        <v>597</v>
      </c>
      <c r="DE244" s="1548"/>
      <c r="DF244" s="1548" t="s">
        <v>737</v>
      </c>
      <c r="DG244" s="1548" t="s">
        <v>591</v>
      </c>
      <c r="DH244" s="1548" t="s">
        <v>590</v>
      </c>
      <c r="DI244" s="1548"/>
      <c r="DJ244" s="1548" t="s">
        <v>611</v>
      </c>
      <c r="DK244" s="1548" t="s">
        <v>540</v>
      </c>
      <c r="DL244" s="1548"/>
      <c r="DM244" s="1548"/>
      <c r="DN244" s="1548"/>
      <c r="DO244" s="1548" t="s">
        <v>603</v>
      </c>
      <c r="DP244" s="1548" t="s">
        <v>548</v>
      </c>
      <c r="DQ244" s="1548" t="s">
        <v>546</v>
      </c>
      <c r="DR244" s="1548" t="s">
        <v>738</v>
      </c>
      <c r="DS244" s="1548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2.9" hidden="1" customHeight="1" outlineLevel="1">
      <c r="A245" s="1554" t="s">
        <v>165</v>
      </c>
      <c r="B245" s="1555">
        <v>157659.82810000001</v>
      </c>
      <c r="C245" s="1555"/>
      <c r="D245" s="1555"/>
      <c r="E245" s="1556"/>
      <c r="F245" s="1557">
        <v>222</v>
      </c>
      <c r="G245" s="1558">
        <v>260.35599999999999</v>
      </c>
      <c r="H245" s="1558"/>
      <c r="I245" s="1558"/>
      <c r="J245" s="1559">
        <v>817.36599999999999</v>
      </c>
      <c r="K245" s="1559"/>
      <c r="L245" s="1560">
        <v>2805.27</v>
      </c>
      <c r="M245" s="1561">
        <v>2481.8580000000002</v>
      </c>
      <c r="N245" s="1562">
        <v>193.202</v>
      </c>
      <c r="O245" s="1557">
        <v>12.757999999999999</v>
      </c>
      <c r="P245" s="1557">
        <v>276.64</v>
      </c>
      <c r="Q245" s="1560">
        <v>28.113099999999999</v>
      </c>
      <c r="R245" s="1560"/>
      <c r="S245" s="1557">
        <v>18.2</v>
      </c>
      <c r="T245" s="1562">
        <v>5526.32</v>
      </c>
      <c r="U245" s="1561">
        <v>421.2</v>
      </c>
      <c r="V245" s="1563">
        <v>1280.8800000000001</v>
      </c>
      <c r="W245" s="1563"/>
      <c r="X245" s="1563"/>
      <c r="Y245" s="1562">
        <v>243</v>
      </c>
      <c r="Z245" s="1561">
        <v>4023</v>
      </c>
      <c r="AA245" s="1564">
        <v>2164.75</v>
      </c>
      <c r="AB245" s="1565">
        <v>240</v>
      </c>
      <c r="AC245" s="1565"/>
      <c r="AD245" s="1565">
        <v>1381.5</v>
      </c>
      <c r="AE245" s="1565"/>
      <c r="AF245" s="1565"/>
      <c r="AG245" s="1563">
        <v>49.5</v>
      </c>
      <c r="AH245" s="1563"/>
      <c r="AI245" s="1563"/>
      <c r="AJ245" s="1563"/>
      <c r="AK245" s="1563"/>
      <c r="AL245" s="1561">
        <v>543</v>
      </c>
      <c r="AM245" s="1564">
        <v>50</v>
      </c>
      <c r="AN245" s="1564"/>
      <c r="AO245" s="1563">
        <v>219</v>
      </c>
      <c r="AP245" s="1565">
        <v>564</v>
      </c>
      <c r="AQ245" s="1565">
        <v>600</v>
      </c>
      <c r="AR245" s="1563">
        <v>162</v>
      </c>
      <c r="AS245" s="1564">
        <v>5559.8</v>
      </c>
      <c r="AT245" s="1562">
        <v>184</v>
      </c>
      <c r="AU245" s="1562">
        <v>184</v>
      </c>
      <c r="AV245" s="1557">
        <v>4140</v>
      </c>
      <c r="AW245" s="1557"/>
      <c r="AX245" s="1557">
        <v>110.4</v>
      </c>
      <c r="AY245" s="1557">
        <v>942</v>
      </c>
      <c r="AZ245" s="1557"/>
      <c r="BA245" s="1557">
        <v>631.125</v>
      </c>
      <c r="BB245" s="1565">
        <v>1.6</v>
      </c>
      <c r="BC245" s="1565">
        <v>173.9</v>
      </c>
      <c r="BD245" s="1563">
        <v>1078.24</v>
      </c>
      <c r="BE245" s="1557">
        <v>8.2799999999999994</v>
      </c>
      <c r="BF245" s="1557"/>
      <c r="BG245" s="1557"/>
      <c r="BH245" s="1557"/>
      <c r="BI245" s="1557"/>
      <c r="BJ245" s="1563"/>
      <c r="BK245" s="1560"/>
      <c r="BL245" s="1565">
        <v>1536.92</v>
      </c>
      <c r="BM245" s="1565">
        <v>462.24</v>
      </c>
      <c r="BN245" s="1565"/>
      <c r="BO245" s="1564">
        <v>1198.8</v>
      </c>
      <c r="BP245" s="1564"/>
      <c r="BQ245" s="1560">
        <v>209</v>
      </c>
      <c r="BR245" s="1560"/>
      <c r="BS245" s="1560"/>
      <c r="BT245" s="1560"/>
      <c r="BU245" s="1565">
        <v>169.5</v>
      </c>
      <c r="BV245" s="1565">
        <v>1839.3</v>
      </c>
      <c r="BW245" s="1565">
        <v>12.6</v>
      </c>
      <c r="BX245" s="1563"/>
      <c r="BY245" s="1563"/>
      <c r="BZ245" s="1563">
        <v>3175.5</v>
      </c>
      <c r="CA245" s="1563">
        <v>9</v>
      </c>
      <c r="CB245" s="1563"/>
      <c r="CC245" s="1563"/>
      <c r="CD245" s="1561">
        <v>963</v>
      </c>
      <c r="CE245" s="1564">
        <v>120</v>
      </c>
      <c r="CF245" s="1564"/>
      <c r="CG245" s="1563">
        <v>4170.2</v>
      </c>
      <c r="CH245" s="1563">
        <v>259</v>
      </c>
      <c r="CI245" s="1563"/>
      <c r="CJ245" s="1563"/>
      <c r="CK245" s="1563">
        <v>33.75</v>
      </c>
      <c r="CL245" s="1563"/>
      <c r="CM245" s="1563"/>
      <c r="CN245" s="1563"/>
      <c r="CO245" s="1561">
        <v>842.4</v>
      </c>
      <c r="CP245" s="1565">
        <v>1352.4</v>
      </c>
      <c r="CQ245" s="1565"/>
      <c r="CR245" s="1561">
        <v>48</v>
      </c>
      <c r="CS245" s="1561"/>
      <c r="CT245" s="1563">
        <v>713.36</v>
      </c>
      <c r="CU245" s="1565">
        <v>60</v>
      </c>
      <c r="CV245" s="1565"/>
      <c r="CW245" s="1563">
        <v>8436.4</v>
      </c>
      <c r="CX245" s="1563"/>
      <c r="CY245" s="1562">
        <v>27823</v>
      </c>
      <c r="CZ245" s="1557">
        <v>309</v>
      </c>
      <c r="DA245" s="1557">
        <v>2090.75</v>
      </c>
      <c r="DB245" s="1563">
        <v>84</v>
      </c>
      <c r="DC245" s="1562">
        <v>91.5</v>
      </c>
      <c r="DD245" s="1562">
        <v>2949.48</v>
      </c>
      <c r="DE245" s="1562"/>
      <c r="DF245" s="1565">
        <v>381</v>
      </c>
      <c r="DG245" s="1565">
        <v>9.24</v>
      </c>
      <c r="DH245" s="1565">
        <v>1200.78</v>
      </c>
      <c r="DI245" s="1565"/>
      <c r="DJ245" s="1561">
        <v>451.62</v>
      </c>
      <c r="DK245" s="1561">
        <v>444</v>
      </c>
      <c r="DL245" s="1561"/>
      <c r="DM245" s="1561"/>
      <c r="DN245" s="1561"/>
      <c r="DO245" s="1562">
        <v>484</v>
      </c>
      <c r="DP245" s="1560">
        <v>348</v>
      </c>
      <c r="DQ245" s="1557">
        <v>313.2</v>
      </c>
      <c r="DR245" s="1562">
        <v>470.96</v>
      </c>
      <c r="DS245" s="1565">
        <v>19722.64</v>
      </c>
      <c r="DT245" s="66">
        <v>3.7</v>
      </c>
      <c r="DU245" s="66">
        <v>606.96</v>
      </c>
      <c r="DV245" s="1566">
        <v>2421.7199999999998</v>
      </c>
      <c r="DW245" s="66">
        <v>41.83</v>
      </c>
      <c r="DX245" s="1566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67"/>
      <c r="C246" s="1567"/>
      <c r="D246" s="1567"/>
      <c r="E246" s="1567"/>
      <c r="F246" s="1567"/>
      <c r="G246" s="1567"/>
      <c r="H246" s="1567"/>
      <c r="I246" s="1567"/>
      <c r="J246" s="1567"/>
      <c r="K246" s="1567"/>
      <c r="L246" s="1567"/>
      <c r="M246" s="1567"/>
      <c r="N246" s="1567"/>
      <c r="O246" s="1567"/>
      <c r="P246" s="1567"/>
      <c r="Q246" s="1567"/>
      <c r="R246" s="1567"/>
      <c r="S246" s="1567"/>
      <c r="T246" s="1567"/>
      <c r="U246" s="1567"/>
      <c r="V246" s="1567"/>
      <c r="W246" s="1567"/>
      <c r="X246" s="1567"/>
      <c r="Y246" s="1567"/>
      <c r="Z246" s="1567"/>
      <c r="AA246" s="1567"/>
      <c r="AB246" s="1567"/>
      <c r="AC246" s="1567"/>
      <c r="AD246" s="1567"/>
      <c r="AE246" s="1567"/>
      <c r="AF246" s="1567"/>
      <c r="AG246" s="1567"/>
      <c r="AH246" s="1567"/>
      <c r="AI246" s="1567"/>
      <c r="AJ246" s="1567"/>
      <c r="AK246" s="1567"/>
      <c r="AL246" s="1567"/>
      <c r="AM246" s="1567"/>
      <c r="AN246" s="1567"/>
      <c r="AO246" s="1567"/>
      <c r="AP246" s="1567"/>
      <c r="AQ246" s="1567"/>
      <c r="AR246" s="1567"/>
      <c r="AS246" s="1567"/>
      <c r="AT246" s="1567"/>
      <c r="AU246" s="1567"/>
      <c r="AV246" s="1567"/>
      <c r="AW246" s="1567"/>
      <c r="AX246" s="1567"/>
      <c r="AY246" s="1567"/>
      <c r="AZ246" s="1567"/>
      <c r="BA246" s="1567"/>
      <c r="BB246" s="1567"/>
      <c r="BC246" s="1567"/>
      <c r="BD246" s="1567"/>
      <c r="BE246" s="1567"/>
      <c r="BF246" s="1567"/>
      <c r="BG246" s="1567"/>
      <c r="BH246" s="1567"/>
      <c r="BI246" s="1567"/>
      <c r="BJ246" s="1567"/>
      <c r="BK246" s="1567"/>
      <c r="BL246" s="1567"/>
      <c r="BM246" s="1567"/>
      <c r="BN246" s="1567"/>
      <c r="BO246" s="1567"/>
      <c r="BP246" s="1567"/>
      <c r="BQ246" s="1567"/>
      <c r="BR246" s="1567"/>
      <c r="BS246" s="1567"/>
      <c r="BT246" s="1567"/>
      <c r="BU246" s="1567"/>
      <c r="BV246" s="1567"/>
      <c r="BW246" s="1567"/>
      <c r="BX246" s="1567"/>
      <c r="BY246" s="1567"/>
      <c r="BZ246" s="1567"/>
      <c r="CA246" s="1567"/>
      <c r="CB246" s="1567"/>
      <c r="CC246" s="1567"/>
      <c r="CD246" s="1567"/>
      <c r="CE246" s="1567"/>
      <c r="CF246" s="1567"/>
      <c r="CG246" s="1567"/>
      <c r="CH246" s="1567"/>
      <c r="CI246" s="1567"/>
      <c r="CJ246" s="1567"/>
      <c r="CK246" s="1567"/>
      <c r="CL246" s="1567"/>
      <c r="CM246" s="1567"/>
      <c r="CN246" s="1567"/>
      <c r="CO246" s="1567"/>
      <c r="CP246" s="1567"/>
      <c r="CQ246" s="1567"/>
      <c r="CR246" s="1567"/>
      <c r="CS246" s="1567"/>
      <c r="CT246" s="1567"/>
      <c r="CU246" s="1567"/>
      <c r="CV246" s="1567"/>
      <c r="CW246" s="1567"/>
      <c r="CX246" s="1567"/>
      <c r="CY246" s="1567"/>
      <c r="CZ246" s="1567"/>
      <c r="DA246" s="1567"/>
      <c r="DB246" s="1567"/>
      <c r="DC246" s="1567"/>
      <c r="DD246" s="1567"/>
      <c r="DE246" s="1567"/>
      <c r="DF246" s="1567"/>
      <c r="DG246" s="1567"/>
      <c r="DH246" s="1567"/>
      <c r="DI246" s="1567"/>
      <c r="DJ246" s="1567"/>
      <c r="DK246" s="1567"/>
      <c r="DL246" s="1567"/>
      <c r="DM246" s="1567"/>
      <c r="DN246" s="1567"/>
      <c r="DO246" s="1567"/>
      <c r="DP246" s="1567"/>
      <c r="DQ246" s="1567"/>
      <c r="DR246" s="1567"/>
      <c r="DS246" s="1567"/>
      <c r="DT246" s="1567"/>
      <c r="DU246" s="1567"/>
      <c r="DV246" s="1567"/>
      <c r="DW246" s="1567"/>
      <c r="DX246" s="1567"/>
      <c r="DY246" s="1567"/>
      <c r="DZ246" s="1567"/>
    </row>
    <row r="247" spans="1:130" ht="15" hidden="1" customHeight="1" outlineLevel="1">
      <c r="B247" s="1567" t="e">
        <f t="shared" ref="B247:G247" si="319">HLOOKUP(B$244,$6:$6,1,0)</f>
        <v>#N/A</v>
      </c>
      <c r="C247" s="1567" t="e">
        <f t="shared" si="319"/>
        <v>#N/A</v>
      </c>
      <c r="D247" s="1567" t="e">
        <f t="shared" si="319"/>
        <v>#N/A</v>
      </c>
      <c r="E247" s="1567" t="e">
        <f t="shared" si="319"/>
        <v>#N/A</v>
      </c>
      <c r="F247" s="1567" t="str">
        <f t="shared" si="319"/>
        <v>Н0000090511</v>
      </c>
      <c r="G247" s="1567" t="str">
        <f t="shared" si="319"/>
        <v>Н0000088745</v>
      </c>
      <c r="H247" s="1567"/>
      <c r="I247" s="1567" t="e">
        <f t="shared" ref="I247:Q247" si="320">HLOOKUP(I$244,$6:$6,1,0)</f>
        <v>#N/A</v>
      </c>
      <c r="J247" s="1567" t="str">
        <f t="shared" si="320"/>
        <v>Н0000086487</v>
      </c>
      <c r="K247" s="1567" t="e">
        <f t="shared" si="320"/>
        <v>#N/A</v>
      </c>
      <c r="L247" s="1567" t="str">
        <f t="shared" si="320"/>
        <v>Н0000086159</v>
      </c>
      <c r="M247" s="1567" t="str">
        <f t="shared" si="320"/>
        <v>Н0000086542</v>
      </c>
      <c r="N247" s="1567" t="str">
        <f t="shared" si="320"/>
        <v>Н0000080826</v>
      </c>
      <c r="O247" s="1567" t="str">
        <f t="shared" si="320"/>
        <v>Н0000092242</v>
      </c>
      <c r="P247" s="1567" t="str">
        <f t="shared" si="320"/>
        <v>Н0000094740</v>
      </c>
      <c r="Q247" s="1567" t="str">
        <f t="shared" si="320"/>
        <v>Н0000091561</v>
      </c>
      <c r="R247" s="1567"/>
      <c r="S247" s="1567" t="e">
        <f>HLOOKUP(S$244,$6:$6,1,0)</f>
        <v>#N/A</v>
      </c>
      <c r="T247" s="1567" t="str">
        <f>HLOOKUP(T$244,$6:$6,1,0)</f>
        <v>Н0000082882</v>
      </c>
      <c r="U247" s="1567" t="str">
        <f>HLOOKUP(U$244,$6:$6,1,0)</f>
        <v>Н0000089213</v>
      </c>
      <c r="V247" s="1567" t="str">
        <f>HLOOKUP(V$244,$6:$6,1,0)</f>
        <v>Н0000085591</v>
      </c>
      <c r="W247" s="1567"/>
      <c r="X247" s="1567"/>
      <c r="Y247" s="1567" t="str">
        <f>HLOOKUP(Y$244,$6:$6,1,0)</f>
        <v>Н0000085588</v>
      </c>
      <c r="Z247" s="1567" t="str">
        <f>HLOOKUP(Z$244,$6:$6,1,0)</f>
        <v>Н0000083957</v>
      </c>
      <c r="AA247" s="1567" t="str">
        <f>HLOOKUP(AA$244,$6:$6,1,0)</f>
        <v>Н0000079142</v>
      </c>
      <c r="AB247" s="1567" t="str">
        <f>HLOOKUP(AB$244,$6:$6,1,0)</f>
        <v>Н0000085587</v>
      </c>
      <c r="AC247" s="1567"/>
      <c r="AD247" s="1567" t="str">
        <f>HLOOKUP(AD$244,$6:$6,1,0)</f>
        <v>Н0000094363</v>
      </c>
      <c r="AE247" s="1567"/>
      <c r="AF247" s="1567"/>
      <c r="AG247" s="1567">
        <f>HLOOKUP(AG$244,$6:$6,1,0)</f>
        <v>326636013</v>
      </c>
      <c r="AH247" s="1567"/>
      <c r="AI247" s="1567"/>
      <c r="AJ247" s="1567"/>
      <c r="AK247" s="1567"/>
      <c r="AL247" s="1567" t="e">
        <f>HLOOKUP(AL$244,$6:$6,1,0)</f>
        <v>#N/A</v>
      </c>
      <c r="AM247" s="1567" t="str">
        <f>HLOOKUP(AM$244,$6:$6,1,0)</f>
        <v>Н0000093768</v>
      </c>
      <c r="AN247" s="1567"/>
      <c r="AO247" s="1567" t="e">
        <f t="shared" ref="AO247:BE247" si="321">HLOOKUP(AO$244,$6:$6,1,0)</f>
        <v>#N/A</v>
      </c>
      <c r="AP247" s="1567" t="str">
        <f t="shared" si="321"/>
        <v>Н0000088626</v>
      </c>
      <c r="AQ247" s="1567" t="str">
        <f t="shared" si="321"/>
        <v>Н0000084378</v>
      </c>
      <c r="AR247" s="1567" t="e">
        <f t="shared" si="321"/>
        <v>#N/A</v>
      </c>
      <c r="AS247" s="1567" t="str">
        <f t="shared" si="321"/>
        <v>Н0000094735</v>
      </c>
      <c r="AT247" s="1567" t="e">
        <f t="shared" si="321"/>
        <v>#N/A</v>
      </c>
      <c r="AU247" s="1567" t="e">
        <f t="shared" si="321"/>
        <v>#N/A</v>
      </c>
      <c r="AV247" s="1567" t="e">
        <f t="shared" si="321"/>
        <v>#N/A</v>
      </c>
      <c r="AW247" s="1567" t="e">
        <f t="shared" si="321"/>
        <v>#N/A</v>
      </c>
      <c r="AX247" s="1567" t="str">
        <f t="shared" si="321"/>
        <v>Н0000090331</v>
      </c>
      <c r="AY247" s="1567" t="str">
        <f t="shared" si="321"/>
        <v>Н0000094274</v>
      </c>
      <c r="AZ247" s="1567" t="e">
        <f t="shared" si="321"/>
        <v>#N/A</v>
      </c>
      <c r="BA247" s="1567" t="str">
        <f t="shared" si="321"/>
        <v>Н0000094698</v>
      </c>
      <c r="BB247" s="1567" t="str">
        <f t="shared" si="321"/>
        <v>Н0000094897</v>
      </c>
      <c r="BC247" s="1567" t="e">
        <f t="shared" si="321"/>
        <v>#N/A</v>
      </c>
      <c r="BD247" s="1567" t="str">
        <f t="shared" si="321"/>
        <v>Н0000094734</v>
      </c>
      <c r="BE247" s="1567" t="e">
        <f t="shared" si="321"/>
        <v>#N/A</v>
      </c>
      <c r="BF247" s="1567"/>
      <c r="BG247" s="1567"/>
      <c r="BH247" s="1567"/>
      <c r="BI247" s="1567"/>
      <c r="BJ247" s="1567"/>
      <c r="BK247" s="1567" t="e">
        <f>HLOOKUP(BK$244,$6:$6,1,0)</f>
        <v>#N/A</v>
      </c>
      <c r="BL247" s="1567" t="str">
        <f>HLOOKUP(BL$244,$6:$6,1,0)</f>
        <v>Н0000094726</v>
      </c>
      <c r="BM247" s="1567" t="str">
        <f>HLOOKUP(BM$244,$6:$6,1,0)</f>
        <v>Н0000093998</v>
      </c>
      <c r="BN247" s="1567"/>
      <c r="BO247" s="1567" t="str">
        <f>HLOOKUP(BO$244,$6:$6,1,0)</f>
        <v>Н0000094497</v>
      </c>
      <c r="BP247" s="1567"/>
      <c r="BQ247" s="1567" t="str">
        <f>HLOOKUP(BQ$244,$6:$6,1,0)</f>
        <v>Н0000094739</v>
      </c>
      <c r="BR247" s="1567"/>
      <c r="BS247" s="1567"/>
      <c r="BT247" s="1567"/>
      <c r="BU247" s="1567" t="str">
        <f>HLOOKUP(BU$244,$6:$6,1,0)</f>
        <v>Н0000087862</v>
      </c>
      <c r="BV247" s="1567" t="str">
        <f>HLOOKUP(BV$244,$6:$6,1,0)</f>
        <v>Н0000094728</v>
      </c>
      <c r="BW247" s="1567" t="e">
        <f>HLOOKUP(BW$244,$6:$6,1,0)</f>
        <v>#N/A</v>
      </c>
      <c r="BX247" s="1567" t="e">
        <f>HLOOKUP(BX$244,$6:$6,1,0)</f>
        <v>#N/A</v>
      </c>
      <c r="BY247" s="1567"/>
      <c r="BZ247" s="1567" t="str">
        <f>HLOOKUP(BZ$244,$6:$6,1,0)</f>
        <v>Н0000094736</v>
      </c>
      <c r="CA247" s="1567" t="e">
        <f>HLOOKUP(CA$244,$6:$6,1,0)</f>
        <v>#N/A</v>
      </c>
      <c r="CB247" s="1567"/>
      <c r="CC247" s="1567"/>
      <c r="CD247" s="1567" t="str">
        <f>HLOOKUP(CD$244,$6:$6,1,0)</f>
        <v>Н0000090381</v>
      </c>
      <c r="CE247" s="1567" t="str">
        <f>HLOOKUP(CE$244,$6:$6,1,0)</f>
        <v>Н0000087861</v>
      </c>
      <c r="CF247" s="1567"/>
      <c r="CG247" s="1567" t="str">
        <f>HLOOKUP(CG$244,$6:$6,1,0)</f>
        <v>Н0000094727</v>
      </c>
      <c r="CH247" s="1567" t="e">
        <f>HLOOKUP(CH$244,$6:$6,1,0)</f>
        <v>#N/A</v>
      </c>
      <c r="CI247" s="1567"/>
      <c r="CJ247" s="1567"/>
      <c r="CK247" s="1567" t="e">
        <f>HLOOKUP(CK$244,$6:$6,1,0)</f>
        <v>#N/A</v>
      </c>
      <c r="CL247" s="1567"/>
      <c r="CM247" s="1567"/>
      <c r="CN247" s="1567"/>
      <c r="CO247" s="1567">
        <f>HLOOKUP(CO$244,$6:$6,1,0)</f>
        <v>327192013</v>
      </c>
      <c r="CP247" s="1567" t="str">
        <f>HLOOKUP(CP$244,$6:$6,1,0)</f>
        <v>Н0000089109</v>
      </c>
      <c r="CQ247" s="1567"/>
      <c r="CR247" s="1567" t="e">
        <f>HLOOKUP(CR$244,$6:$6,1,0)</f>
        <v>#N/A</v>
      </c>
      <c r="CS247" s="1567"/>
      <c r="CT247" s="1567" t="str">
        <f>HLOOKUP(CT$244,$6:$6,1,0)</f>
        <v>Н0000088470</v>
      </c>
      <c r="CU247" s="1567" t="e">
        <f>HLOOKUP(CU$244,$6:$6,1,0)</f>
        <v>#N/A</v>
      </c>
      <c r="CV247" s="1567"/>
      <c r="CW247" s="1567" t="str">
        <f>HLOOKUP(CW$244,$6:$6,1,0)</f>
        <v>Н0000088471</v>
      </c>
      <c r="CX247" s="1567"/>
      <c r="CY247" s="1567" t="str">
        <f t="shared" ref="CY247:DD247" si="322">HLOOKUP(CY$244,$6:$6,1,0)</f>
        <v>Н0000086888</v>
      </c>
      <c r="CZ247" s="1567" t="e">
        <f t="shared" si="322"/>
        <v>#N/A</v>
      </c>
      <c r="DA247" s="1567" t="str">
        <f t="shared" si="322"/>
        <v>Н0000094030</v>
      </c>
      <c r="DB247" s="1567" t="str">
        <f t="shared" si="322"/>
        <v>Н0000094029</v>
      </c>
      <c r="DC247" s="1567">
        <f t="shared" si="322"/>
        <v>326635016</v>
      </c>
      <c r="DD247" s="1567" t="str">
        <f t="shared" si="322"/>
        <v>Н0000093950</v>
      </c>
      <c r="DE247" s="1567"/>
      <c r="DF247" s="1567" t="e">
        <f>HLOOKUP(DF$244,$6:$6,1,0)</f>
        <v>#N/A</v>
      </c>
      <c r="DG247" s="1567" t="str">
        <f>HLOOKUP(DG$244,$6:$6,1,0)</f>
        <v>Н0000094994</v>
      </c>
      <c r="DH247" s="1567" t="str">
        <f>HLOOKUP(DH$244,$6:$6,1,0)</f>
        <v>Н0000086350</v>
      </c>
      <c r="DI247" s="1567"/>
      <c r="DJ247" s="1567" t="str">
        <f>HLOOKUP(DJ$244,$6:$6,1,0)</f>
        <v>Н0000086352</v>
      </c>
      <c r="DK247" s="1567" t="e">
        <f>HLOOKUP(DK$244,$6:$6,1,0)</f>
        <v>#N/A</v>
      </c>
      <c r="DL247" s="1567"/>
      <c r="DM247" s="1567"/>
      <c r="DN247" s="1567"/>
      <c r="DO247" s="1567" t="str">
        <f t="shared" ref="DO247:DX247" si="323">HLOOKUP(DO$244,$6:$6,1,0)</f>
        <v>Н0000090708</v>
      </c>
      <c r="DP247" s="1567" t="str">
        <f t="shared" si="323"/>
        <v>Н0000090330</v>
      </c>
      <c r="DQ247" s="1567" t="str">
        <f t="shared" si="323"/>
        <v>Н0000094741</v>
      </c>
      <c r="DR247" s="1567" t="e">
        <f t="shared" si="323"/>
        <v>#N/A</v>
      </c>
      <c r="DS247" s="1567" t="str">
        <f t="shared" si="323"/>
        <v>Н0000081879</v>
      </c>
      <c r="DT247" s="1567" t="e">
        <f t="shared" si="323"/>
        <v>#N/A</v>
      </c>
      <c r="DU247" s="1567" t="e">
        <f t="shared" si="323"/>
        <v>#N/A</v>
      </c>
      <c r="DV247" s="1567" t="str">
        <f t="shared" si="323"/>
        <v>Н0000093444</v>
      </c>
      <c r="DW247" s="1567" t="str">
        <f t="shared" si="323"/>
        <v>Н0000094632</v>
      </c>
      <c r="DX247" s="1567" t="str">
        <f t="shared" si="323"/>
        <v>Н0000094227</v>
      </c>
      <c r="DY247" s="1567"/>
      <c r="DZ247" s="1567"/>
    </row>
    <row r="248" spans="1:130" ht="26.1" hidden="1" customHeight="1" outlineLevel="1">
      <c r="S248" s="1568"/>
    </row>
    <row r="249" spans="1:130" ht="15" customHeight="1" collapsed="1"/>
    <row r="280" spans="1:128" ht="51.75" customHeight="1" outlineLevel="1">
      <c r="A280" s="1569"/>
      <c r="B280" s="1570" t="s">
        <v>131</v>
      </c>
      <c r="C280" s="1570" t="s">
        <v>124</v>
      </c>
      <c r="D280" s="1570" t="s">
        <v>154</v>
      </c>
      <c r="E280" s="1570" t="s">
        <v>132</v>
      </c>
      <c r="F280" s="1570" t="s">
        <v>106</v>
      </c>
      <c r="G280" s="1570"/>
      <c r="H280" s="1570"/>
      <c r="I280" s="1570" t="s">
        <v>108</v>
      </c>
      <c r="J280" s="1570"/>
      <c r="K280" s="1570"/>
      <c r="L280" s="1570"/>
      <c r="M280" s="1570"/>
      <c r="N280" s="1570" t="s">
        <v>176</v>
      </c>
      <c r="O280" s="1570"/>
      <c r="P280" s="1570" t="s">
        <v>119</v>
      </c>
      <c r="Q280" s="1570" t="s">
        <v>109</v>
      </c>
      <c r="R280" s="1570"/>
      <c r="S280" s="1570"/>
      <c r="T280" s="1570"/>
      <c r="U280" s="1570"/>
      <c r="V280" s="1570"/>
      <c r="W280" s="1570"/>
      <c r="X280" s="1570"/>
      <c r="Y280" s="1570" t="s">
        <v>96</v>
      </c>
      <c r="Z280" s="1570" t="s">
        <v>134</v>
      </c>
      <c r="AA280" s="1570" t="s">
        <v>740</v>
      </c>
      <c r="AB280" s="1570"/>
      <c r="AC280" s="1570"/>
      <c r="AD280" s="1570"/>
      <c r="AE280" s="1570"/>
      <c r="AF280" s="1570"/>
      <c r="AG280" s="1570"/>
      <c r="AH280" s="1570"/>
      <c r="AI280" s="1570"/>
      <c r="AJ280" s="1570"/>
      <c r="AK280" s="1570"/>
      <c r="AL280" s="1570" t="s">
        <v>160</v>
      </c>
      <c r="AM280" s="1570"/>
      <c r="AN280" s="1570"/>
      <c r="AO280" s="1570"/>
      <c r="AP280" s="1570"/>
      <c r="AQ280" s="1570" t="s">
        <v>137</v>
      </c>
      <c r="AR280" s="1570" t="s">
        <v>138</v>
      </c>
      <c r="AS280" s="1570"/>
      <c r="AT280" s="1570"/>
      <c r="AU280" s="1570"/>
      <c r="AV280" s="1570"/>
      <c r="AW280" s="1570"/>
      <c r="AX280" s="1570" t="s">
        <v>149</v>
      </c>
      <c r="AY280" s="1570" t="s">
        <v>147</v>
      </c>
      <c r="AZ280" s="1570"/>
      <c r="BA280" s="1570" t="s">
        <v>100</v>
      </c>
      <c r="BB280" s="1570" t="s">
        <v>116</v>
      </c>
      <c r="BC280" s="1570" t="s">
        <v>117</v>
      </c>
      <c r="BD280" s="1570"/>
      <c r="BE280" s="1570" t="s">
        <v>146</v>
      </c>
      <c r="BF280" s="1570"/>
      <c r="BG280" s="1570"/>
      <c r="BH280" s="1570"/>
      <c r="BI280" s="1570"/>
      <c r="BJ280" s="1570"/>
      <c r="BK280" s="1570"/>
      <c r="BL280" s="1570" t="s">
        <v>112</v>
      </c>
      <c r="BM280" s="1570" t="s">
        <v>112</v>
      </c>
      <c r="BN280" s="1570"/>
      <c r="BO280" s="1570" t="s">
        <v>144</v>
      </c>
      <c r="BP280" s="1570"/>
      <c r="BQ280" s="1570" t="s">
        <v>172</v>
      </c>
      <c r="BR280" s="1570"/>
      <c r="BS280" s="1570"/>
      <c r="BT280" s="1570"/>
      <c r="BU280" s="1570" t="s">
        <v>105</v>
      </c>
      <c r="BV280" s="1570"/>
      <c r="BW280" s="1570"/>
      <c r="BX280" s="1570"/>
      <c r="BY280" s="1570"/>
      <c r="BZ280" s="1570" t="s">
        <v>115</v>
      </c>
      <c r="CA280" s="1570" t="s">
        <v>115</v>
      </c>
      <c r="CB280" s="1570"/>
      <c r="CC280" s="1570"/>
      <c r="CD280" s="1570" t="s">
        <v>741</v>
      </c>
      <c r="CE280" s="1570" t="s">
        <v>742</v>
      </c>
      <c r="CF280" s="1570"/>
      <c r="CG280" s="1570"/>
      <c r="CH280" s="1570"/>
      <c r="CI280" s="1570"/>
      <c r="CJ280" s="1570"/>
      <c r="CK280" s="1570"/>
      <c r="CL280" s="1570"/>
      <c r="CM280" s="1570"/>
      <c r="CN280" s="1570"/>
      <c r="CO280" s="1570" t="s">
        <v>155</v>
      </c>
      <c r="CP280" s="1570"/>
      <c r="CQ280" s="1570"/>
      <c r="CR280" s="1570" t="s">
        <v>156</v>
      </c>
      <c r="CS280" s="1570"/>
      <c r="CT280" s="1570" t="s">
        <v>142</v>
      </c>
      <c r="CU280" s="1570"/>
      <c r="CV280" s="1570"/>
      <c r="CW280" s="1570" t="s">
        <v>139</v>
      </c>
      <c r="CX280" s="1570"/>
      <c r="CY280" s="1570" t="s">
        <v>130</v>
      </c>
      <c r="CZ280" s="1570" t="s">
        <v>17</v>
      </c>
      <c r="DA280" s="1570" t="s">
        <v>101</v>
      </c>
      <c r="DB280" s="1570" t="s">
        <v>141</v>
      </c>
      <c r="DC280" s="1570" t="s">
        <v>743</v>
      </c>
      <c r="DD280" s="1570"/>
      <c r="DE280" s="1570"/>
      <c r="DF280" s="1570"/>
      <c r="DG280" s="1570" t="s">
        <v>135</v>
      </c>
      <c r="DH280" s="1570" t="s">
        <v>744</v>
      </c>
      <c r="DI280" s="1570"/>
      <c r="DJ280" s="1570" t="s">
        <v>86</v>
      </c>
      <c r="DK280" s="1570" t="s">
        <v>143</v>
      </c>
      <c r="DL280" s="1570"/>
      <c r="DM280" s="1570"/>
      <c r="DN280" s="1570"/>
      <c r="DO280" s="1570"/>
      <c r="DP280" s="1570" t="s">
        <v>745</v>
      </c>
      <c r="DQ280" s="1570" t="s">
        <v>162</v>
      </c>
      <c r="DR280" s="1570" t="s">
        <v>177</v>
      </c>
      <c r="DS280" s="1570"/>
      <c r="DT280" s="1570"/>
      <c r="DU280" s="1570"/>
      <c r="DV280" s="1570" t="s">
        <v>746</v>
      </c>
      <c r="DW280" s="1571" t="s">
        <v>747</v>
      </c>
    </row>
    <row r="281" spans="1:128" ht="15" customHeight="1" outlineLevel="1">
      <c r="A281" s="1572" t="s">
        <v>748</v>
      </c>
      <c r="B281" s="1573">
        <v>6</v>
      </c>
      <c r="C281" s="1573">
        <v>70.7</v>
      </c>
      <c r="D281" s="1573">
        <v>7.7679999999999998</v>
      </c>
      <c r="E281" s="1573">
        <v>82.016999999999996</v>
      </c>
      <c r="F281" s="1573">
        <v>344.1</v>
      </c>
      <c r="G281" s="1573"/>
      <c r="H281" s="1573"/>
      <c r="I281" s="1573">
        <v>849.68</v>
      </c>
      <c r="J281" s="1573"/>
      <c r="K281" s="1573"/>
      <c r="L281" s="1573"/>
      <c r="M281" s="1573"/>
      <c r="N281" s="1573">
        <v>130.4</v>
      </c>
      <c r="O281" s="1573"/>
      <c r="P281" s="1573">
        <v>571.85</v>
      </c>
      <c r="Q281" s="1573">
        <v>551</v>
      </c>
      <c r="R281" s="1573"/>
      <c r="S281" s="1573"/>
      <c r="T281" s="1574"/>
      <c r="U281" s="1574"/>
      <c r="V281" s="1574"/>
      <c r="W281" s="1574"/>
      <c r="X281" s="1574"/>
      <c r="Y281" s="1573">
        <v>12</v>
      </c>
      <c r="Z281" s="1574">
        <v>1013.66</v>
      </c>
      <c r="AA281" s="1573">
        <v>319.5</v>
      </c>
      <c r="AB281" s="1573"/>
      <c r="AC281" s="1573"/>
      <c r="AD281" s="1573"/>
      <c r="AE281" s="1573"/>
      <c r="AF281" s="1573"/>
      <c r="AG281" s="1573"/>
      <c r="AH281" s="1573"/>
      <c r="AI281" s="1573"/>
      <c r="AJ281" s="1573"/>
      <c r="AK281" s="1573"/>
      <c r="AL281" s="1573">
        <v>392</v>
      </c>
      <c r="AM281" s="1574"/>
      <c r="AN281" s="1574"/>
      <c r="AO281" s="1574"/>
      <c r="AP281" s="1573"/>
      <c r="AQ281" s="1573">
        <v>12</v>
      </c>
      <c r="AR281" s="1573">
        <v>40</v>
      </c>
      <c r="AS281" s="1573"/>
      <c r="AT281" s="1573"/>
      <c r="AU281" s="1573"/>
      <c r="AV281" s="1573"/>
      <c r="AW281" s="1573"/>
      <c r="AX281" s="1573">
        <v>2</v>
      </c>
      <c r="AY281" s="1573">
        <v>25.9</v>
      </c>
      <c r="AZ281" s="1573"/>
      <c r="BA281" s="1573">
        <v>83.72</v>
      </c>
      <c r="BB281" s="1573">
        <v>929.2</v>
      </c>
      <c r="BC281" s="1573">
        <v>432.4</v>
      </c>
      <c r="BD281" s="1573"/>
      <c r="BE281" s="1575"/>
      <c r="BF281" s="1575"/>
      <c r="BG281" s="1575"/>
      <c r="BH281" s="1575"/>
      <c r="BI281" s="1575"/>
      <c r="BJ281" s="1575"/>
      <c r="BK281" s="1573"/>
      <c r="BL281" s="1573">
        <v>42</v>
      </c>
      <c r="BM281" s="1573">
        <v>42</v>
      </c>
      <c r="BN281" s="1573"/>
      <c r="BO281" s="1573">
        <v>-1.5</v>
      </c>
      <c r="BP281" s="1573"/>
      <c r="BQ281" s="1573">
        <v>2.1</v>
      </c>
      <c r="BR281" s="1573"/>
      <c r="BS281" s="1573"/>
      <c r="BT281" s="1573"/>
      <c r="BU281" s="1573">
        <v>3</v>
      </c>
      <c r="BV281" s="1573"/>
      <c r="BW281" s="1573"/>
      <c r="BX281" s="1573"/>
      <c r="BY281" s="1573"/>
      <c r="BZ281" s="1573">
        <v>241.5</v>
      </c>
      <c r="CA281" s="1573">
        <v>241.5</v>
      </c>
      <c r="CB281" s="1573"/>
      <c r="CC281" s="1573"/>
      <c r="CD281" s="1573">
        <v>-45</v>
      </c>
      <c r="CE281" s="1573">
        <v>168</v>
      </c>
      <c r="CF281" s="1573"/>
      <c r="CG281" s="1573"/>
      <c r="CH281" s="1573"/>
      <c r="CI281" s="1573"/>
      <c r="CJ281" s="1573"/>
      <c r="CK281" s="1573"/>
      <c r="CL281" s="1573"/>
      <c r="CM281" s="1573"/>
      <c r="CN281" s="1573"/>
      <c r="CO281" s="1573">
        <v>-4.07</v>
      </c>
      <c r="CP281" s="1573"/>
      <c r="CQ281" s="1573"/>
      <c r="CR281" s="1574">
        <v>2776</v>
      </c>
      <c r="CS281" s="1574"/>
      <c r="CT281" s="1573">
        <v>157.25</v>
      </c>
      <c r="CU281" s="1573"/>
      <c r="CV281" s="1573"/>
      <c r="CW281" s="1573">
        <v>660.298</v>
      </c>
      <c r="CX281" s="1573"/>
      <c r="CY281" s="1573">
        <v>429</v>
      </c>
      <c r="CZ281" s="1574">
        <v>5152</v>
      </c>
      <c r="DA281" s="1573">
        <v>7.5</v>
      </c>
      <c r="DB281" s="1573">
        <v>954.5</v>
      </c>
      <c r="DC281" s="1573">
        <v>16.84</v>
      </c>
      <c r="DD281" s="1573"/>
      <c r="DE281" s="1573"/>
      <c r="DF281" s="1574"/>
      <c r="DG281" s="1573">
        <v>439.02</v>
      </c>
      <c r="DH281" s="1573">
        <v>-4.25</v>
      </c>
      <c r="DI281" s="1573"/>
      <c r="DJ281" s="1573">
        <v>409.28</v>
      </c>
      <c r="DK281" s="1573">
        <v>120.96</v>
      </c>
      <c r="DL281" s="1573"/>
      <c r="DM281" s="1573"/>
      <c r="DN281" s="1573"/>
      <c r="DO281" s="1573"/>
      <c r="DP281" s="1573">
        <v>70.400000000000006</v>
      </c>
      <c r="DQ281" s="1573">
        <v>136.6</v>
      </c>
      <c r="DR281" s="1573">
        <v>121.41</v>
      </c>
      <c r="DS281" s="1573"/>
      <c r="DT281" s="1573"/>
      <c r="DU281" s="1573"/>
      <c r="DV281" s="1573">
        <v>429.40499999999997</v>
      </c>
      <c r="DW281" s="1576">
        <v>46756.084999999999</v>
      </c>
      <c r="DX281" s="1577">
        <f>DW216-DW281</f>
        <v>-6089.8190000000031</v>
      </c>
    </row>
    <row r="282" spans="1:128" ht="15" customHeight="1" outlineLevel="1">
      <c r="A282" s="1572" t="s">
        <v>749</v>
      </c>
      <c r="B282" s="1573">
        <v>6</v>
      </c>
      <c r="C282" s="1575"/>
      <c r="D282" s="1573">
        <v>1.946</v>
      </c>
      <c r="E282" s="1573">
        <v>2E-3</v>
      </c>
      <c r="F282" s="1573">
        <v>11.84</v>
      </c>
      <c r="G282" s="1575"/>
      <c r="H282" s="1575"/>
      <c r="I282" s="1573">
        <v>5.2</v>
      </c>
      <c r="J282" s="1573"/>
      <c r="K282" s="1573"/>
      <c r="L282" s="1573"/>
      <c r="M282" s="1573"/>
      <c r="N282" s="1575"/>
      <c r="O282" s="1575"/>
      <c r="P282" s="1573">
        <v>1.08</v>
      </c>
      <c r="Q282" s="1575"/>
      <c r="R282" s="1575"/>
      <c r="S282" s="1575"/>
      <c r="T282" s="1573"/>
      <c r="U282" s="1573"/>
      <c r="V282" s="1573"/>
      <c r="W282" s="1573"/>
      <c r="X282" s="1573"/>
      <c r="Y282" s="1575"/>
      <c r="Z282" s="1573">
        <v>4.32</v>
      </c>
      <c r="AA282" s="1573">
        <v>3</v>
      </c>
      <c r="AB282" s="1573"/>
      <c r="AC282" s="1573"/>
      <c r="AD282" s="1573"/>
      <c r="AE282" s="1573"/>
      <c r="AF282" s="1573"/>
      <c r="AG282" s="1573"/>
      <c r="AH282" s="1573"/>
      <c r="AI282" s="1573"/>
      <c r="AJ282" s="1573"/>
      <c r="AK282" s="1573"/>
      <c r="AL282" s="1575"/>
      <c r="AM282" s="1573"/>
      <c r="AN282" s="1573"/>
      <c r="AO282" s="1575"/>
      <c r="AP282" s="1575"/>
      <c r="AQ282" s="1573">
        <v>4</v>
      </c>
      <c r="AR282" s="1575"/>
      <c r="AS282" s="1575"/>
      <c r="AT282" s="1575"/>
      <c r="AU282" s="1575"/>
      <c r="AV282" s="1575"/>
      <c r="AW282" s="1573"/>
      <c r="AX282" s="1573">
        <v>0.75</v>
      </c>
      <c r="AY282" s="1573">
        <v>3.7</v>
      </c>
      <c r="AZ282" s="1573"/>
      <c r="BA282" s="1573">
        <v>5.52</v>
      </c>
      <c r="BB282" s="1575"/>
      <c r="BC282" s="1575"/>
      <c r="BD282" s="1573"/>
      <c r="BE282" s="1573">
        <v>1.5</v>
      </c>
      <c r="BF282" s="1573"/>
      <c r="BG282" s="1573"/>
      <c r="BH282" s="1573"/>
      <c r="BI282" s="1573"/>
      <c r="BJ282" s="1573"/>
      <c r="BK282" s="1573"/>
      <c r="BL282" s="1575"/>
      <c r="BM282" s="1575"/>
      <c r="BN282" s="1575"/>
      <c r="BO282" s="1573">
        <v>3</v>
      </c>
      <c r="BP282" s="1573"/>
      <c r="BQ282" s="1575"/>
      <c r="BR282" s="1575"/>
      <c r="BS282" s="1575"/>
      <c r="BT282" s="1575"/>
      <c r="BU282" s="1573">
        <v>1.5</v>
      </c>
      <c r="BV282" s="1573"/>
      <c r="BW282" s="1573"/>
      <c r="BX282" s="1573"/>
      <c r="BY282" s="1573"/>
      <c r="BZ282" s="1573">
        <v>111</v>
      </c>
      <c r="CA282" s="1573">
        <v>111</v>
      </c>
      <c r="CB282" s="1573"/>
      <c r="CC282" s="1573"/>
      <c r="CD282" s="1575"/>
      <c r="CE282" s="1575"/>
      <c r="CF282" s="1575"/>
      <c r="CG282" s="1575"/>
      <c r="CH282" s="1575"/>
      <c r="CI282" s="1575"/>
      <c r="CJ282" s="1575"/>
      <c r="CK282" s="1573"/>
      <c r="CL282" s="1573"/>
      <c r="CM282" s="1573"/>
      <c r="CN282" s="1573"/>
      <c r="CO282" s="1573">
        <v>2.96</v>
      </c>
      <c r="CP282" s="1573"/>
      <c r="CQ282" s="1573"/>
      <c r="CR282" s="1573">
        <v>1.2</v>
      </c>
      <c r="CS282" s="1573"/>
      <c r="CT282" s="1575"/>
      <c r="CU282" s="1575"/>
      <c r="CV282" s="1575"/>
      <c r="CW282" s="1573">
        <v>3</v>
      </c>
      <c r="CX282" s="1573"/>
      <c r="CY282" s="1573">
        <v>6</v>
      </c>
      <c r="CZ282" s="1573">
        <v>3</v>
      </c>
      <c r="DA282" s="1575"/>
      <c r="DB282" s="1573">
        <v>132</v>
      </c>
      <c r="DC282" s="1575"/>
      <c r="DD282" s="1575"/>
      <c r="DE282" s="1575"/>
      <c r="DF282" s="1573"/>
      <c r="DG282" s="1573">
        <v>3.06</v>
      </c>
      <c r="DH282" s="1575"/>
      <c r="DI282" s="1575"/>
      <c r="DJ282" s="1573">
        <v>110.88</v>
      </c>
      <c r="DK282" s="1575"/>
      <c r="DL282" s="1575"/>
      <c r="DM282" s="1575"/>
      <c r="DN282" s="1575"/>
      <c r="DO282" s="1573"/>
      <c r="DP282" s="1575"/>
      <c r="DQ282" s="1575"/>
      <c r="DR282" s="1573">
        <v>2.2799999999999998</v>
      </c>
      <c r="DS282" s="1573"/>
      <c r="DT282" s="1573"/>
      <c r="DU282" s="1573"/>
      <c r="DV282" s="1573">
        <v>2.2200000000000002</v>
      </c>
      <c r="DW282" s="1576">
        <v>1521.7840000000001</v>
      </c>
      <c r="DX282" s="1577">
        <f>DW217-DW282</f>
        <v>2903.9270000000001</v>
      </c>
    </row>
    <row r="283" spans="1:128" ht="15" customHeight="1" outlineLevel="1">
      <c r="A283" s="1572"/>
      <c r="B283" s="1578" t="str">
        <f>HLOOKUP(B280,5:5,1,0)</f>
        <v>Кавказский "Умалат" (Окей), 45%, кг, в/у</v>
      </c>
      <c r="C283" s="1578" t="str">
        <f>HLOOKUP(C280,5:5,1,0)</f>
        <v>Кавказский "Умалат" (Перекресток), 45%, кг, в/у</v>
      </c>
      <c r="D283" s="1578" t="e">
        <f>HLOOKUP(D280,5:5,1,0)</f>
        <v>#N/A</v>
      </c>
      <c r="E283" s="1578" t="e">
        <f>HLOOKUP(E280,5:5,1,0)</f>
        <v>#N/A</v>
      </c>
      <c r="F283" s="1578" t="str">
        <f>HLOOKUP(F280,5:5,1,0)</f>
        <v>Кавказский "Умалат", 45%, 0,37 кг, в/у</v>
      </c>
      <c r="G283" s="1578"/>
      <c r="H283" s="1578"/>
      <c r="I283" s="1578" t="e">
        <f>HLOOKUP(I280,5:5,1,0)</f>
        <v>#N/A</v>
      </c>
      <c r="J283" s="1578"/>
      <c r="K283" s="1578"/>
      <c r="L283" s="1578"/>
      <c r="M283" s="1578"/>
      <c r="N283" s="1578" t="str">
        <f>HLOOKUP(N280,5:5,1,0)</f>
        <v>Кремчиз "Pretto", 75%, 0,2 кг, пл/с</v>
      </c>
      <c r="O283" s="1578"/>
      <c r="P283" s="1578" t="e">
        <f>HLOOKUP(P280,5:5,1,0)</f>
        <v>#N/A</v>
      </c>
      <c r="Q283" s="1578" t="e">
        <f>HLOOKUP(Q280,5:5,1,0)</f>
        <v>#N/A</v>
      </c>
      <c r="R283" s="1578"/>
      <c r="S283" s="1578"/>
      <c r="T283" s="1578"/>
      <c r="U283" s="1578"/>
      <c r="V283" s="1578"/>
      <c r="W283" s="1578"/>
      <c r="X283" s="1578"/>
      <c r="Y283" s="1578" t="str">
        <f>HLOOKUP(Y280,5:5,1,0)</f>
        <v>Маскарпоне "Глобус", 80%, 0,25 кг, пл/с</v>
      </c>
      <c r="Z283" s="1578" t="e">
        <f>HLOOKUP(Z280,5:5,1,0)</f>
        <v>#N/A</v>
      </c>
      <c r="AA283" s="1578" t="e">
        <f>HLOOKUP(AA280,5:5,1,0)</f>
        <v>#N/A</v>
      </c>
      <c r="AB283" s="1578"/>
      <c r="AC283" s="1578"/>
      <c r="AD283" s="1578"/>
      <c r="AE283" s="1578"/>
      <c r="AF283" s="1578"/>
      <c r="AG283" s="1578"/>
      <c r="AH283" s="1578"/>
      <c r="AI283" s="1578"/>
      <c r="AJ283" s="1578"/>
      <c r="AK283" s="1578"/>
      <c r="AL283" s="1578" t="str">
        <f>HLOOKUP(AL280,5:5,1,0)</f>
        <v>Масло сладко-сливочное Традиционное, 82,5%, 2 кг, к/к</v>
      </c>
      <c r="AM283" s="1578"/>
      <c r="AN283" s="1578"/>
      <c r="AO283" s="1578"/>
      <c r="AP283" s="1578"/>
      <c r="AQ283" s="1578" t="e">
        <f>HLOOKUP(AQ280,5:5,1,0)</f>
        <v>#N/A</v>
      </c>
      <c r="AR283" s="1578" t="e">
        <f>HLOOKUP(AR280,5:5,1,0)</f>
        <v>#N/A</v>
      </c>
      <c r="AS283" s="1578"/>
      <c r="AT283" s="1578"/>
      <c r="AU283" s="1578"/>
      <c r="AV283" s="1578"/>
      <c r="AW283" s="1578"/>
      <c r="AX283" s="1578" t="e">
        <f>HLOOKUP(AX280,5:5,1,0)</f>
        <v>#N/A</v>
      </c>
      <c r="AY283" s="1578" t="e">
        <f>HLOOKUP(AY280,5:5,1,0)</f>
        <v>#N/A</v>
      </c>
      <c r="AZ283" s="1578"/>
      <c r="BA283" s="1578" t="e">
        <f>HLOOKUP(BA280,5:5,1,0)</f>
        <v>#N/A</v>
      </c>
      <c r="BB283" s="1578" t="e">
        <f>HLOOKUP(BB280,5:5,1,0)</f>
        <v>#N/A</v>
      </c>
      <c r="BC283" s="1578" t="e">
        <f>HLOOKUP(BC280,5:5,1,0)</f>
        <v>#N/A</v>
      </c>
      <c r="BD283" s="1578"/>
      <c r="BE283" s="1578" t="str">
        <f>HLOOKUP(BE280,5:5,1,0)</f>
        <v>Моцарелла Фиор ди латте в воде "Fine Life", 45%, 0,125 кг, ф/п</v>
      </c>
      <c r="BF283" s="1578"/>
      <c r="BG283" s="1578"/>
      <c r="BH283" s="1578"/>
      <c r="BI283" s="1578"/>
      <c r="BJ283" s="1578"/>
      <c r="BK283" s="1578"/>
      <c r="BL283" s="1578" t="e">
        <f>HLOOKUP(BL280,5:5,1,0)</f>
        <v>#N/A</v>
      </c>
      <c r="BM283" s="1578" t="e">
        <f>HLOOKUP(BM280,5:5,1,0)</f>
        <v>#N/A</v>
      </c>
      <c r="BN283" s="1578"/>
      <c r="BO283" s="1578" t="str">
        <f>HLOOKUP(BO280,5:5,1,0)</f>
        <v>Моцарелла Чильеджина в воде "Fine Life", 45%, 0,125 кг, ф/п</v>
      </c>
      <c r="BP283" s="1578"/>
      <c r="BQ283" s="1578" t="e">
        <f>HLOOKUP(BQ280,5:5,1,0)</f>
        <v>#N/A</v>
      </c>
      <c r="BR283" s="1578"/>
      <c r="BS283" s="1578"/>
      <c r="BT283" s="1578"/>
      <c r="BU283" s="1578" t="e">
        <f>HLOOKUP(BU280,5:5,1,0)</f>
        <v>#N/A</v>
      </c>
      <c r="BV283" s="1578"/>
      <c r="BW283" s="1578"/>
      <c r="BX283" s="1578"/>
      <c r="BY283" s="1578"/>
      <c r="BZ283" s="1578" t="e">
        <f>HLOOKUP(BZ280,5:5,1,0)</f>
        <v>#N/A</v>
      </c>
      <c r="CA283" s="1578" t="e">
        <f>HLOOKUP(CA280,5:5,1,0)</f>
        <v>#N/A</v>
      </c>
      <c r="CB283" s="1578"/>
      <c r="CC283" s="1578"/>
      <c r="CD283" s="1578" t="e">
        <f>HLOOKUP(CD280,5:5,1,0)</f>
        <v>#N/A</v>
      </c>
      <c r="CE283" s="1578" t="e">
        <f>HLOOKUP(CE280,5:5,1,0)</f>
        <v>#N/A</v>
      </c>
      <c r="CF283" s="1578"/>
      <c r="CG283" s="1578"/>
      <c r="CH283" s="1578"/>
      <c r="CI283" s="1578"/>
      <c r="CJ283" s="1578"/>
      <c r="CK283" s="1578"/>
      <c r="CL283" s="1578"/>
      <c r="CM283" s="1578"/>
      <c r="CN283" s="1578"/>
      <c r="CO283" s="1578" t="str">
        <f>HLOOKUP(CO280,5:5,1,0)</f>
        <v>Рикотта "Pretto" (зернистая), 30%, 0,37 кг, в/у</v>
      </c>
      <c r="CP283" s="1578"/>
      <c r="CQ283" s="1578"/>
      <c r="CR283" s="1578" t="e">
        <f>HLOOKUP(CR280,5:5,1,0)</f>
        <v>#N/A</v>
      </c>
      <c r="CS283" s="1578"/>
      <c r="CT283" s="1578" t="e">
        <f>HLOOKUP(CT280,5:5,1,0)</f>
        <v>#N/A</v>
      </c>
      <c r="CU283" s="1578"/>
      <c r="CV283" s="1578"/>
      <c r="CW283" s="1578" t="e">
        <f>HLOOKUP(CW280,5:5,1,0)</f>
        <v>#N/A</v>
      </c>
      <c r="CX283" s="1578"/>
      <c r="CY283" s="1578" t="e">
        <f>HLOOKUP(CY280,5:5,1,0)</f>
        <v>#N/A</v>
      </c>
      <c r="CZ283" s="1578" t="e">
        <f>HLOOKUP(CZ280,5:5,1,0)</f>
        <v>#N/A</v>
      </c>
      <c r="DA283" s="1578" t="str">
        <f>HLOOKUP(DA280,5:5,1,0)</f>
        <v>Рикотта "Глобус", 45%, 0,25 кг, пл/с</v>
      </c>
      <c r="DB283" s="1578" t="e">
        <f>HLOOKUP(DB280,5:5,1,0)</f>
        <v>#N/A</v>
      </c>
      <c r="DC283" s="1578" t="e">
        <f>HLOOKUP(DC280,5:5,1,0)</f>
        <v>#N/A</v>
      </c>
      <c r="DD283" s="1578"/>
      <c r="DE283" s="1578"/>
      <c r="DF283" s="1578"/>
      <c r="DG283" s="1578" t="str">
        <f>HLOOKUP(DG280,5:5,1,0)</f>
        <v>Робиола "Unagrande", 65%, 0,18 кг, пл/с</v>
      </c>
      <c r="DH283" s="1578" t="e">
        <f>HLOOKUP(DH280,5:5,1,0)</f>
        <v>#N/A</v>
      </c>
      <c r="DI283" s="1578"/>
      <c r="DJ283" s="1578" t="e">
        <f>HLOOKUP(DJ280,5:5,1,0)</f>
        <v>#N/A</v>
      </c>
      <c r="DK283" s="1578" t="str">
        <f>HLOOKUP(DK280,5:5,1,0)</f>
        <v>Сулугуни "Маркет Перекресток", 45%, 0,28 кг, т/ф</v>
      </c>
      <c r="DL283" s="1578"/>
      <c r="DM283" s="1578"/>
      <c r="DN283" s="1578"/>
      <c r="DO283" s="1578"/>
      <c r="DP283" s="1578" t="e">
        <f>HLOOKUP(DP280,5:5,1,0)</f>
        <v>#N/A</v>
      </c>
      <c r="DQ283" s="1578" t="str">
        <f>HLOOKUP(DQ280,5:5,1,0)</f>
        <v>Четук "Умалат", 45%, 0,37 кг, в/у</v>
      </c>
      <c r="DR283" s="1578" t="e">
        <f>HLOOKUP(DR280,5:5,1,0)</f>
        <v>#N/A</v>
      </c>
      <c r="DS283" s="1578"/>
      <c r="DT283" s="1578"/>
      <c r="DU283" s="1578"/>
      <c r="DV283" s="1577"/>
    </row>
    <row r="284" spans="1:128" ht="15" customHeight="1" collapsed="1"/>
    <row r="285" spans="1:128" ht="15" customHeight="1">
      <c r="DW285" s="1577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_1"/>
    <protectedRange sqref="CD152:CE154 Z152:AB154 AX152:BF154 B152:L154 N152:Q154 BO152:BS154 AD152:AG154 AI152:AM154 BK152:BM154 CG152:CU154 CW152:CW154 DH152:DH154 CY152:DF154 AO152:AV154 DJ152:DV154 S152:X154 BU152:CA154" name="Диапазон12_1"/>
    <protectedRange sqref="B214:DW214 B130:DW132" name="Диапазон11_1"/>
    <protectedRange sqref="A187:A199 DX187:DX199" name="Диапазон9_1"/>
    <protectedRange sqref="A172:P181 Q172:R184 Y172:Y184 DX172:DX184 S172:X181 Z172:DV181" name="Диапазон7_1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_1"/>
    <protectedRange sqref="BK85:BK88 BK83 B83:BJ88 B98:DV104 B90:DV96 BL83:DV88" name="Диапазон2_1"/>
    <protectedRange sqref="B8:DV79" name="Диапазон1_1"/>
    <protectedRange sqref="B216:DV221" name="Диапазон3_1"/>
    <protectedRange sqref="DX118:DX124 A118:DV124" name="Диапазон4"/>
    <protectedRange sqref="B182:P184 S182:X184 Z182:DV184" name="Диапазон8_1"/>
    <protectedRange sqref="B216:DV221" name="Диапазон10_1"/>
    <protectedRange sqref="Y116:Y126 Y5:Y114" name="Диапазон14_1"/>
    <protectedRange sqref="AW116:AW127 AW5:AW114" name="Диапазон15_1"/>
  </protectedRanges>
  <mergeCells count="64"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B132:M132"/>
    <mergeCell ref="N132:P132"/>
    <mergeCell ref="Q132:AX132"/>
    <mergeCell ref="AY132:BV132"/>
    <mergeCell ref="BW132:CP13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2:I2"/>
    <mergeCell ref="J2:M2"/>
    <mergeCell ref="N2:P2"/>
    <mergeCell ref="Q2:S2"/>
    <mergeCell ref="U2:X2"/>
    <mergeCell ref="Y2:Z2"/>
    <mergeCell ref="AA2:AQ2"/>
    <mergeCell ref="AR2:AV2"/>
    <mergeCell ref="AW2:AX2"/>
    <mergeCell ref="AY2:BK2"/>
    <mergeCell ref="BM2:BV2"/>
    <mergeCell ref="BW2:CO2"/>
    <mergeCell ref="CR2:CW2"/>
    <mergeCell ref="CX2:CZ2"/>
    <mergeCell ref="DA2:DI2"/>
    <mergeCell ref="DS6:DT6"/>
    <mergeCell ref="DU6:DV6"/>
    <mergeCell ref="DR2:DV2"/>
    <mergeCell ref="DW2:DW5"/>
    <mergeCell ref="DR3:DV3"/>
    <mergeCell ref="DS5:DT5"/>
    <mergeCell ref="DU5:DV5"/>
  </mergeCells>
  <conditionalFormatting sqref="DQ2:DU2 DO3:DO4 DO82 DO156:DO169 N142:N143 N228:N229 N145:N148 BZ222 BW223:BZ229 BQ166:BZ169 DH166:DN169">
    <cfRule type="cellIs" dxfId="4093" priority="2746" operator="equal">
      <formula>0</formula>
    </cfRule>
  </conditionalFormatting>
  <conditionalFormatting sqref="DQ3:DU3">
    <cfRule type="cellIs" dxfId="4092" priority="2745" operator="equal">
      <formula>0</formula>
    </cfRule>
  </conditionalFormatting>
  <conditionalFormatting sqref="DQ4:DV4">
    <cfRule type="cellIs" dxfId="4091" priority="2744" operator="equal">
      <formula>0</formula>
    </cfRule>
  </conditionalFormatting>
  <conditionalFormatting sqref="DW2">
    <cfRule type="cellIs" dxfId="4090" priority="2743" operator="equal">
      <formula>0</formula>
    </cfRule>
  </conditionalFormatting>
  <conditionalFormatting sqref="DA2">
    <cfRule type="cellIs" dxfId="4089" priority="2742" operator="equal">
      <formula>0</formula>
    </cfRule>
  </conditionalFormatting>
  <conditionalFormatting sqref="DW218:DW221">
    <cfRule type="cellIs" dxfId="4088" priority="2741" operator="equal">
      <formula>0</formula>
    </cfRule>
  </conditionalFormatting>
  <conditionalFormatting sqref="DW134 DW136 DW138">
    <cfRule type="cellIs" dxfId="4087" priority="2740" operator="equal">
      <formula>0</formula>
    </cfRule>
  </conditionalFormatting>
  <conditionalFormatting sqref="DA134:DE134 DA136:DE136 DA138:DE138">
    <cfRule type="cellIs" dxfId="4086" priority="2739" operator="equal">
      <formula>0</formula>
    </cfRule>
  </conditionalFormatting>
  <conditionalFormatting sqref="DQ134:DV134 DQ136:DV136 DQ138:DV138">
    <cfRule type="cellIs" dxfId="4085" priority="2738" operator="equal">
      <formula>0</formula>
    </cfRule>
  </conditionalFormatting>
  <conditionalFormatting sqref="DW117:DW118 DW126 DW120:DW124">
    <cfRule type="cellIs" dxfId="4084" priority="2737" operator="equal">
      <formula>0</formula>
    </cfRule>
  </conditionalFormatting>
  <conditionalFormatting sqref="DW125">
    <cfRule type="cellIs" dxfId="4083" priority="2736" operator="equal">
      <formula>0</formula>
    </cfRule>
  </conditionalFormatting>
  <conditionalFormatting sqref="DW118:DW125">
    <cfRule type="cellIs" dxfId="4082" priority="2735" operator="equal">
      <formula>0</formula>
    </cfRule>
  </conditionalFormatting>
  <conditionalFormatting sqref="DW152:DW155">
    <cfRule type="cellIs" dxfId="4081" priority="2734" operator="equal">
      <formula>0</formula>
    </cfRule>
  </conditionalFormatting>
  <conditionalFormatting sqref="DW142:DW151">
    <cfRule type="cellIs" dxfId="4080" priority="2733" operator="equal">
      <formula>0</formula>
    </cfRule>
  </conditionalFormatting>
  <conditionalFormatting sqref="DW83 DW85">
    <cfRule type="cellIs" dxfId="4079" priority="2732" operator="equal">
      <formula>0</formula>
    </cfRule>
  </conditionalFormatting>
  <conditionalFormatting sqref="N201">
    <cfRule type="cellIs" dxfId="4078" priority="2731" operator="equal">
      <formula>0</formula>
    </cfRule>
  </conditionalFormatting>
  <conditionalFormatting sqref="BC143:BC144 BC149:BC154">
    <cfRule type="cellIs" dxfId="4077" priority="2730" operator="equal">
      <formula>0</formula>
    </cfRule>
  </conditionalFormatting>
  <conditionalFormatting sqref="I142:K143">
    <cfRule type="cellIs" dxfId="4076" priority="2729" operator="equal">
      <formula>0</formula>
    </cfRule>
  </conditionalFormatting>
  <conditionalFormatting sqref="BC3:BC4">
    <cfRule type="cellIs" dxfId="4075" priority="2728" operator="equal">
      <formula>0</formula>
    </cfRule>
  </conditionalFormatting>
  <conditionalFormatting sqref="BU4:BV4">
    <cfRule type="cellIs" dxfId="4074" priority="2727" operator="equal">
      <formula>0</formula>
    </cfRule>
  </conditionalFormatting>
  <conditionalFormatting sqref="DW81">
    <cfRule type="cellIs" dxfId="4073" priority="2726" operator="equal">
      <formula>0</formula>
    </cfRule>
  </conditionalFormatting>
  <conditionalFormatting sqref="DW223:DW229">
    <cfRule type="cellIs" dxfId="4072" priority="2725" operator="equal">
      <formula>0</formula>
    </cfRule>
  </conditionalFormatting>
  <conditionalFormatting sqref="DW8">
    <cfRule type="cellIs" dxfId="4071" priority="2724" operator="equal">
      <formula>0</formula>
    </cfRule>
  </conditionalFormatting>
  <conditionalFormatting sqref="DW84">
    <cfRule type="cellIs" dxfId="4070" priority="2723" operator="equal">
      <formula>0</formula>
    </cfRule>
  </conditionalFormatting>
  <conditionalFormatting sqref="DW88">
    <cfRule type="cellIs" dxfId="4069" priority="2722" operator="equal">
      <formula>0</formula>
    </cfRule>
  </conditionalFormatting>
  <conditionalFormatting sqref="DW91 DW93">
    <cfRule type="cellIs" dxfId="4068" priority="2721" operator="equal">
      <formula>0</formula>
    </cfRule>
  </conditionalFormatting>
  <conditionalFormatting sqref="DW89:DW90">
    <cfRule type="cellIs" dxfId="4067" priority="2720" operator="equal">
      <formula>0</formula>
    </cfRule>
  </conditionalFormatting>
  <conditionalFormatting sqref="DW92">
    <cfRule type="cellIs" dxfId="4066" priority="2719" operator="equal">
      <formula>0</formula>
    </cfRule>
  </conditionalFormatting>
  <conditionalFormatting sqref="DW108">
    <cfRule type="cellIs" dxfId="4065" priority="2718" operator="equal">
      <formula>0</formula>
    </cfRule>
  </conditionalFormatting>
  <conditionalFormatting sqref="CY117">
    <cfRule type="cellIs" dxfId="4064" priority="2694" operator="equal">
      <formula>0</formula>
    </cfRule>
  </conditionalFormatting>
  <conditionalFormatting sqref="DW99 DW101">
    <cfRule type="cellIs" dxfId="4063" priority="2716" operator="equal">
      <formula>0</formula>
    </cfRule>
  </conditionalFormatting>
  <conditionalFormatting sqref="DW97:DW98">
    <cfRule type="cellIs" dxfId="4062" priority="2715" operator="equal">
      <formula>0</formula>
    </cfRule>
  </conditionalFormatting>
  <conditionalFormatting sqref="DW100">
    <cfRule type="cellIs" dxfId="4061" priority="2714" operator="equal">
      <formula>0</formula>
    </cfRule>
  </conditionalFormatting>
  <conditionalFormatting sqref="DW112">
    <cfRule type="cellIs" dxfId="4060" priority="2713" operator="equal">
      <formula>0</formula>
    </cfRule>
  </conditionalFormatting>
  <conditionalFormatting sqref="DW104">
    <cfRule type="cellIs" dxfId="4059" priority="2712" operator="equal">
      <formula>0</formula>
    </cfRule>
  </conditionalFormatting>
  <conditionalFormatting sqref="DW107 DW109">
    <cfRule type="cellIs" dxfId="4058" priority="2711" operator="equal">
      <formula>0</formula>
    </cfRule>
  </conditionalFormatting>
  <conditionalFormatting sqref="DW105:DW106">
    <cfRule type="cellIs" dxfId="4057" priority="2710" operator="equal">
      <formula>0</formula>
    </cfRule>
  </conditionalFormatting>
  <conditionalFormatting sqref="DW82">
    <cfRule type="cellIs" dxfId="4056" priority="2709" operator="equal">
      <formula>0</formula>
    </cfRule>
  </conditionalFormatting>
  <conditionalFormatting sqref="DQ5:DR5">
    <cfRule type="cellIs" dxfId="4055" priority="2708" operator="equal">
      <formula>0</formula>
    </cfRule>
  </conditionalFormatting>
  <conditionalFormatting sqref="BC5">
    <cfRule type="cellIs" dxfId="4054" priority="2707" operator="equal">
      <formula>0</formula>
    </cfRule>
  </conditionalFormatting>
  <conditionalFormatting sqref="BU5:BV5">
    <cfRule type="cellIs" dxfId="4053" priority="2706" operator="equal">
      <formula>0</formula>
    </cfRule>
  </conditionalFormatting>
  <conditionalFormatting sqref="DB5:DC5">
    <cfRule type="cellIs" dxfId="4052" priority="2705" operator="equal">
      <formula>0</formula>
    </cfRule>
  </conditionalFormatting>
  <conditionalFormatting sqref="F3">
    <cfRule type="cellIs" dxfId="4051" priority="2704" operator="equal">
      <formula>0</formula>
    </cfRule>
  </conditionalFormatting>
  <conditionalFormatting sqref="F4">
    <cfRule type="cellIs" dxfId="4050" priority="2703" operator="equal">
      <formula>0</formula>
    </cfRule>
  </conditionalFormatting>
  <conditionalFormatting sqref="I142:K143">
    <cfRule type="cellIs" dxfId="4049" priority="2702" operator="equal">
      <formula>0</formula>
    </cfRule>
  </conditionalFormatting>
  <conditionalFormatting sqref="DK156:DN156">
    <cfRule type="cellIs" dxfId="4048" priority="2701" operator="equal">
      <formula>0</formula>
    </cfRule>
  </conditionalFormatting>
  <conditionalFormatting sqref="DK3:DN3 DK5:DN5">
    <cfRule type="cellIs" dxfId="4047" priority="2700" operator="equal">
      <formula>0</formula>
    </cfRule>
  </conditionalFormatting>
  <conditionalFormatting sqref="DK141:DN141 DK143:DN144 DK149:DN154">
    <cfRule type="cellIs" dxfId="4046" priority="2699" operator="equal">
      <formula>0</formula>
    </cfRule>
  </conditionalFormatting>
  <conditionalFormatting sqref="I143:K143">
    <cfRule type="cellIs" dxfId="4045" priority="2698" operator="equal">
      <formula>0</formula>
    </cfRule>
  </conditionalFormatting>
  <conditionalFormatting sqref="AS4:AT4">
    <cfRule type="cellIs" dxfId="4044" priority="2697" operator="equal">
      <formula>0</formula>
    </cfRule>
  </conditionalFormatting>
  <conditionalFormatting sqref="AS5:AV5">
    <cfRule type="cellIs" dxfId="4043" priority="2696" operator="equal">
      <formula>0</formula>
    </cfRule>
  </conditionalFormatting>
  <conditionalFormatting sqref="CY81">
    <cfRule type="cellIs" dxfId="4042" priority="2695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CZ117 CZ125:CZ126">
    <cfRule type="cellIs" dxfId="3991" priority="2620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DQ156:DR156 DT156">
    <cfRule type="cellIs" dxfId="3968" priority="2619" operator="equal">
      <formula>0</formula>
    </cfRule>
  </conditionalFormatting>
  <conditionalFormatting sqref="CZ157:CZ162">
    <cfRule type="cellIs" dxfId="3967" priority="2618" operator="equal">
      <formula>0</formula>
    </cfRule>
  </conditionalFormatting>
  <conditionalFormatting sqref="C222 DB222 DH222:DI222">
    <cfRule type="cellIs" dxfId="3966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5" priority="2616" operator="equal">
      <formula>0</formula>
    </cfRule>
  </conditionalFormatting>
  <conditionalFormatting sqref="C223:C229 DB223:DB229 DH223:DI229 BQ223:BT228">
    <cfRule type="cellIs" dxfId="3964" priority="2615" operator="equal">
      <formula>0</formula>
    </cfRule>
  </conditionalFormatting>
  <conditionalFormatting sqref="CY222:CY229">
    <cfRule type="cellIs" dxfId="3963" priority="2614" operator="equal">
      <formula>0</formula>
    </cfRule>
  </conditionalFormatting>
  <conditionalFormatting sqref="DQ222:DU229">
    <cfRule type="cellIs" dxfId="3962" priority="2613" operator="equal">
      <formula>0</formula>
    </cfRule>
  </conditionalFormatting>
  <conditionalFormatting sqref="DV222:DV229">
    <cfRule type="cellIs" dxfId="3961" priority="2612" operator="equal">
      <formula>0</formula>
    </cfRule>
  </conditionalFormatting>
  <conditionalFormatting sqref="CY124">
    <cfRule type="cellIs" dxfId="3960" priority="2588" operator="equal">
      <formula>0</formula>
    </cfRule>
  </conditionalFormatting>
  <conditionalFormatting sqref="CZ124">
    <cfRule type="cellIs" dxfId="3959" priority="2587" operator="equal">
      <formula>0</formula>
    </cfRule>
  </conditionalFormatting>
  <conditionalFormatting sqref="CZ222:CZ229">
    <cfRule type="cellIs" dxfId="3958" priority="2609" operator="equal">
      <formula>0</formula>
    </cfRule>
  </conditionalFormatting>
  <conditionalFormatting sqref="CY124">
    <cfRule type="cellIs" dxfId="3957" priority="2585" operator="equal">
      <formula>0</formula>
    </cfRule>
  </conditionalFormatting>
  <conditionalFormatting sqref="CZ124">
    <cfRule type="cellIs" dxfId="3956" priority="2584" operator="equal">
      <formula>0</formula>
    </cfRule>
  </conditionalFormatting>
  <conditionalFormatting sqref="CZ6">
    <cfRule type="cellIs" dxfId="3955" priority="2606" operator="equal">
      <formula>0</formula>
    </cfRule>
  </conditionalFormatting>
  <conditionalFormatting sqref="CY124">
    <cfRule type="cellIs" dxfId="3954" priority="2582" operator="equal">
      <formula>0</formula>
    </cfRule>
  </conditionalFormatting>
  <conditionalFormatting sqref="CZ124">
    <cfRule type="cellIs" dxfId="3953" priority="2581" operator="equal">
      <formula>0</formula>
    </cfRule>
  </conditionalFormatting>
  <conditionalFormatting sqref="DQ120:DU121">
    <cfRule type="cellIs" dxfId="3952" priority="2603" operator="equal">
      <formula>0</formula>
    </cfRule>
  </conditionalFormatting>
  <conditionalFormatting sqref="DV120:DV121">
    <cfRule type="cellIs" dxfId="3951" priority="2602" operator="equal">
      <formula>0</formula>
    </cfRule>
  </conditionalFormatting>
  <conditionalFormatting sqref="DQ120:DU121">
    <cfRule type="cellIs" dxfId="3950" priority="2601" operator="equal">
      <formula>0</formula>
    </cfRule>
  </conditionalFormatting>
  <conditionalFormatting sqref="DV120:DV121">
    <cfRule type="cellIs" dxfId="3949" priority="2600" operator="equal">
      <formula>0</formula>
    </cfRule>
  </conditionalFormatting>
  <conditionalFormatting sqref="DQ119:DU119">
    <cfRule type="cellIs" dxfId="3948" priority="2599" operator="equal">
      <formula>0</formula>
    </cfRule>
  </conditionalFormatting>
  <conditionalFormatting sqref="DV119">
    <cfRule type="cellIs" dxfId="3947" priority="2598" operator="equal">
      <formula>0</formula>
    </cfRule>
  </conditionalFormatting>
  <conditionalFormatting sqref="DJ124:DN124">
    <cfRule type="cellIs" dxfId="3946" priority="2597" operator="equal">
      <formula>0</formula>
    </cfRule>
  </conditionalFormatting>
  <conditionalFormatting sqref="DJ124:DN124">
    <cfRule type="cellIs" dxfId="3945" priority="2596" operator="equal">
      <formula>0</formula>
    </cfRule>
  </conditionalFormatting>
  <conditionalFormatting sqref="DJ124:DN124">
    <cfRule type="cellIs" dxfId="3944" priority="2595" operator="equal">
      <formula>0</formula>
    </cfRule>
  </conditionalFormatting>
  <conditionalFormatting sqref="DC3:DC4">
    <cfRule type="cellIs" dxfId="3943" priority="2594" operator="equal">
      <formula>0</formula>
    </cfRule>
  </conditionalFormatting>
  <conditionalFormatting sqref="CE3:CG4">
    <cfRule type="cellIs" dxfId="3942" priority="2593" operator="equal">
      <formula>0</formula>
    </cfRule>
  </conditionalFormatting>
  <conditionalFormatting sqref="CE5:CG5">
    <cfRule type="cellIs" dxfId="3941" priority="2592" operator="equal">
      <formula>0</formula>
    </cfRule>
  </conditionalFormatting>
  <conditionalFormatting sqref="CO156:CO165">
    <cfRule type="cellIs" dxfId="3940" priority="2591" operator="equal">
      <formula>0</formula>
    </cfRule>
  </conditionalFormatting>
  <conditionalFormatting sqref="CO156:CO165">
    <cfRule type="cellIs" dxfId="3939" priority="2590" operator="equal">
      <formula>0</formula>
    </cfRule>
  </conditionalFormatting>
  <conditionalFormatting sqref="BC124 I124">
    <cfRule type="cellIs" dxfId="3938" priority="2589" operator="equal">
      <formula>0</formula>
    </cfRule>
  </conditionalFormatting>
  <conditionalFormatting sqref="BC124">
    <cfRule type="cellIs" dxfId="3937" priority="2586" operator="equal">
      <formula>0</formula>
    </cfRule>
  </conditionalFormatting>
  <conditionalFormatting sqref="BC124">
    <cfRule type="cellIs" dxfId="3936" priority="2583" operator="equal">
      <formula>0</formula>
    </cfRule>
  </conditionalFormatting>
  <conditionalFormatting sqref="DP201:DP202 DP82 DP3:DP6 DP129 DP139:DP140 DP157:DP162 DP80 DP204:DP206">
    <cfRule type="cellIs" dxfId="3935" priority="2580" operator="equal">
      <formula>0</formula>
    </cfRule>
  </conditionalFormatting>
  <conditionalFormatting sqref="DP163:DP165">
    <cfRule type="cellIs" dxfId="3934" priority="2579" operator="equal">
      <formula>0</formula>
    </cfRule>
  </conditionalFormatting>
  <conditionalFormatting sqref="DP222">
    <cfRule type="cellIs" dxfId="3933" priority="2578" operator="equal">
      <formula>0</formula>
    </cfRule>
  </conditionalFormatting>
  <conditionalFormatting sqref="DP223:DP229">
    <cfRule type="cellIs" dxfId="3932" priority="2577" operator="equal">
      <formula>0</formula>
    </cfRule>
  </conditionalFormatting>
  <conditionalFormatting sqref="DP113:DP116">
    <cfRule type="cellIs" dxfId="3931" priority="2576" operator="equal">
      <formula>0</formula>
    </cfRule>
  </conditionalFormatting>
  <conditionalFormatting sqref="DJ145:DJ148 I145:K148 CY145:CY148">
    <cfRule type="cellIs" dxfId="3930" priority="2575" operator="equal">
      <formula>0</formula>
    </cfRule>
  </conditionalFormatting>
  <conditionalFormatting sqref="BC145:BC148">
    <cfRule type="cellIs" dxfId="3929" priority="2574" operator="equal">
      <formula>0</formula>
    </cfRule>
  </conditionalFormatting>
  <conditionalFormatting sqref="DK145:DN148">
    <cfRule type="cellIs" dxfId="3928" priority="2573" operator="equal">
      <formula>0</formula>
    </cfRule>
  </conditionalFormatting>
  <conditionalFormatting sqref="AX145:AX148">
    <cfRule type="cellIs" dxfId="3927" priority="2572" operator="equal">
      <formula>0</formula>
    </cfRule>
  </conditionalFormatting>
  <conditionalFormatting sqref="CW145:CX147 CW148 CX148:CX154">
    <cfRule type="cellIs" dxfId="3926" priority="2571" operator="equal">
      <formula>0</formula>
    </cfRule>
  </conditionalFormatting>
  <conditionalFormatting sqref="CR145:CV147 CR148:CU148 CV148:CV154">
    <cfRule type="cellIs" dxfId="3925" priority="2570" operator="equal">
      <formula>0</formula>
    </cfRule>
  </conditionalFormatting>
  <conditionalFormatting sqref="N129:O129">
    <cfRule type="cellIs" dxfId="3924" priority="2569" operator="equal">
      <formula>0</formula>
    </cfRule>
  </conditionalFormatting>
  <conditionalFormatting sqref="N82">
    <cfRule type="cellIs" dxfId="3923" priority="2568" operator="equal">
      <formula>0</formula>
    </cfRule>
  </conditionalFormatting>
  <conditionalFormatting sqref="N3:N4">
    <cfRule type="cellIs" dxfId="3922" priority="2567" operator="equal">
      <formula>0</formula>
    </cfRule>
  </conditionalFormatting>
  <conditionalFormatting sqref="N5">
    <cfRule type="cellIs" dxfId="3921" priority="2566" operator="equal">
      <formula>0</formula>
    </cfRule>
  </conditionalFormatting>
  <conditionalFormatting sqref="N113:N115">
    <cfRule type="cellIs" dxfId="3920" priority="2565" operator="equal">
      <formula>0</formula>
    </cfRule>
  </conditionalFormatting>
  <conditionalFormatting sqref="N125:N126 N117 N128">
    <cfRule type="cellIs" dxfId="3919" priority="2564" operator="equal">
      <formula>0</formula>
    </cfRule>
  </conditionalFormatting>
  <conditionalFormatting sqref="N124">
    <cfRule type="cellIs" dxfId="3918" priority="2563" operator="equal">
      <formula>0</formula>
    </cfRule>
  </conditionalFormatting>
  <conditionalFormatting sqref="N124">
    <cfRule type="cellIs" dxfId="3917" priority="2562" operator="equal">
      <formula>0</formula>
    </cfRule>
  </conditionalFormatting>
  <conditionalFormatting sqref="N124">
    <cfRule type="cellIs" dxfId="3916" priority="2561" operator="equal">
      <formula>0</formula>
    </cfRule>
  </conditionalFormatting>
  <conditionalFormatting sqref="AX3:AX5">
    <cfRule type="cellIs" dxfId="3915" priority="2560" operator="equal">
      <formula>0</formula>
    </cfRule>
  </conditionalFormatting>
  <conditionalFormatting sqref="DP117 DP124:DP126 DP128">
    <cfRule type="cellIs" dxfId="3914" priority="2559" operator="equal">
      <formula>0</formula>
    </cfRule>
  </conditionalFormatting>
  <conditionalFormatting sqref="CW8:CX8">
    <cfRule type="cellIs" dxfId="3913" priority="2558" operator="equal">
      <formula>0</formula>
    </cfRule>
  </conditionalFormatting>
  <conditionalFormatting sqref="CY8">
    <cfRule type="cellIs" dxfId="3912" priority="2557" operator="equal">
      <formula>0</formula>
    </cfRule>
  </conditionalFormatting>
  <conditionalFormatting sqref="CY8">
    <cfRule type="cellIs" dxfId="3911" priority="2556" operator="equal">
      <formula>0</formula>
    </cfRule>
  </conditionalFormatting>
  <conditionalFormatting sqref="CW8:CX8">
    <cfRule type="cellIs" dxfId="3910" priority="2555" operator="equal">
      <formula>0</formula>
    </cfRule>
  </conditionalFormatting>
  <conditionalFormatting sqref="CY8">
    <cfRule type="cellIs" dxfId="3909" priority="2554" operator="equal">
      <formula>0</formula>
    </cfRule>
  </conditionalFormatting>
  <conditionalFormatting sqref="CW8:CX8">
    <cfRule type="cellIs" dxfId="3908" priority="2553" operator="equal">
      <formula>0</formula>
    </cfRule>
  </conditionalFormatting>
  <conditionalFormatting sqref="CY8">
    <cfRule type="cellIs" dxfId="3907" priority="2552" operator="equal">
      <formula>0</formula>
    </cfRule>
  </conditionalFormatting>
  <conditionalFormatting sqref="CY8">
    <cfRule type="cellIs" dxfId="3906" priority="2551" operator="equal">
      <formula>0</formula>
    </cfRule>
  </conditionalFormatting>
  <conditionalFormatting sqref="CY8">
    <cfRule type="cellIs" dxfId="3905" priority="2550" operator="equal">
      <formula>0</formula>
    </cfRule>
  </conditionalFormatting>
  <conditionalFormatting sqref="CW8:CX8">
    <cfRule type="cellIs" dxfId="3904" priority="2549" operator="equal">
      <formula>0</formula>
    </cfRule>
  </conditionalFormatting>
  <conditionalFormatting sqref="CW8:CX8">
    <cfRule type="cellIs" dxfId="3903" priority="2548" operator="equal">
      <formula>0</formula>
    </cfRule>
  </conditionalFormatting>
  <conditionalFormatting sqref="CY8">
    <cfRule type="cellIs" dxfId="3902" priority="2547" operator="equal">
      <formula>0</formula>
    </cfRule>
  </conditionalFormatting>
  <conditionalFormatting sqref="CY8">
    <cfRule type="cellIs" dxfId="3901" priority="2546" operator="equal">
      <formula>0</formula>
    </cfRule>
  </conditionalFormatting>
  <conditionalFormatting sqref="CW8:CX8">
    <cfRule type="cellIs" dxfId="3900" priority="2545" operator="equal">
      <formula>0</formula>
    </cfRule>
  </conditionalFormatting>
  <conditionalFormatting sqref="CW8:CX8">
    <cfRule type="cellIs" dxfId="3899" priority="2544" operator="equal">
      <formula>0</formula>
    </cfRule>
  </conditionalFormatting>
  <conditionalFormatting sqref="CW8:CX8">
    <cfRule type="cellIs" dxfId="3898" priority="2543" operator="equal">
      <formula>0</formula>
    </cfRule>
  </conditionalFormatting>
  <conditionalFormatting sqref="CY8">
    <cfRule type="cellIs" dxfId="3897" priority="2542" operator="equal">
      <formula>0</formula>
    </cfRule>
  </conditionalFormatting>
  <conditionalFormatting sqref="CY8">
    <cfRule type="cellIs" dxfId="3896" priority="2541" operator="equal">
      <formula>0</formula>
    </cfRule>
  </conditionalFormatting>
  <conditionalFormatting sqref="CY8">
    <cfRule type="cellIs" dxfId="3895" priority="2540" operator="equal">
      <formula>0</formula>
    </cfRule>
  </conditionalFormatting>
  <conditionalFormatting sqref="CW8:CX8">
    <cfRule type="cellIs" dxfId="3894" priority="2539" operator="equal">
      <formula>0</formula>
    </cfRule>
  </conditionalFormatting>
  <conditionalFormatting sqref="CW8:CX8">
    <cfRule type="cellIs" dxfId="3893" priority="2538" operator="equal">
      <formula>0</formula>
    </cfRule>
  </conditionalFormatting>
  <conditionalFormatting sqref="CY8">
    <cfRule type="cellIs" dxfId="3892" priority="2537" operator="equal">
      <formula>0</formula>
    </cfRule>
  </conditionalFormatting>
  <conditionalFormatting sqref="CY8">
    <cfRule type="cellIs" dxfId="3891" priority="2536" operator="equal">
      <formula>0</formula>
    </cfRule>
  </conditionalFormatting>
  <conditionalFormatting sqref="CW8:CX8">
    <cfRule type="cellIs" dxfId="3890" priority="2535" operator="equal">
      <formula>0</formula>
    </cfRule>
  </conditionalFormatting>
  <conditionalFormatting sqref="CY8">
    <cfRule type="cellIs" dxfId="3889" priority="2534" operator="equal">
      <formula>0</formula>
    </cfRule>
  </conditionalFormatting>
  <conditionalFormatting sqref="CW8:CX8">
    <cfRule type="cellIs" dxfId="3888" priority="2533" operator="equal">
      <formula>0</formula>
    </cfRule>
  </conditionalFormatting>
  <conditionalFormatting sqref="CW8:CX8">
    <cfRule type="cellIs" dxfId="3887" priority="2532" operator="equal">
      <formula>0</formula>
    </cfRule>
  </conditionalFormatting>
  <conditionalFormatting sqref="CY8">
    <cfRule type="cellIs" dxfId="3886" priority="2531" operator="equal">
      <formula>0</formula>
    </cfRule>
  </conditionalFormatting>
  <conditionalFormatting sqref="CY8">
    <cfRule type="cellIs" dxfId="3885" priority="2530" operator="equal">
      <formula>0</formula>
    </cfRule>
  </conditionalFormatting>
  <conditionalFormatting sqref="CW8:CX8">
    <cfRule type="cellIs" dxfId="3884" priority="2529" operator="equal">
      <formula>0</formula>
    </cfRule>
  </conditionalFormatting>
  <conditionalFormatting sqref="CW8:CX8">
    <cfRule type="cellIs" dxfId="3883" priority="2528" operator="equal">
      <formula>0</formula>
    </cfRule>
  </conditionalFormatting>
  <conditionalFormatting sqref="CW8:CX8">
    <cfRule type="cellIs" dxfId="3882" priority="2527" operator="equal">
      <formula>0</formula>
    </cfRule>
  </conditionalFormatting>
  <conditionalFormatting sqref="CY8">
    <cfRule type="cellIs" dxfId="3881" priority="2526" operator="equal">
      <formula>0</formula>
    </cfRule>
  </conditionalFormatting>
  <conditionalFormatting sqref="CY8">
    <cfRule type="cellIs" dxfId="3880" priority="2525" operator="equal">
      <formula>0</formula>
    </cfRule>
  </conditionalFormatting>
  <conditionalFormatting sqref="CY8">
    <cfRule type="cellIs" dxfId="3879" priority="2524" operator="equal">
      <formula>0</formula>
    </cfRule>
  </conditionalFormatting>
  <conditionalFormatting sqref="CW8:CX8">
    <cfRule type="cellIs" dxfId="3878" priority="2523" operator="equal">
      <formula>0</formula>
    </cfRule>
  </conditionalFormatting>
  <conditionalFormatting sqref="CW8:CX8">
    <cfRule type="cellIs" dxfId="3877" priority="2522" operator="equal">
      <formula>0</formula>
    </cfRule>
  </conditionalFormatting>
  <conditionalFormatting sqref="CW8:CX8">
    <cfRule type="cellIs" dxfId="3876" priority="2521" operator="equal">
      <formula>0</formula>
    </cfRule>
  </conditionalFormatting>
  <conditionalFormatting sqref="CY8">
    <cfRule type="cellIs" dxfId="3875" priority="2520" operator="equal">
      <formula>0</formula>
    </cfRule>
  </conditionalFormatting>
  <conditionalFormatting sqref="CY8">
    <cfRule type="cellIs" dxfId="3874" priority="2519" operator="equal">
      <formula>0</formula>
    </cfRule>
  </conditionalFormatting>
  <conditionalFormatting sqref="CY8">
    <cfRule type="cellIs" dxfId="3873" priority="2518" operator="equal">
      <formula>0</formula>
    </cfRule>
  </conditionalFormatting>
  <conditionalFormatting sqref="CW8:CX8">
    <cfRule type="cellIs" dxfId="3872" priority="2517" operator="equal">
      <formula>0</formula>
    </cfRule>
  </conditionalFormatting>
  <conditionalFormatting sqref="CY8">
    <cfRule type="cellIs" dxfId="3871" priority="2516" operator="equal">
      <formula>0</formula>
    </cfRule>
  </conditionalFormatting>
  <conditionalFormatting sqref="CR8:CV8">
    <cfRule type="cellIs" dxfId="3870" priority="2515" operator="equal">
      <formula>0</formula>
    </cfRule>
  </conditionalFormatting>
  <conditionalFormatting sqref="CW8:CX8">
    <cfRule type="cellIs" dxfId="3869" priority="2514" operator="equal">
      <formula>0</formula>
    </cfRule>
  </conditionalFormatting>
  <conditionalFormatting sqref="CY8">
    <cfRule type="cellIs" dxfId="3868" priority="2513" operator="equal">
      <formula>0</formula>
    </cfRule>
  </conditionalFormatting>
  <conditionalFormatting sqref="CW8:CX8">
    <cfRule type="cellIs" dxfId="3867" priority="2512" operator="equal">
      <formula>0</formula>
    </cfRule>
  </conditionalFormatting>
  <conditionalFormatting sqref="CY8">
    <cfRule type="cellIs" dxfId="3866" priority="2511" operator="equal">
      <formula>0</formula>
    </cfRule>
  </conditionalFormatting>
  <conditionalFormatting sqref="CW8:CX8">
    <cfRule type="cellIs" dxfId="3865" priority="2510" operator="equal">
      <formula>0</formula>
    </cfRule>
  </conditionalFormatting>
  <conditionalFormatting sqref="CW8:CX8">
    <cfRule type="cellIs" dxfId="3864" priority="2509" operator="equal">
      <formula>0</formula>
    </cfRule>
  </conditionalFormatting>
  <conditionalFormatting sqref="CW8:CX8">
    <cfRule type="cellIs" dxfId="3863" priority="2508" operator="equal">
      <formula>0</formula>
    </cfRule>
  </conditionalFormatting>
  <conditionalFormatting sqref="CW8:CX8">
    <cfRule type="cellIs" dxfId="3862" priority="2507" operator="equal">
      <formula>0</formula>
    </cfRule>
  </conditionalFormatting>
  <conditionalFormatting sqref="CY8">
    <cfRule type="cellIs" dxfId="3861" priority="2506" operator="equal">
      <formula>0</formula>
    </cfRule>
  </conditionalFormatting>
  <conditionalFormatting sqref="CY8">
    <cfRule type="cellIs" dxfId="3860" priority="2505" operator="equal">
      <formula>0</formula>
    </cfRule>
  </conditionalFormatting>
  <conditionalFormatting sqref="CY8">
    <cfRule type="cellIs" dxfId="3859" priority="2504" operator="equal">
      <formula>0</formula>
    </cfRule>
  </conditionalFormatting>
  <conditionalFormatting sqref="CY8">
    <cfRule type="cellIs" dxfId="3858" priority="2503" operator="equal">
      <formula>0</formula>
    </cfRule>
  </conditionalFormatting>
  <conditionalFormatting sqref="CW8:CX8">
    <cfRule type="cellIs" dxfId="3857" priority="2502" operator="equal">
      <formula>0</formula>
    </cfRule>
  </conditionalFormatting>
  <conditionalFormatting sqref="CW8:CX8">
    <cfRule type="cellIs" dxfId="3856" priority="2501" operator="equal">
      <formula>0</formula>
    </cfRule>
  </conditionalFormatting>
  <conditionalFormatting sqref="CW8:CX8">
    <cfRule type="cellIs" dxfId="3855" priority="2500" operator="equal">
      <formula>0</formula>
    </cfRule>
  </conditionalFormatting>
  <conditionalFormatting sqref="CY8">
    <cfRule type="cellIs" dxfId="3854" priority="2499" operator="equal">
      <formula>0</formula>
    </cfRule>
  </conditionalFormatting>
  <conditionalFormatting sqref="CY8">
    <cfRule type="cellIs" dxfId="3853" priority="2498" operator="equal">
      <formula>0</formula>
    </cfRule>
  </conditionalFormatting>
  <conditionalFormatting sqref="CY8">
    <cfRule type="cellIs" dxfId="3852" priority="2497" operator="equal">
      <formula>0</formula>
    </cfRule>
  </conditionalFormatting>
  <conditionalFormatting sqref="CW8:CX8">
    <cfRule type="cellIs" dxfId="3851" priority="2496" operator="equal">
      <formula>0</formula>
    </cfRule>
  </conditionalFormatting>
  <conditionalFormatting sqref="CW8:CX8">
    <cfRule type="cellIs" dxfId="3850" priority="2495" operator="equal">
      <formula>0</formula>
    </cfRule>
  </conditionalFormatting>
  <conditionalFormatting sqref="CW8:CX8">
    <cfRule type="cellIs" dxfId="3849" priority="2494" operator="equal">
      <formula>0</formula>
    </cfRule>
  </conditionalFormatting>
  <conditionalFormatting sqref="CW8:CX8">
    <cfRule type="cellIs" dxfId="3848" priority="2493" operator="equal">
      <formula>0</formula>
    </cfRule>
  </conditionalFormatting>
  <conditionalFormatting sqref="CY8">
    <cfRule type="cellIs" dxfId="3847" priority="2492" operator="equal">
      <formula>0</formula>
    </cfRule>
  </conditionalFormatting>
  <conditionalFormatting sqref="CY8">
    <cfRule type="cellIs" dxfId="3846" priority="2491" operator="equal">
      <formula>0</formula>
    </cfRule>
  </conditionalFormatting>
  <conditionalFormatting sqref="CY8">
    <cfRule type="cellIs" dxfId="3845" priority="2490" operator="equal">
      <formula>0</formula>
    </cfRule>
  </conditionalFormatting>
  <conditionalFormatting sqref="CY8">
    <cfRule type="cellIs" dxfId="3844" priority="2489" operator="equal">
      <formula>0</formula>
    </cfRule>
  </conditionalFormatting>
  <conditionalFormatting sqref="CW8:CX8">
    <cfRule type="cellIs" dxfId="3843" priority="2488" operator="equal">
      <formula>0</formula>
    </cfRule>
  </conditionalFormatting>
  <conditionalFormatting sqref="CW8:CX8">
    <cfRule type="cellIs" dxfId="3842" priority="2487" operator="equal">
      <formula>0</formula>
    </cfRule>
  </conditionalFormatting>
  <conditionalFormatting sqref="CW8:CX8">
    <cfRule type="cellIs" dxfId="3841" priority="2486" operator="equal">
      <formula>0</formula>
    </cfRule>
  </conditionalFormatting>
  <conditionalFormatting sqref="CY8">
    <cfRule type="cellIs" dxfId="3840" priority="2485" operator="equal">
      <formula>0</formula>
    </cfRule>
  </conditionalFormatting>
  <conditionalFormatting sqref="CY8">
    <cfRule type="cellIs" dxfId="3839" priority="2484" operator="equal">
      <formula>0</formula>
    </cfRule>
  </conditionalFormatting>
  <conditionalFormatting sqref="CY8">
    <cfRule type="cellIs" dxfId="3838" priority="2483" operator="equal">
      <formula>0</formula>
    </cfRule>
  </conditionalFormatting>
  <conditionalFormatting sqref="CW8:CX8">
    <cfRule type="cellIs" dxfId="3837" priority="2482" operator="equal">
      <formula>0</formula>
    </cfRule>
  </conditionalFormatting>
  <conditionalFormatting sqref="CY8">
    <cfRule type="cellIs" dxfId="3836" priority="2481" operator="equal">
      <formula>0</formula>
    </cfRule>
  </conditionalFormatting>
  <conditionalFormatting sqref="CY8">
    <cfRule type="cellIs" dxfId="3835" priority="2480" operator="equal">
      <formula>0</formula>
    </cfRule>
  </conditionalFormatting>
  <conditionalFormatting sqref="CW8:CX8">
    <cfRule type="cellIs" dxfId="3834" priority="2479" operator="equal">
      <formula>0</formula>
    </cfRule>
  </conditionalFormatting>
  <conditionalFormatting sqref="CW8:CX8">
    <cfRule type="cellIs" dxfId="3833" priority="2478" operator="equal">
      <formula>0</formula>
    </cfRule>
  </conditionalFormatting>
  <conditionalFormatting sqref="CW8:CX8">
    <cfRule type="cellIs" dxfId="3832" priority="2477" operator="equal">
      <formula>0</formula>
    </cfRule>
  </conditionalFormatting>
  <conditionalFormatting sqref="CY8">
    <cfRule type="cellIs" dxfId="3831" priority="2476" operator="equal">
      <formula>0</formula>
    </cfRule>
  </conditionalFormatting>
  <conditionalFormatting sqref="CY8">
    <cfRule type="cellIs" dxfId="3830" priority="2475" operator="equal">
      <formula>0</formula>
    </cfRule>
  </conditionalFormatting>
  <conditionalFormatting sqref="CY8">
    <cfRule type="cellIs" dxfId="3829" priority="2474" operator="equal">
      <formula>0</formula>
    </cfRule>
  </conditionalFormatting>
  <conditionalFormatting sqref="CW8:CX8">
    <cfRule type="cellIs" dxfId="3828" priority="2473" operator="equal">
      <formula>0</formula>
    </cfRule>
  </conditionalFormatting>
  <conditionalFormatting sqref="CW8:CX8">
    <cfRule type="cellIs" dxfId="3827" priority="2472" operator="equal">
      <formula>0</formula>
    </cfRule>
  </conditionalFormatting>
  <conditionalFormatting sqref="CW8:CX8">
    <cfRule type="cellIs" dxfId="3826" priority="2471" operator="equal">
      <formula>0</formula>
    </cfRule>
  </conditionalFormatting>
  <conditionalFormatting sqref="CY8">
    <cfRule type="cellIs" dxfId="3825" priority="2470" operator="equal">
      <formula>0</formula>
    </cfRule>
  </conditionalFormatting>
  <conditionalFormatting sqref="CY8">
    <cfRule type="cellIs" dxfId="3824" priority="2469" operator="equal">
      <formula>0</formula>
    </cfRule>
  </conditionalFormatting>
  <conditionalFormatting sqref="CY8">
    <cfRule type="cellIs" dxfId="3823" priority="2468" operator="equal">
      <formula>0</formula>
    </cfRule>
  </conditionalFormatting>
  <conditionalFormatting sqref="CW8:CX8">
    <cfRule type="cellIs" dxfId="3822" priority="2467" operator="equal">
      <formula>0</formula>
    </cfRule>
  </conditionalFormatting>
  <conditionalFormatting sqref="CW8:CX8">
    <cfRule type="cellIs" dxfId="3821" priority="2466" operator="equal">
      <formula>0</formula>
    </cfRule>
  </conditionalFormatting>
  <conditionalFormatting sqref="CW8:CX8">
    <cfRule type="cellIs" dxfId="3820" priority="2465" operator="equal">
      <formula>0</formula>
    </cfRule>
  </conditionalFormatting>
  <conditionalFormatting sqref="CY8">
    <cfRule type="cellIs" dxfId="3819" priority="2464" operator="equal">
      <formula>0</formula>
    </cfRule>
  </conditionalFormatting>
  <conditionalFormatting sqref="CY8">
    <cfRule type="cellIs" dxfId="3818" priority="2463" operator="equal">
      <formula>0</formula>
    </cfRule>
  </conditionalFormatting>
  <conditionalFormatting sqref="CY8">
    <cfRule type="cellIs" dxfId="3817" priority="2462" operator="equal">
      <formula>0</formula>
    </cfRule>
  </conditionalFormatting>
  <conditionalFormatting sqref="CW8:CX8">
    <cfRule type="cellIs" dxfId="3816" priority="2461" operator="equal">
      <formula>0</formula>
    </cfRule>
  </conditionalFormatting>
  <conditionalFormatting sqref="CW8:CX8">
    <cfRule type="cellIs" dxfId="3815" priority="2460" operator="equal">
      <formula>0</formula>
    </cfRule>
  </conditionalFormatting>
  <conditionalFormatting sqref="CY8">
    <cfRule type="cellIs" dxfId="3814" priority="2459" operator="equal">
      <formula>0</formula>
    </cfRule>
  </conditionalFormatting>
  <conditionalFormatting sqref="CY8">
    <cfRule type="cellIs" dxfId="3813" priority="2458" operator="equal">
      <formula>0</formula>
    </cfRule>
  </conditionalFormatting>
  <conditionalFormatting sqref="CW8:CX8">
    <cfRule type="cellIs" dxfId="3812" priority="2457" operator="equal">
      <formula>0</formula>
    </cfRule>
  </conditionalFormatting>
  <conditionalFormatting sqref="CW8:CX8">
    <cfRule type="cellIs" dxfId="3811" priority="2456" operator="equal">
      <formula>0</formula>
    </cfRule>
  </conditionalFormatting>
  <conditionalFormatting sqref="CW8:CX8">
    <cfRule type="cellIs" dxfId="3810" priority="2455" operator="equal">
      <formula>0</formula>
    </cfRule>
  </conditionalFormatting>
  <conditionalFormatting sqref="CY8">
    <cfRule type="cellIs" dxfId="3809" priority="2454" operator="equal">
      <formula>0</formula>
    </cfRule>
  </conditionalFormatting>
  <conditionalFormatting sqref="CY8">
    <cfRule type="cellIs" dxfId="3808" priority="2453" operator="equal">
      <formula>0</formula>
    </cfRule>
  </conditionalFormatting>
  <conditionalFormatting sqref="CY8">
    <cfRule type="cellIs" dxfId="3807" priority="2452" operator="equal">
      <formula>0</formula>
    </cfRule>
  </conditionalFormatting>
  <conditionalFormatting sqref="CR8:CV8">
    <cfRule type="cellIs" dxfId="3806" priority="2451" operator="equal">
      <formula>0</formula>
    </cfRule>
  </conditionalFormatting>
  <conditionalFormatting sqref="CW8:CX8">
    <cfRule type="cellIs" dxfId="3805" priority="2450" operator="equal">
      <formula>0</formula>
    </cfRule>
  </conditionalFormatting>
  <conditionalFormatting sqref="CW8:CX8">
    <cfRule type="cellIs" dxfId="3804" priority="2449" operator="equal">
      <formula>0</formula>
    </cfRule>
  </conditionalFormatting>
  <conditionalFormatting sqref="CW8:CX8">
    <cfRule type="cellIs" dxfId="3803" priority="2448" operator="equal">
      <formula>0</formula>
    </cfRule>
  </conditionalFormatting>
  <conditionalFormatting sqref="CW8:CX8">
    <cfRule type="cellIs" dxfId="3802" priority="2447" operator="equal">
      <formula>0</formula>
    </cfRule>
  </conditionalFormatting>
  <conditionalFormatting sqref="CY8">
    <cfRule type="cellIs" dxfId="3801" priority="2446" operator="equal">
      <formula>0</formula>
    </cfRule>
  </conditionalFormatting>
  <conditionalFormatting sqref="CY8">
    <cfRule type="cellIs" dxfId="3800" priority="2445" operator="equal">
      <formula>0</formula>
    </cfRule>
  </conditionalFormatting>
  <conditionalFormatting sqref="CY8">
    <cfRule type="cellIs" dxfId="3799" priority="2444" operator="equal">
      <formula>0</formula>
    </cfRule>
  </conditionalFormatting>
  <conditionalFormatting sqref="CY8">
    <cfRule type="cellIs" dxfId="3798" priority="2443" operator="equal">
      <formula>0</formula>
    </cfRule>
  </conditionalFormatting>
  <conditionalFormatting sqref="CW8:CX8">
    <cfRule type="cellIs" dxfId="3797" priority="2442" operator="equal">
      <formula>0</formula>
    </cfRule>
  </conditionalFormatting>
  <conditionalFormatting sqref="CW8:CX8">
    <cfRule type="cellIs" dxfId="3796" priority="2441" operator="equal">
      <formula>0</formula>
    </cfRule>
  </conditionalFormatting>
  <conditionalFormatting sqref="CY8">
    <cfRule type="cellIs" dxfId="3795" priority="2440" operator="equal">
      <formula>0</formula>
    </cfRule>
  </conditionalFormatting>
  <conditionalFormatting sqref="CY8">
    <cfRule type="cellIs" dxfId="3794" priority="2439" operator="equal">
      <formula>0</formula>
    </cfRule>
  </conditionalFormatting>
  <conditionalFormatting sqref="CW8:CX8">
    <cfRule type="cellIs" dxfId="3793" priority="2438" operator="equal">
      <formula>0</formula>
    </cfRule>
  </conditionalFormatting>
  <conditionalFormatting sqref="CW8:CX8">
    <cfRule type="cellIs" dxfId="3792" priority="2437" operator="equal">
      <formula>0</formula>
    </cfRule>
  </conditionalFormatting>
  <conditionalFormatting sqref="CW8:CX8">
    <cfRule type="cellIs" dxfId="3791" priority="2436" operator="equal">
      <formula>0</formula>
    </cfRule>
  </conditionalFormatting>
  <conditionalFormatting sqref="CY8">
    <cfRule type="cellIs" dxfId="3790" priority="2435" operator="equal">
      <formula>0</formula>
    </cfRule>
  </conditionalFormatting>
  <conditionalFormatting sqref="CY8">
    <cfRule type="cellIs" dxfId="3789" priority="2434" operator="equal">
      <formula>0</formula>
    </cfRule>
  </conditionalFormatting>
  <conditionalFormatting sqref="CY8">
    <cfRule type="cellIs" dxfId="3788" priority="2433" operator="equal">
      <formula>0</formula>
    </cfRule>
  </conditionalFormatting>
  <conditionalFormatting sqref="CW8:CX8">
    <cfRule type="cellIs" dxfId="3787" priority="2432" operator="equal">
      <formula>0</formula>
    </cfRule>
  </conditionalFormatting>
  <conditionalFormatting sqref="CY8">
    <cfRule type="cellIs" dxfId="3786" priority="2431" operator="equal">
      <formula>0</formula>
    </cfRule>
  </conditionalFormatting>
  <conditionalFormatting sqref="CW8:CX8">
    <cfRule type="cellIs" dxfId="3785" priority="2430" operator="equal">
      <formula>0</formula>
    </cfRule>
  </conditionalFormatting>
  <conditionalFormatting sqref="CW8:CX8">
    <cfRule type="cellIs" dxfId="3784" priority="2429" operator="equal">
      <formula>0</formula>
    </cfRule>
  </conditionalFormatting>
  <conditionalFormatting sqref="CY8">
    <cfRule type="cellIs" dxfId="3783" priority="2428" operator="equal">
      <formula>0</formula>
    </cfRule>
  </conditionalFormatting>
  <conditionalFormatting sqref="CY8">
    <cfRule type="cellIs" dxfId="3782" priority="2427" operator="equal">
      <formula>0</formula>
    </cfRule>
  </conditionalFormatting>
  <conditionalFormatting sqref="CW8:CX8">
    <cfRule type="cellIs" dxfId="3781" priority="2426" operator="equal">
      <formula>0</formula>
    </cfRule>
  </conditionalFormatting>
  <conditionalFormatting sqref="CW8:CX8">
    <cfRule type="cellIs" dxfId="3780" priority="2425" operator="equal">
      <formula>0</formula>
    </cfRule>
  </conditionalFormatting>
  <conditionalFormatting sqref="CW8:CX8">
    <cfRule type="cellIs" dxfId="3779" priority="2424" operator="equal">
      <formula>0</formula>
    </cfRule>
  </conditionalFormatting>
  <conditionalFormatting sqref="CY8">
    <cfRule type="cellIs" dxfId="3778" priority="2423" operator="equal">
      <formula>0</formula>
    </cfRule>
  </conditionalFormatting>
  <conditionalFormatting sqref="CY8">
    <cfRule type="cellIs" dxfId="3777" priority="2422" operator="equal">
      <formula>0</formula>
    </cfRule>
  </conditionalFormatting>
  <conditionalFormatting sqref="CY8">
    <cfRule type="cellIs" dxfId="3776" priority="2421" operator="equal">
      <formula>0</formula>
    </cfRule>
  </conditionalFormatting>
  <conditionalFormatting sqref="CW8:CX8">
    <cfRule type="cellIs" dxfId="3775" priority="2420" operator="equal">
      <formula>0</formula>
    </cfRule>
  </conditionalFormatting>
  <conditionalFormatting sqref="CW8:CX8">
    <cfRule type="cellIs" dxfId="3774" priority="2419" operator="equal">
      <formula>0</formula>
    </cfRule>
  </conditionalFormatting>
  <conditionalFormatting sqref="CW8:CX8">
    <cfRule type="cellIs" dxfId="3773" priority="2418" operator="equal">
      <formula>0</formula>
    </cfRule>
  </conditionalFormatting>
  <conditionalFormatting sqref="CY8">
    <cfRule type="cellIs" dxfId="3772" priority="2417" operator="equal">
      <formula>0</formula>
    </cfRule>
  </conditionalFormatting>
  <conditionalFormatting sqref="CY8">
    <cfRule type="cellIs" dxfId="3771" priority="2416" operator="equal">
      <formula>0</formula>
    </cfRule>
  </conditionalFormatting>
  <conditionalFormatting sqref="CY8">
    <cfRule type="cellIs" dxfId="3770" priority="2415" operator="equal">
      <formula>0</formula>
    </cfRule>
  </conditionalFormatting>
  <conditionalFormatting sqref="CW8:CX8">
    <cfRule type="cellIs" dxfId="3769" priority="2414" operator="equal">
      <formula>0</formula>
    </cfRule>
  </conditionalFormatting>
  <conditionalFormatting sqref="CY8">
    <cfRule type="cellIs" dxfId="3768" priority="2413" operator="equal">
      <formula>0</formula>
    </cfRule>
  </conditionalFormatting>
  <conditionalFormatting sqref="CR8:CV8">
    <cfRule type="cellIs" dxfId="3767" priority="2412" operator="equal">
      <formula>0</formula>
    </cfRule>
  </conditionalFormatting>
  <conditionalFormatting sqref="CW8:CX8">
    <cfRule type="cellIs" dxfId="3766" priority="2411" operator="equal">
      <formula>0</formula>
    </cfRule>
  </conditionalFormatting>
  <conditionalFormatting sqref="CY8">
    <cfRule type="cellIs" dxfId="3765" priority="2410" operator="equal">
      <formula>0</formula>
    </cfRule>
  </conditionalFormatting>
  <conditionalFormatting sqref="CW8:CX8">
    <cfRule type="cellIs" dxfId="3764" priority="2409" operator="equal">
      <formula>0</formula>
    </cfRule>
  </conditionalFormatting>
  <conditionalFormatting sqref="CY8">
    <cfRule type="cellIs" dxfId="3763" priority="2408" operator="equal">
      <formula>0</formula>
    </cfRule>
  </conditionalFormatting>
  <conditionalFormatting sqref="CW8:CX8">
    <cfRule type="cellIs" dxfId="3762" priority="2407" operator="equal">
      <formula>0</formula>
    </cfRule>
  </conditionalFormatting>
  <conditionalFormatting sqref="CW8:CX8">
    <cfRule type="cellIs" dxfId="3761" priority="2406" operator="equal">
      <formula>0</formula>
    </cfRule>
  </conditionalFormatting>
  <conditionalFormatting sqref="CY8">
    <cfRule type="cellIs" dxfId="3760" priority="2405" operator="equal">
      <formula>0</formula>
    </cfRule>
  </conditionalFormatting>
  <conditionalFormatting sqref="CY8">
    <cfRule type="cellIs" dxfId="3759" priority="2404" operator="equal">
      <formula>0</formula>
    </cfRule>
  </conditionalFormatting>
  <conditionalFormatting sqref="CY8">
    <cfRule type="cellIs" dxfId="3758" priority="2403" operator="equal">
      <formula>0</formula>
    </cfRule>
  </conditionalFormatting>
  <conditionalFormatting sqref="CW8:CX8">
    <cfRule type="cellIs" dxfId="3757" priority="2402" operator="equal">
      <formula>0</formula>
    </cfRule>
  </conditionalFormatting>
  <conditionalFormatting sqref="CW8:CX8">
    <cfRule type="cellIs" dxfId="3756" priority="2401" operator="equal">
      <formula>0</formula>
    </cfRule>
  </conditionalFormatting>
  <conditionalFormatting sqref="CW8:CX8">
    <cfRule type="cellIs" dxfId="3755" priority="2400" operator="equal">
      <formula>0</formula>
    </cfRule>
  </conditionalFormatting>
  <conditionalFormatting sqref="CY8">
    <cfRule type="cellIs" dxfId="3754" priority="2399" operator="equal">
      <formula>0</formula>
    </cfRule>
  </conditionalFormatting>
  <conditionalFormatting sqref="CY8">
    <cfRule type="cellIs" dxfId="3753" priority="2398" operator="equal">
      <formula>0</formula>
    </cfRule>
  </conditionalFormatting>
  <conditionalFormatting sqref="CY8">
    <cfRule type="cellIs" dxfId="3752" priority="2397" operator="equal">
      <formula>0</formula>
    </cfRule>
  </conditionalFormatting>
  <conditionalFormatting sqref="CW8:CX8">
    <cfRule type="cellIs" dxfId="3751" priority="2396" operator="equal">
      <formula>0</formula>
    </cfRule>
  </conditionalFormatting>
  <conditionalFormatting sqref="CW8:CX8">
    <cfRule type="cellIs" dxfId="3750" priority="2395" operator="equal">
      <formula>0</formula>
    </cfRule>
  </conditionalFormatting>
  <conditionalFormatting sqref="CY8">
    <cfRule type="cellIs" dxfId="3749" priority="2394" operator="equal">
      <formula>0</formula>
    </cfRule>
  </conditionalFormatting>
  <conditionalFormatting sqref="CY8">
    <cfRule type="cellIs" dxfId="3748" priority="2393" operator="equal">
      <formula>0</formula>
    </cfRule>
  </conditionalFormatting>
  <conditionalFormatting sqref="CW8:CX8">
    <cfRule type="cellIs" dxfId="3747" priority="2392" operator="equal">
      <formula>0</formula>
    </cfRule>
  </conditionalFormatting>
  <conditionalFormatting sqref="CW8:CX8">
    <cfRule type="cellIs" dxfId="3746" priority="2391" operator="equal">
      <formula>0</formula>
    </cfRule>
  </conditionalFormatting>
  <conditionalFormatting sqref="CY8">
    <cfRule type="cellIs" dxfId="3745" priority="2390" operator="equal">
      <formula>0</formula>
    </cfRule>
  </conditionalFormatting>
  <conditionalFormatting sqref="CY8">
    <cfRule type="cellIs" dxfId="3744" priority="2389" operator="equal">
      <formula>0</formula>
    </cfRule>
  </conditionalFormatting>
  <conditionalFormatting sqref="CW8:CX8">
    <cfRule type="cellIs" dxfId="3743" priority="2388" operator="equal">
      <formula>0</formula>
    </cfRule>
  </conditionalFormatting>
  <conditionalFormatting sqref="CW8:CX8">
    <cfRule type="cellIs" dxfId="3742" priority="2387" operator="equal">
      <formula>0</formula>
    </cfRule>
  </conditionalFormatting>
  <conditionalFormatting sqref="CY8">
    <cfRule type="cellIs" dxfId="3741" priority="2386" operator="equal">
      <formula>0</formula>
    </cfRule>
  </conditionalFormatting>
  <conditionalFormatting sqref="CY8">
    <cfRule type="cellIs" dxfId="3740" priority="2385" operator="equal">
      <formula>0</formula>
    </cfRule>
  </conditionalFormatting>
  <conditionalFormatting sqref="DV8">
    <cfRule type="cellIs" dxfId="3739" priority="2384" operator="equal">
      <formula>0</formula>
    </cfRule>
  </conditionalFormatting>
  <conditionalFormatting sqref="CY8">
    <cfRule type="cellIs" dxfId="3738" priority="2383" operator="equal">
      <formula>0</formula>
    </cfRule>
  </conditionalFormatting>
  <conditionalFormatting sqref="CW8:CX8">
    <cfRule type="cellIs" dxfId="3737" priority="2382" operator="equal">
      <formula>0</formula>
    </cfRule>
  </conditionalFormatting>
  <conditionalFormatting sqref="CY8">
    <cfRule type="cellIs" dxfId="3736" priority="2381" operator="equal">
      <formula>0</formula>
    </cfRule>
  </conditionalFormatting>
  <conditionalFormatting sqref="CW8:CX8">
    <cfRule type="cellIs" dxfId="3735" priority="2380" operator="equal">
      <formula>0</formula>
    </cfRule>
  </conditionalFormatting>
  <conditionalFormatting sqref="CY8">
    <cfRule type="cellIs" dxfId="3734" priority="2379" operator="equal">
      <formula>0</formula>
    </cfRule>
  </conditionalFormatting>
  <conditionalFormatting sqref="CW8:CX8">
    <cfRule type="cellIs" dxfId="3733" priority="2378" operator="equal">
      <formula>0</formula>
    </cfRule>
  </conditionalFormatting>
  <conditionalFormatting sqref="CW8:CX8">
    <cfRule type="cellIs" dxfId="3732" priority="2377" operator="equal">
      <formula>0</formula>
    </cfRule>
  </conditionalFormatting>
  <conditionalFormatting sqref="CW8:CX8">
    <cfRule type="cellIs" dxfId="3731" priority="2376" operator="equal">
      <formula>0</formula>
    </cfRule>
  </conditionalFormatting>
  <conditionalFormatting sqref="CY8">
    <cfRule type="cellIs" dxfId="3730" priority="2375" operator="equal">
      <formula>0</formula>
    </cfRule>
  </conditionalFormatting>
  <conditionalFormatting sqref="CY8">
    <cfRule type="cellIs" dxfId="3729" priority="2374" operator="equal">
      <formula>0</formula>
    </cfRule>
  </conditionalFormatting>
  <conditionalFormatting sqref="CY8">
    <cfRule type="cellIs" dxfId="3728" priority="2373" operator="equal">
      <formula>0</formula>
    </cfRule>
  </conditionalFormatting>
  <conditionalFormatting sqref="CW8:CX8">
    <cfRule type="cellIs" dxfId="3727" priority="2372" operator="equal">
      <formula>0</formula>
    </cfRule>
  </conditionalFormatting>
  <conditionalFormatting sqref="CW8:CX8">
    <cfRule type="cellIs" dxfId="3726" priority="2371" operator="equal">
      <formula>0</formula>
    </cfRule>
  </conditionalFormatting>
  <conditionalFormatting sqref="CW8:CX8">
    <cfRule type="cellIs" dxfId="3725" priority="2370" operator="equal">
      <formula>0</formula>
    </cfRule>
  </conditionalFormatting>
  <conditionalFormatting sqref="CY8">
    <cfRule type="cellIs" dxfId="3724" priority="2369" operator="equal">
      <formula>0</formula>
    </cfRule>
  </conditionalFormatting>
  <conditionalFormatting sqref="CY8">
    <cfRule type="cellIs" dxfId="3723" priority="2368" operator="equal">
      <formula>0</formula>
    </cfRule>
  </conditionalFormatting>
  <conditionalFormatting sqref="CY8">
    <cfRule type="cellIs" dxfId="3722" priority="2367" operator="equal">
      <formula>0</formula>
    </cfRule>
  </conditionalFormatting>
  <conditionalFormatting sqref="CW8:CX8">
    <cfRule type="cellIs" dxfId="3721" priority="2366" operator="equal">
      <formula>0</formula>
    </cfRule>
  </conditionalFormatting>
  <conditionalFormatting sqref="CY8">
    <cfRule type="cellIs" dxfId="3720" priority="2365" operator="equal">
      <formula>0</formula>
    </cfRule>
  </conditionalFormatting>
  <conditionalFormatting sqref="CW8:CX8">
    <cfRule type="cellIs" dxfId="3719" priority="2364" operator="equal">
      <formula>0</formula>
    </cfRule>
  </conditionalFormatting>
  <conditionalFormatting sqref="CW8:CX8">
    <cfRule type="cellIs" dxfId="3718" priority="2363" operator="equal">
      <formula>0</formula>
    </cfRule>
  </conditionalFormatting>
  <conditionalFormatting sqref="CY8">
    <cfRule type="cellIs" dxfId="3717" priority="2362" operator="equal">
      <formula>0</formula>
    </cfRule>
  </conditionalFormatting>
  <conditionalFormatting sqref="CY8">
    <cfRule type="cellIs" dxfId="3716" priority="2361" operator="equal">
      <formula>0</formula>
    </cfRule>
  </conditionalFormatting>
  <conditionalFormatting sqref="CW8:CX8">
    <cfRule type="cellIs" dxfId="3715" priority="2360" operator="equal">
      <formula>0</formula>
    </cfRule>
  </conditionalFormatting>
  <conditionalFormatting sqref="CW8:CX8">
    <cfRule type="cellIs" dxfId="3714" priority="2359" operator="equal">
      <formula>0</formula>
    </cfRule>
  </conditionalFormatting>
  <conditionalFormatting sqref="CY8">
    <cfRule type="cellIs" dxfId="3713" priority="2358" operator="equal">
      <formula>0</formula>
    </cfRule>
  </conditionalFormatting>
  <conditionalFormatting sqref="CY8">
    <cfRule type="cellIs" dxfId="3712" priority="2357" operator="equal">
      <formula>0</formula>
    </cfRule>
  </conditionalFormatting>
  <conditionalFormatting sqref="CW8:CX8">
    <cfRule type="cellIs" dxfId="3711" priority="2356" operator="equal">
      <formula>0</formula>
    </cfRule>
  </conditionalFormatting>
  <conditionalFormatting sqref="CW8:CX8">
    <cfRule type="cellIs" dxfId="3710" priority="2355" operator="equal">
      <formula>0</formula>
    </cfRule>
  </conditionalFormatting>
  <conditionalFormatting sqref="CY8">
    <cfRule type="cellIs" dxfId="3709" priority="2354" operator="equal">
      <formula>0</formula>
    </cfRule>
  </conditionalFormatting>
  <conditionalFormatting sqref="CY8">
    <cfRule type="cellIs" dxfId="3708" priority="2353" operator="equal">
      <formula>0</formula>
    </cfRule>
  </conditionalFormatting>
  <conditionalFormatting sqref="CW8:CX8">
    <cfRule type="cellIs" dxfId="3707" priority="2352" operator="equal">
      <formula>0</formula>
    </cfRule>
  </conditionalFormatting>
  <conditionalFormatting sqref="CW8:CX8">
    <cfRule type="cellIs" dxfId="3706" priority="2351" operator="equal">
      <formula>0</formula>
    </cfRule>
  </conditionalFormatting>
  <conditionalFormatting sqref="CY8">
    <cfRule type="cellIs" dxfId="3705" priority="2350" operator="equal">
      <formula>0</formula>
    </cfRule>
  </conditionalFormatting>
  <conditionalFormatting sqref="CY8">
    <cfRule type="cellIs" dxfId="3704" priority="2349" operator="equal">
      <formula>0</formula>
    </cfRule>
  </conditionalFormatting>
  <conditionalFormatting sqref="CW8:CX8">
    <cfRule type="cellIs" dxfId="3703" priority="2348" operator="equal">
      <formula>0</formula>
    </cfRule>
  </conditionalFormatting>
  <conditionalFormatting sqref="CW8:CX8">
    <cfRule type="cellIs" dxfId="3702" priority="2347" operator="equal">
      <formula>0</formula>
    </cfRule>
  </conditionalFormatting>
  <conditionalFormatting sqref="CY8">
    <cfRule type="cellIs" dxfId="3701" priority="2346" operator="equal">
      <formula>0</formula>
    </cfRule>
  </conditionalFormatting>
  <conditionalFormatting sqref="CY8">
    <cfRule type="cellIs" dxfId="3700" priority="2345" operator="equal">
      <formula>0</formula>
    </cfRule>
  </conditionalFormatting>
  <conditionalFormatting sqref="CW8:CX8">
    <cfRule type="cellIs" dxfId="3699" priority="2344" operator="equal">
      <formula>0</formula>
    </cfRule>
  </conditionalFormatting>
  <conditionalFormatting sqref="CY8">
    <cfRule type="cellIs" dxfId="3698" priority="2343" operator="equal">
      <formula>0</formula>
    </cfRule>
  </conditionalFormatting>
  <conditionalFormatting sqref="CW8:CX8">
    <cfRule type="cellIs" dxfId="3697" priority="2342" operator="equal">
      <formula>0</formula>
    </cfRule>
  </conditionalFormatting>
  <conditionalFormatting sqref="CY8">
    <cfRule type="cellIs" dxfId="3696" priority="2341" operator="equal">
      <formula>0</formula>
    </cfRule>
  </conditionalFormatting>
  <conditionalFormatting sqref="CW8:CX8">
    <cfRule type="cellIs" dxfId="3695" priority="2340" operator="equal">
      <formula>0</formula>
    </cfRule>
  </conditionalFormatting>
  <conditionalFormatting sqref="CY8">
    <cfRule type="cellIs" dxfId="3694" priority="2339" operator="equal">
      <formula>0</formula>
    </cfRule>
  </conditionalFormatting>
  <conditionalFormatting sqref="CW8:CX8">
    <cfRule type="cellIs" dxfId="3693" priority="2338" operator="equal">
      <formula>0</formula>
    </cfRule>
  </conditionalFormatting>
  <conditionalFormatting sqref="CW8:CX8">
    <cfRule type="cellIs" dxfId="3692" priority="2337" operator="equal">
      <formula>0</formula>
    </cfRule>
  </conditionalFormatting>
  <conditionalFormatting sqref="CW8:CX8">
    <cfRule type="cellIs" dxfId="3691" priority="2336" operator="equal">
      <formula>0</formula>
    </cfRule>
  </conditionalFormatting>
  <conditionalFormatting sqref="CY8">
    <cfRule type="cellIs" dxfId="3690" priority="2335" operator="equal">
      <formula>0</formula>
    </cfRule>
  </conditionalFormatting>
  <conditionalFormatting sqref="CY8">
    <cfRule type="cellIs" dxfId="3689" priority="2334" operator="equal">
      <formula>0</formula>
    </cfRule>
  </conditionalFormatting>
  <conditionalFormatting sqref="CY8">
    <cfRule type="cellIs" dxfId="3688" priority="2333" operator="equal">
      <formula>0</formula>
    </cfRule>
  </conditionalFormatting>
  <conditionalFormatting sqref="CW8:CX8">
    <cfRule type="cellIs" dxfId="3687" priority="2332" operator="equal">
      <formula>0</formula>
    </cfRule>
  </conditionalFormatting>
  <conditionalFormatting sqref="CY8">
    <cfRule type="cellIs" dxfId="3686" priority="2331" operator="equal">
      <formula>0</formula>
    </cfRule>
  </conditionalFormatting>
  <conditionalFormatting sqref="CW8:CX8">
    <cfRule type="cellIs" dxfId="3685" priority="2330" operator="equal">
      <formula>0</formula>
    </cfRule>
  </conditionalFormatting>
  <conditionalFormatting sqref="CW8:CX8">
    <cfRule type="cellIs" dxfId="3684" priority="2329" operator="equal">
      <formula>0</formula>
    </cfRule>
  </conditionalFormatting>
  <conditionalFormatting sqref="CW8:CX8">
    <cfRule type="cellIs" dxfId="3683" priority="2328" operator="equal">
      <formula>0</formula>
    </cfRule>
  </conditionalFormatting>
  <conditionalFormatting sqref="CY8">
    <cfRule type="cellIs" dxfId="3682" priority="2327" operator="equal">
      <formula>0</formula>
    </cfRule>
  </conditionalFormatting>
  <conditionalFormatting sqref="CY8">
    <cfRule type="cellIs" dxfId="3681" priority="2326" operator="equal">
      <formula>0</formula>
    </cfRule>
  </conditionalFormatting>
  <conditionalFormatting sqref="CY8">
    <cfRule type="cellIs" dxfId="3680" priority="2325" operator="equal">
      <formula>0</formula>
    </cfRule>
  </conditionalFormatting>
  <conditionalFormatting sqref="CW8:CX8">
    <cfRule type="cellIs" dxfId="3679" priority="2324" operator="equal">
      <formula>0</formula>
    </cfRule>
  </conditionalFormatting>
  <conditionalFormatting sqref="CY8">
    <cfRule type="cellIs" dxfId="3678" priority="2323" operator="equal">
      <formula>0</formula>
    </cfRule>
  </conditionalFormatting>
  <conditionalFormatting sqref="CW8:CX8">
    <cfRule type="cellIs" dxfId="3677" priority="2322" operator="equal">
      <formula>0</formula>
    </cfRule>
  </conditionalFormatting>
  <conditionalFormatting sqref="CY8">
    <cfRule type="cellIs" dxfId="3676" priority="2321" operator="equal">
      <formula>0</formula>
    </cfRule>
  </conditionalFormatting>
  <conditionalFormatting sqref="CW8:CX8">
    <cfRule type="cellIs" dxfId="3675" priority="2320" operator="equal">
      <formula>0</formula>
    </cfRule>
  </conditionalFormatting>
  <conditionalFormatting sqref="CY8">
    <cfRule type="cellIs" dxfId="3674" priority="2319" operator="equal">
      <formula>0</formula>
    </cfRule>
  </conditionalFormatting>
  <conditionalFormatting sqref="CW8:CX8">
    <cfRule type="cellIs" dxfId="3673" priority="2318" operator="equal">
      <formula>0</formula>
    </cfRule>
  </conditionalFormatting>
  <conditionalFormatting sqref="CW8:CX8">
    <cfRule type="cellIs" dxfId="3672" priority="2317" operator="equal">
      <formula>0</formula>
    </cfRule>
  </conditionalFormatting>
  <conditionalFormatting sqref="CY8">
    <cfRule type="cellIs" dxfId="3671" priority="2316" operator="equal">
      <formula>0</formula>
    </cfRule>
  </conditionalFormatting>
  <conditionalFormatting sqref="CY8">
    <cfRule type="cellIs" dxfId="3670" priority="2315" operator="equal">
      <formula>0</formula>
    </cfRule>
  </conditionalFormatting>
  <conditionalFormatting sqref="CW8:CX8">
    <cfRule type="cellIs" dxfId="3669" priority="2314" operator="equal">
      <formula>0</formula>
    </cfRule>
  </conditionalFormatting>
  <conditionalFormatting sqref="CW8:CX8">
    <cfRule type="cellIs" dxfId="3668" priority="2313" operator="equal">
      <formula>0</formula>
    </cfRule>
  </conditionalFormatting>
  <conditionalFormatting sqref="CW8:CX8">
    <cfRule type="cellIs" dxfId="3667" priority="2312" operator="equal">
      <formula>0</formula>
    </cfRule>
  </conditionalFormatting>
  <conditionalFormatting sqref="CY8">
    <cfRule type="cellIs" dxfId="3666" priority="2311" operator="equal">
      <formula>0</formula>
    </cfRule>
  </conditionalFormatting>
  <conditionalFormatting sqref="CY8">
    <cfRule type="cellIs" dxfId="3665" priority="2310" operator="equal">
      <formula>0</formula>
    </cfRule>
  </conditionalFormatting>
  <conditionalFormatting sqref="CY8">
    <cfRule type="cellIs" dxfId="3664" priority="2309" operator="equal">
      <formula>0</formula>
    </cfRule>
  </conditionalFormatting>
  <conditionalFormatting sqref="CW8:CX8">
    <cfRule type="cellIs" dxfId="3663" priority="2308" operator="equal">
      <formula>0</formula>
    </cfRule>
  </conditionalFormatting>
  <conditionalFormatting sqref="CW8:CX8">
    <cfRule type="cellIs" dxfId="3662" priority="2307" operator="equal">
      <formula>0</formula>
    </cfRule>
  </conditionalFormatting>
  <conditionalFormatting sqref="CY8">
    <cfRule type="cellIs" dxfId="3661" priority="2306" operator="equal">
      <formula>0</formula>
    </cfRule>
  </conditionalFormatting>
  <conditionalFormatting sqref="CY8">
    <cfRule type="cellIs" dxfId="3660" priority="2305" operator="equal">
      <formula>0</formula>
    </cfRule>
  </conditionalFormatting>
  <conditionalFormatting sqref="CW8:CX8">
    <cfRule type="cellIs" dxfId="3659" priority="2304" operator="equal">
      <formula>0</formula>
    </cfRule>
  </conditionalFormatting>
  <conditionalFormatting sqref="CY8">
    <cfRule type="cellIs" dxfId="3658" priority="2303" operator="equal">
      <formula>0</formula>
    </cfRule>
  </conditionalFormatting>
  <conditionalFormatting sqref="CW8:CX8">
    <cfRule type="cellIs" dxfId="3657" priority="2302" operator="equal">
      <formula>0</formula>
    </cfRule>
  </conditionalFormatting>
  <conditionalFormatting sqref="CW8:CX8">
    <cfRule type="cellIs" dxfId="3656" priority="2301" operator="equal">
      <formula>0</formula>
    </cfRule>
  </conditionalFormatting>
  <conditionalFormatting sqref="CY8">
    <cfRule type="cellIs" dxfId="3655" priority="2300" operator="equal">
      <formula>0</formula>
    </cfRule>
  </conditionalFormatting>
  <conditionalFormatting sqref="CY8">
    <cfRule type="cellIs" dxfId="3654" priority="2299" operator="equal">
      <formula>0</formula>
    </cfRule>
  </conditionalFormatting>
  <conditionalFormatting sqref="CW8:CX8">
    <cfRule type="cellIs" dxfId="3653" priority="2298" operator="equal">
      <formula>0</formula>
    </cfRule>
  </conditionalFormatting>
  <conditionalFormatting sqref="CW8:CX8">
    <cfRule type="cellIs" dxfId="3652" priority="2297" operator="equal">
      <formula>0</formula>
    </cfRule>
  </conditionalFormatting>
  <conditionalFormatting sqref="CW8:CX8">
    <cfRule type="cellIs" dxfId="3651" priority="2296" operator="equal">
      <formula>0</formula>
    </cfRule>
  </conditionalFormatting>
  <conditionalFormatting sqref="CY8">
    <cfRule type="cellIs" dxfId="3650" priority="2295" operator="equal">
      <formula>0</formula>
    </cfRule>
  </conditionalFormatting>
  <conditionalFormatting sqref="CY8">
    <cfRule type="cellIs" dxfId="3649" priority="2294" operator="equal">
      <formula>0</formula>
    </cfRule>
  </conditionalFormatting>
  <conditionalFormatting sqref="CY8">
    <cfRule type="cellIs" dxfId="3648" priority="2293" operator="equal">
      <formula>0</formula>
    </cfRule>
  </conditionalFormatting>
  <conditionalFormatting sqref="CW8:CX8">
    <cfRule type="cellIs" dxfId="3647" priority="2292" operator="equal">
      <formula>0</formula>
    </cfRule>
  </conditionalFormatting>
  <conditionalFormatting sqref="CY8">
    <cfRule type="cellIs" dxfId="3646" priority="2291" operator="equal">
      <formula>0</formula>
    </cfRule>
  </conditionalFormatting>
  <conditionalFormatting sqref="CW8:CX8">
    <cfRule type="cellIs" dxfId="3645" priority="2290" operator="equal">
      <formula>0</formula>
    </cfRule>
  </conditionalFormatting>
  <conditionalFormatting sqref="CY8">
    <cfRule type="cellIs" dxfId="3644" priority="2289" operator="equal">
      <formula>0</formula>
    </cfRule>
  </conditionalFormatting>
  <conditionalFormatting sqref="CW8:CX8">
    <cfRule type="cellIs" dxfId="3643" priority="2288" operator="equal">
      <formula>0</formula>
    </cfRule>
  </conditionalFormatting>
  <conditionalFormatting sqref="CW8:CX8">
    <cfRule type="cellIs" dxfId="3642" priority="2287" operator="equal">
      <formula>0</formula>
    </cfRule>
  </conditionalFormatting>
  <conditionalFormatting sqref="CW8:CX8">
    <cfRule type="cellIs" dxfId="3641" priority="2286" operator="equal">
      <formula>0</formula>
    </cfRule>
  </conditionalFormatting>
  <conditionalFormatting sqref="CY8">
    <cfRule type="cellIs" dxfId="3640" priority="2285" operator="equal">
      <formula>0</formula>
    </cfRule>
  </conditionalFormatting>
  <conditionalFormatting sqref="CY8">
    <cfRule type="cellIs" dxfId="3639" priority="2284" operator="equal">
      <formula>0</formula>
    </cfRule>
  </conditionalFormatting>
  <conditionalFormatting sqref="CY8">
    <cfRule type="cellIs" dxfId="3638" priority="2283" operator="equal">
      <formula>0</formula>
    </cfRule>
  </conditionalFormatting>
  <conditionalFormatting sqref="CW8:CX8">
    <cfRule type="cellIs" dxfId="3637" priority="2282" operator="equal">
      <formula>0</formula>
    </cfRule>
  </conditionalFormatting>
  <conditionalFormatting sqref="CW8:CX8">
    <cfRule type="cellIs" dxfId="3636" priority="2281" operator="equal">
      <formula>0</formula>
    </cfRule>
  </conditionalFormatting>
  <conditionalFormatting sqref="CW8:CX8">
    <cfRule type="cellIs" dxfId="3635" priority="2280" operator="equal">
      <formula>0</formula>
    </cfRule>
  </conditionalFormatting>
  <conditionalFormatting sqref="CW8:CX8">
    <cfRule type="cellIs" dxfId="3634" priority="2279" operator="equal">
      <formula>0</formula>
    </cfRule>
  </conditionalFormatting>
  <conditionalFormatting sqref="CW8:CX8">
    <cfRule type="cellIs" dxfId="3633" priority="2278" operator="equal">
      <formula>0</formula>
    </cfRule>
  </conditionalFormatting>
  <conditionalFormatting sqref="CY8">
    <cfRule type="cellIs" dxfId="3632" priority="2277" operator="equal">
      <formula>0</formula>
    </cfRule>
  </conditionalFormatting>
  <conditionalFormatting sqref="CY8">
    <cfRule type="cellIs" dxfId="3631" priority="2276" operator="equal">
      <formula>0</formula>
    </cfRule>
  </conditionalFormatting>
  <conditionalFormatting sqref="CY8">
    <cfRule type="cellIs" dxfId="3630" priority="2275" operator="equal">
      <formula>0</formula>
    </cfRule>
  </conditionalFormatting>
  <conditionalFormatting sqref="CY8">
    <cfRule type="cellIs" dxfId="3629" priority="2274" operator="equal">
      <formula>0</formula>
    </cfRule>
  </conditionalFormatting>
  <conditionalFormatting sqref="CY8">
    <cfRule type="cellIs" dxfId="3628" priority="2273" operator="equal">
      <formula>0</formula>
    </cfRule>
  </conditionalFormatting>
  <conditionalFormatting sqref="CY8">
    <cfRule type="cellIs" dxfId="3627" priority="2272" operator="equal">
      <formula>0</formula>
    </cfRule>
  </conditionalFormatting>
  <conditionalFormatting sqref="DV8">
    <cfRule type="cellIs" dxfId="3626" priority="2271" operator="equal">
      <formula>0</formula>
    </cfRule>
  </conditionalFormatting>
  <conditionalFormatting sqref="CY8">
    <cfRule type="cellIs" dxfId="3625" priority="2270" operator="equal">
      <formula>0</formula>
    </cfRule>
  </conditionalFormatting>
  <conditionalFormatting sqref="CW8:CX8">
    <cfRule type="cellIs" dxfId="3624" priority="2269" operator="equal">
      <formula>0</formula>
    </cfRule>
  </conditionalFormatting>
  <conditionalFormatting sqref="CW8:CX8">
    <cfRule type="cellIs" dxfId="3623" priority="2268" operator="equal">
      <formula>0</formula>
    </cfRule>
  </conditionalFormatting>
  <conditionalFormatting sqref="CW8:CX8">
    <cfRule type="cellIs" dxfId="3622" priority="2267" operator="equal">
      <formula>0</formula>
    </cfRule>
  </conditionalFormatting>
  <conditionalFormatting sqref="CY8">
    <cfRule type="cellIs" dxfId="3621" priority="2266" operator="equal">
      <formula>0</formula>
    </cfRule>
  </conditionalFormatting>
  <conditionalFormatting sqref="CY8">
    <cfRule type="cellIs" dxfId="3620" priority="2265" operator="equal">
      <formula>0</formula>
    </cfRule>
  </conditionalFormatting>
  <conditionalFormatting sqref="CY8">
    <cfRule type="cellIs" dxfId="3619" priority="2264" operator="equal">
      <formula>0</formula>
    </cfRule>
  </conditionalFormatting>
  <conditionalFormatting sqref="CW8:CX8">
    <cfRule type="cellIs" dxfId="3618" priority="2263" operator="equal">
      <formula>0</formula>
    </cfRule>
  </conditionalFormatting>
  <conditionalFormatting sqref="CY8">
    <cfRule type="cellIs" dxfId="3617" priority="2262" operator="equal">
      <formula>0</formula>
    </cfRule>
  </conditionalFormatting>
  <conditionalFormatting sqref="CW8:CX8">
    <cfRule type="cellIs" dxfId="3616" priority="2261" operator="equal">
      <formula>0</formula>
    </cfRule>
  </conditionalFormatting>
  <conditionalFormatting sqref="CW8:CX8">
    <cfRule type="cellIs" dxfId="3615" priority="2260" operator="equal">
      <formula>0</formula>
    </cfRule>
  </conditionalFormatting>
  <conditionalFormatting sqref="CW8:CX8">
    <cfRule type="cellIs" dxfId="3614" priority="2259" operator="equal">
      <formula>0</formula>
    </cfRule>
  </conditionalFormatting>
  <conditionalFormatting sqref="CY8">
    <cfRule type="cellIs" dxfId="3613" priority="2258" operator="equal">
      <formula>0</formula>
    </cfRule>
  </conditionalFormatting>
  <conditionalFormatting sqref="CY8">
    <cfRule type="cellIs" dxfId="3612" priority="2257" operator="equal">
      <formula>0</formula>
    </cfRule>
  </conditionalFormatting>
  <conditionalFormatting sqref="CY8">
    <cfRule type="cellIs" dxfId="3611" priority="2256" operator="equal">
      <formula>0</formula>
    </cfRule>
  </conditionalFormatting>
  <conditionalFormatting sqref="CW8:CX8">
    <cfRule type="cellIs" dxfId="3610" priority="2255" operator="equal">
      <formula>0</formula>
    </cfRule>
  </conditionalFormatting>
  <conditionalFormatting sqref="CY8">
    <cfRule type="cellIs" dxfId="3609" priority="2254" operator="equal">
      <formula>0</formula>
    </cfRule>
  </conditionalFormatting>
  <conditionalFormatting sqref="CW8:CX8">
    <cfRule type="cellIs" dxfId="3608" priority="2253" operator="equal">
      <formula>0</formula>
    </cfRule>
  </conditionalFormatting>
  <conditionalFormatting sqref="CW8:CX8">
    <cfRule type="cellIs" dxfId="3607" priority="2252" operator="equal">
      <formula>0</formula>
    </cfRule>
  </conditionalFormatting>
  <conditionalFormatting sqref="CY8">
    <cfRule type="cellIs" dxfId="3606" priority="2251" operator="equal">
      <formula>0</formula>
    </cfRule>
  </conditionalFormatting>
  <conditionalFormatting sqref="CY8">
    <cfRule type="cellIs" dxfId="3605" priority="2250" operator="equal">
      <formula>0</formula>
    </cfRule>
  </conditionalFormatting>
  <conditionalFormatting sqref="CW8:CX8">
    <cfRule type="cellIs" dxfId="3604" priority="2249" operator="equal">
      <formula>0</formula>
    </cfRule>
  </conditionalFormatting>
  <conditionalFormatting sqref="CW8:CX8">
    <cfRule type="cellIs" dxfId="3603" priority="2248" operator="equal">
      <formula>0</formula>
    </cfRule>
  </conditionalFormatting>
  <conditionalFormatting sqref="CW8:CX8">
    <cfRule type="cellIs" dxfId="3602" priority="2247" operator="equal">
      <formula>0</formula>
    </cfRule>
  </conditionalFormatting>
  <conditionalFormatting sqref="CY8">
    <cfRule type="cellIs" dxfId="3601" priority="2246" operator="equal">
      <formula>0</formula>
    </cfRule>
  </conditionalFormatting>
  <conditionalFormatting sqref="CY8">
    <cfRule type="cellIs" dxfId="3600" priority="2245" operator="equal">
      <formula>0</formula>
    </cfRule>
  </conditionalFormatting>
  <conditionalFormatting sqref="CY8">
    <cfRule type="cellIs" dxfId="3599" priority="2244" operator="equal">
      <formula>0</formula>
    </cfRule>
  </conditionalFormatting>
  <conditionalFormatting sqref="CW8:CX8">
    <cfRule type="cellIs" dxfId="3598" priority="2243" operator="equal">
      <formula>0</formula>
    </cfRule>
  </conditionalFormatting>
  <conditionalFormatting sqref="CW8:CX8">
    <cfRule type="cellIs" dxfId="3597" priority="2242" operator="equal">
      <formula>0</formula>
    </cfRule>
  </conditionalFormatting>
  <conditionalFormatting sqref="CW8:CX8">
    <cfRule type="cellIs" dxfId="3596" priority="2241" operator="equal">
      <formula>0</formula>
    </cfRule>
  </conditionalFormatting>
  <conditionalFormatting sqref="CY8">
    <cfRule type="cellIs" dxfId="3595" priority="2240" operator="equal">
      <formula>0</formula>
    </cfRule>
  </conditionalFormatting>
  <conditionalFormatting sqref="CY8">
    <cfRule type="cellIs" dxfId="3594" priority="2239" operator="equal">
      <formula>0</formula>
    </cfRule>
  </conditionalFormatting>
  <conditionalFormatting sqref="CY8">
    <cfRule type="cellIs" dxfId="3593" priority="2238" operator="equal">
      <formula>0</formula>
    </cfRule>
  </conditionalFormatting>
  <conditionalFormatting sqref="CW8:CX8">
    <cfRule type="cellIs" dxfId="3592" priority="2237" operator="equal">
      <formula>0</formula>
    </cfRule>
  </conditionalFormatting>
  <conditionalFormatting sqref="CY8">
    <cfRule type="cellIs" dxfId="3591" priority="2236" operator="equal">
      <formula>0</formula>
    </cfRule>
  </conditionalFormatting>
  <conditionalFormatting sqref="CW8:CX8">
    <cfRule type="cellIs" dxfId="3590" priority="2235" operator="equal">
      <formula>0</formula>
    </cfRule>
  </conditionalFormatting>
  <conditionalFormatting sqref="CY8">
    <cfRule type="cellIs" dxfId="3589" priority="2234" operator="equal">
      <formula>0</formula>
    </cfRule>
  </conditionalFormatting>
  <conditionalFormatting sqref="CW8:CX8">
    <cfRule type="cellIs" dxfId="3588" priority="2233" operator="equal">
      <formula>0</formula>
    </cfRule>
  </conditionalFormatting>
  <conditionalFormatting sqref="CW8:CX8">
    <cfRule type="cellIs" dxfId="3587" priority="2232" operator="equal">
      <formula>0</formula>
    </cfRule>
  </conditionalFormatting>
  <conditionalFormatting sqref="CW8:CX8">
    <cfRule type="cellIs" dxfId="3586" priority="2231" operator="equal">
      <formula>0</formula>
    </cfRule>
  </conditionalFormatting>
  <conditionalFormatting sqref="CY8">
    <cfRule type="cellIs" dxfId="3585" priority="2230" operator="equal">
      <formula>0</formula>
    </cfRule>
  </conditionalFormatting>
  <conditionalFormatting sqref="CY8">
    <cfRule type="cellIs" dxfId="3584" priority="2229" operator="equal">
      <formula>0</formula>
    </cfRule>
  </conditionalFormatting>
  <conditionalFormatting sqref="CY8">
    <cfRule type="cellIs" dxfId="3583" priority="2228" operator="equal">
      <formula>0</formula>
    </cfRule>
  </conditionalFormatting>
  <conditionalFormatting sqref="CW8:CX8">
    <cfRule type="cellIs" dxfId="3582" priority="2227" operator="equal">
      <formula>0</formula>
    </cfRule>
  </conditionalFormatting>
  <conditionalFormatting sqref="CW8:CX8">
    <cfRule type="cellIs" dxfId="3581" priority="2226" operator="equal">
      <formula>0</formula>
    </cfRule>
  </conditionalFormatting>
  <conditionalFormatting sqref="CW8:CX8">
    <cfRule type="cellIs" dxfId="3580" priority="2225" operator="equal">
      <formula>0</formula>
    </cfRule>
  </conditionalFormatting>
  <conditionalFormatting sqref="CY8">
    <cfRule type="cellIs" dxfId="3579" priority="2224" operator="equal">
      <formula>0</formula>
    </cfRule>
  </conditionalFormatting>
  <conditionalFormatting sqref="CY8">
    <cfRule type="cellIs" dxfId="3578" priority="2223" operator="equal">
      <formula>0</formula>
    </cfRule>
  </conditionalFormatting>
  <conditionalFormatting sqref="CY8">
    <cfRule type="cellIs" dxfId="3577" priority="2222" operator="equal">
      <formula>0</formula>
    </cfRule>
  </conditionalFormatting>
  <conditionalFormatting sqref="CW8:CX8">
    <cfRule type="cellIs" dxfId="3576" priority="2221" operator="equal">
      <formula>0</formula>
    </cfRule>
  </conditionalFormatting>
  <conditionalFormatting sqref="CW8:CX8">
    <cfRule type="cellIs" dxfId="3575" priority="2220" operator="equal">
      <formula>0</formula>
    </cfRule>
  </conditionalFormatting>
  <conditionalFormatting sqref="CW8:CX8">
    <cfRule type="cellIs" dxfId="3574" priority="2219" operator="equal">
      <formula>0</formula>
    </cfRule>
  </conditionalFormatting>
  <conditionalFormatting sqref="CY8">
    <cfRule type="cellIs" dxfId="3573" priority="2218" operator="equal">
      <formula>0</formula>
    </cfRule>
  </conditionalFormatting>
  <conditionalFormatting sqref="CY8">
    <cfRule type="cellIs" dxfId="3572" priority="2217" operator="equal">
      <formula>0</formula>
    </cfRule>
  </conditionalFormatting>
  <conditionalFormatting sqref="CY8">
    <cfRule type="cellIs" dxfId="3571" priority="2216" operator="equal">
      <formula>0</formula>
    </cfRule>
  </conditionalFormatting>
  <conditionalFormatting sqref="CW8:CX8">
    <cfRule type="cellIs" dxfId="3570" priority="2215" operator="equal">
      <formula>0</formula>
    </cfRule>
  </conditionalFormatting>
  <conditionalFormatting sqref="CW8:CX8">
    <cfRule type="cellIs" dxfId="3569" priority="2214" operator="equal">
      <formula>0</formula>
    </cfRule>
  </conditionalFormatting>
  <conditionalFormatting sqref="CY8">
    <cfRule type="cellIs" dxfId="3568" priority="2213" operator="equal">
      <formula>0</formula>
    </cfRule>
  </conditionalFormatting>
  <conditionalFormatting sqref="CY8">
    <cfRule type="cellIs" dxfId="3567" priority="2212" operator="equal">
      <formula>0</formula>
    </cfRule>
  </conditionalFormatting>
  <conditionalFormatting sqref="CW8:CX8">
    <cfRule type="cellIs" dxfId="3566" priority="2211" operator="equal">
      <formula>0</formula>
    </cfRule>
  </conditionalFormatting>
  <conditionalFormatting sqref="CW8:CX8">
    <cfRule type="cellIs" dxfId="3565" priority="2210" operator="equal">
      <formula>0</formula>
    </cfRule>
  </conditionalFormatting>
  <conditionalFormatting sqref="CY8">
    <cfRule type="cellIs" dxfId="3564" priority="2209" operator="equal">
      <formula>0</formula>
    </cfRule>
  </conditionalFormatting>
  <conditionalFormatting sqref="CY8">
    <cfRule type="cellIs" dxfId="3563" priority="2208" operator="equal">
      <formula>0</formula>
    </cfRule>
  </conditionalFormatting>
  <conditionalFormatting sqref="CW8:CX8">
    <cfRule type="cellIs" dxfId="3562" priority="2207" operator="equal">
      <formula>0</formula>
    </cfRule>
  </conditionalFormatting>
  <conditionalFormatting sqref="CY8">
    <cfRule type="cellIs" dxfId="3561" priority="2206" operator="equal">
      <formula>0</formula>
    </cfRule>
  </conditionalFormatting>
  <conditionalFormatting sqref="CW8:CX8">
    <cfRule type="cellIs" dxfId="3560" priority="2205" operator="equal">
      <formula>0</formula>
    </cfRule>
  </conditionalFormatting>
  <conditionalFormatting sqref="CW8:CX8">
    <cfRule type="cellIs" dxfId="3559" priority="2204" operator="equal">
      <formula>0</formula>
    </cfRule>
  </conditionalFormatting>
  <conditionalFormatting sqref="CY8">
    <cfRule type="cellIs" dxfId="3558" priority="2203" operator="equal">
      <formula>0</formula>
    </cfRule>
  </conditionalFormatting>
  <conditionalFormatting sqref="CY8">
    <cfRule type="cellIs" dxfId="3557" priority="2202" operator="equal">
      <formula>0</formula>
    </cfRule>
  </conditionalFormatting>
  <conditionalFormatting sqref="CW8:CX8">
    <cfRule type="cellIs" dxfId="3556" priority="2201" operator="equal">
      <formula>0</formula>
    </cfRule>
  </conditionalFormatting>
  <conditionalFormatting sqref="CW8:CX8">
    <cfRule type="cellIs" dxfId="3555" priority="2200" operator="equal">
      <formula>0</formula>
    </cfRule>
  </conditionalFormatting>
  <conditionalFormatting sqref="CW8:CX8">
    <cfRule type="cellIs" dxfId="3554" priority="2199" operator="equal">
      <formula>0</formula>
    </cfRule>
  </conditionalFormatting>
  <conditionalFormatting sqref="CY8">
    <cfRule type="cellIs" dxfId="3553" priority="2198" operator="equal">
      <formula>0</formula>
    </cfRule>
  </conditionalFormatting>
  <conditionalFormatting sqref="CY8">
    <cfRule type="cellIs" dxfId="3552" priority="2197" operator="equal">
      <formula>0</formula>
    </cfRule>
  </conditionalFormatting>
  <conditionalFormatting sqref="CY8">
    <cfRule type="cellIs" dxfId="3551" priority="2196" operator="equal">
      <formula>0</formula>
    </cfRule>
  </conditionalFormatting>
  <conditionalFormatting sqref="DV8">
    <cfRule type="cellIs" dxfId="3550" priority="2195" operator="equal">
      <formula>0</formula>
    </cfRule>
  </conditionalFormatting>
  <conditionalFormatting sqref="CW8:CX8">
    <cfRule type="cellIs" dxfId="3549" priority="2194" operator="equal">
      <formula>0</formula>
    </cfRule>
  </conditionalFormatting>
  <conditionalFormatting sqref="CY8">
    <cfRule type="cellIs" dxfId="3548" priority="2193" operator="equal">
      <formula>0</formula>
    </cfRule>
  </conditionalFormatting>
  <conditionalFormatting sqref="CY8">
    <cfRule type="cellIs" dxfId="3547" priority="2192" operator="equal">
      <formula>0</formula>
    </cfRule>
  </conditionalFormatting>
  <conditionalFormatting sqref="CY8">
    <cfRule type="cellIs" dxfId="3546" priority="2191" operator="equal">
      <formula>0</formula>
    </cfRule>
  </conditionalFormatting>
  <conditionalFormatting sqref="CW8:CX8">
    <cfRule type="cellIs" dxfId="3545" priority="2190" operator="equal">
      <formula>0</formula>
    </cfRule>
  </conditionalFormatting>
  <conditionalFormatting sqref="CY8">
    <cfRule type="cellIs" dxfId="3544" priority="2189" operator="equal">
      <formula>0</formula>
    </cfRule>
  </conditionalFormatting>
  <conditionalFormatting sqref="CW8:CX8">
    <cfRule type="cellIs" dxfId="3543" priority="2188" operator="equal">
      <formula>0</formula>
    </cfRule>
  </conditionalFormatting>
  <conditionalFormatting sqref="CW8:CX8">
    <cfRule type="cellIs" dxfId="3542" priority="2187" operator="equal">
      <formula>0</formula>
    </cfRule>
  </conditionalFormatting>
  <conditionalFormatting sqref="CY8">
    <cfRule type="cellIs" dxfId="3541" priority="2186" operator="equal">
      <formula>0</formula>
    </cfRule>
  </conditionalFormatting>
  <conditionalFormatting sqref="CY8">
    <cfRule type="cellIs" dxfId="3540" priority="2185" operator="equal">
      <formula>0</formula>
    </cfRule>
  </conditionalFormatting>
  <conditionalFormatting sqref="CW8:CX8">
    <cfRule type="cellIs" dxfId="3539" priority="2184" operator="equal">
      <formula>0</formula>
    </cfRule>
  </conditionalFormatting>
  <conditionalFormatting sqref="CW8:CX8">
    <cfRule type="cellIs" dxfId="3538" priority="2183" operator="equal">
      <formula>0</formula>
    </cfRule>
  </conditionalFormatting>
  <conditionalFormatting sqref="CW8:CX8">
    <cfRule type="cellIs" dxfId="3537" priority="2182" operator="equal">
      <formula>0</formula>
    </cfRule>
  </conditionalFormatting>
  <conditionalFormatting sqref="CY8">
    <cfRule type="cellIs" dxfId="3536" priority="2181" operator="equal">
      <formula>0</formula>
    </cfRule>
  </conditionalFormatting>
  <conditionalFormatting sqref="CY8">
    <cfRule type="cellIs" dxfId="3535" priority="2180" operator="equal">
      <formula>0</formula>
    </cfRule>
  </conditionalFormatting>
  <conditionalFormatting sqref="CY8">
    <cfRule type="cellIs" dxfId="3534" priority="2179" operator="equal">
      <formula>0</formula>
    </cfRule>
  </conditionalFormatting>
  <conditionalFormatting sqref="CW8:CX8">
    <cfRule type="cellIs" dxfId="3533" priority="2178" operator="equal">
      <formula>0</formula>
    </cfRule>
  </conditionalFormatting>
  <conditionalFormatting sqref="CW8:CX8">
    <cfRule type="cellIs" dxfId="3532" priority="2177" operator="equal">
      <formula>0</formula>
    </cfRule>
  </conditionalFormatting>
  <conditionalFormatting sqref="CW8:CX8">
    <cfRule type="cellIs" dxfId="3531" priority="2176" operator="equal">
      <formula>0</formula>
    </cfRule>
  </conditionalFormatting>
  <conditionalFormatting sqref="CY8">
    <cfRule type="cellIs" dxfId="3530" priority="2175" operator="equal">
      <formula>0</formula>
    </cfRule>
  </conditionalFormatting>
  <conditionalFormatting sqref="CY8">
    <cfRule type="cellIs" dxfId="3529" priority="2174" operator="equal">
      <formula>0</formula>
    </cfRule>
  </conditionalFormatting>
  <conditionalFormatting sqref="CY8">
    <cfRule type="cellIs" dxfId="3528" priority="2173" operator="equal">
      <formula>0</formula>
    </cfRule>
  </conditionalFormatting>
  <conditionalFormatting sqref="CW8:CX8">
    <cfRule type="cellIs" dxfId="3527" priority="2172" operator="equal">
      <formula>0</formula>
    </cfRule>
  </conditionalFormatting>
  <conditionalFormatting sqref="CY8">
    <cfRule type="cellIs" dxfId="3526" priority="2171" operator="equal">
      <formula>0</formula>
    </cfRule>
  </conditionalFormatting>
  <conditionalFormatting sqref="CW8:CX8">
    <cfRule type="cellIs" dxfId="3525" priority="2170" operator="equal">
      <formula>0</formula>
    </cfRule>
  </conditionalFormatting>
  <conditionalFormatting sqref="CY8">
    <cfRule type="cellIs" dxfId="3524" priority="2169" operator="equal">
      <formula>0</formula>
    </cfRule>
  </conditionalFormatting>
  <conditionalFormatting sqref="CW8:CX8">
    <cfRule type="cellIs" dxfId="3523" priority="2168" operator="equal">
      <formula>0</formula>
    </cfRule>
  </conditionalFormatting>
  <conditionalFormatting sqref="CW8:CX8">
    <cfRule type="cellIs" dxfId="3522" priority="2167" operator="equal">
      <formula>0</formula>
    </cfRule>
  </conditionalFormatting>
  <conditionalFormatting sqref="CW8:CX8">
    <cfRule type="cellIs" dxfId="3521" priority="2166" operator="equal">
      <formula>0</formula>
    </cfRule>
  </conditionalFormatting>
  <conditionalFormatting sqref="CY8">
    <cfRule type="cellIs" dxfId="3520" priority="2165" operator="equal">
      <formula>0</formula>
    </cfRule>
  </conditionalFormatting>
  <conditionalFormatting sqref="CY8">
    <cfRule type="cellIs" dxfId="3519" priority="2164" operator="equal">
      <formula>0</formula>
    </cfRule>
  </conditionalFormatting>
  <conditionalFormatting sqref="CY8">
    <cfRule type="cellIs" dxfId="3518" priority="2163" operator="equal">
      <formula>0</formula>
    </cfRule>
  </conditionalFormatting>
  <conditionalFormatting sqref="CW8:CX8">
    <cfRule type="cellIs" dxfId="3517" priority="2162" operator="equal">
      <formula>0</formula>
    </cfRule>
  </conditionalFormatting>
  <conditionalFormatting sqref="CW8:CX8">
    <cfRule type="cellIs" dxfId="3516" priority="2161" operator="equal">
      <formula>0</formula>
    </cfRule>
  </conditionalFormatting>
  <conditionalFormatting sqref="CW8:CX8">
    <cfRule type="cellIs" dxfId="3515" priority="2160" operator="equal">
      <formula>0</formula>
    </cfRule>
  </conditionalFormatting>
  <conditionalFormatting sqref="CY8">
    <cfRule type="cellIs" dxfId="3514" priority="2159" operator="equal">
      <formula>0</formula>
    </cfRule>
  </conditionalFormatting>
  <conditionalFormatting sqref="CY8">
    <cfRule type="cellIs" dxfId="3513" priority="2158" operator="equal">
      <formula>0</formula>
    </cfRule>
  </conditionalFormatting>
  <conditionalFormatting sqref="CY8">
    <cfRule type="cellIs" dxfId="3512" priority="2157" operator="equal">
      <formula>0</formula>
    </cfRule>
  </conditionalFormatting>
  <conditionalFormatting sqref="CW8:CX8">
    <cfRule type="cellIs" dxfId="3511" priority="2156" operator="equal">
      <formula>0</formula>
    </cfRule>
  </conditionalFormatting>
  <conditionalFormatting sqref="CY8">
    <cfRule type="cellIs" dxfId="3510" priority="2155" operator="equal">
      <formula>0</formula>
    </cfRule>
  </conditionalFormatting>
  <conditionalFormatting sqref="CW8:CX8">
    <cfRule type="cellIs" dxfId="3509" priority="2154" operator="equal">
      <formula>0</formula>
    </cfRule>
  </conditionalFormatting>
  <conditionalFormatting sqref="CY8">
    <cfRule type="cellIs" dxfId="3508" priority="2153" operator="equal">
      <formula>0</formula>
    </cfRule>
  </conditionalFormatting>
  <conditionalFormatting sqref="CW8:CX8">
    <cfRule type="cellIs" dxfId="3507" priority="2152" operator="equal">
      <formula>0</formula>
    </cfRule>
  </conditionalFormatting>
  <conditionalFormatting sqref="CW8:CX8">
    <cfRule type="cellIs" dxfId="3506" priority="2151" operator="equal">
      <formula>0</formula>
    </cfRule>
  </conditionalFormatting>
  <conditionalFormatting sqref="CY8">
    <cfRule type="cellIs" dxfId="3505" priority="2150" operator="equal">
      <formula>0</formula>
    </cfRule>
  </conditionalFormatting>
  <conditionalFormatting sqref="CY8">
    <cfRule type="cellIs" dxfId="3504" priority="2149" operator="equal">
      <formula>0</formula>
    </cfRule>
  </conditionalFormatting>
  <conditionalFormatting sqref="CW8:CX8">
    <cfRule type="cellIs" dxfId="3503" priority="2148" operator="equal">
      <formula>0</formula>
    </cfRule>
  </conditionalFormatting>
  <conditionalFormatting sqref="CW8:CX8">
    <cfRule type="cellIs" dxfId="3502" priority="2147" operator="equal">
      <formula>0</formula>
    </cfRule>
  </conditionalFormatting>
  <conditionalFormatting sqref="CY8">
    <cfRule type="cellIs" dxfId="3501" priority="2146" operator="equal">
      <formula>0</formula>
    </cfRule>
  </conditionalFormatting>
  <conditionalFormatting sqref="CY8">
    <cfRule type="cellIs" dxfId="3500" priority="2145" operator="equal">
      <formula>0</formula>
    </cfRule>
  </conditionalFormatting>
  <conditionalFormatting sqref="CW8:CX8">
    <cfRule type="cellIs" dxfId="3499" priority="2144" operator="equal">
      <formula>0</formula>
    </cfRule>
  </conditionalFormatting>
  <conditionalFormatting sqref="CY8">
    <cfRule type="cellIs" dxfId="3498" priority="2143" operator="equal">
      <formula>0</formula>
    </cfRule>
  </conditionalFormatting>
  <conditionalFormatting sqref="CW8:CX8">
    <cfRule type="cellIs" dxfId="3497" priority="2142" operator="equal">
      <formula>0</formula>
    </cfRule>
  </conditionalFormatting>
  <conditionalFormatting sqref="CW8:CX8">
    <cfRule type="cellIs" dxfId="3496" priority="2141" operator="equal">
      <formula>0</formula>
    </cfRule>
  </conditionalFormatting>
  <conditionalFormatting sqref="CY8">
    <cfRule type="cellIs" dxfId="3495" priority="2140" operator="equal">
      <formula>0</formula>
    </cfRule>
  </conditionalFormatting>
  <conditionalFormatting sqref="CY8">
    <cfRule type="cellIs" dxfId="3494" priority="2139" operator="equal">
      <formula>0</formula>
    </cfRule>
  </conditionalFormatting>
  <conditionalFormatting sqref="CW8:CX8">
    <cfRule type="cellIs" dxfId="3493" priority="2138" operator="equal">
      <formula>0</formula>
    </cfRule>
  </conditionalFormatting>
  <conditionalFormatting sqref="CW8:CX8">
    <cfRule type="cellIs" dxfId="3492" priority="2137" operator="equal">
      <formula>0</formula>
    </cfRule>
  </conditionalFormatting>
  <conditionalFormatting sqref="CW8:CX8">
    <cfRule type="cellIs" dxfId="3491" priority="2136" operator="equal">
      <formula>0</formula>
    </cfRule>
  </conditionalFormatting>
  <conditionalFormatting sqref="CY8">
    <cfRule type="cellIs" dxfId="3490" priority="2135" operator="equal">
      <formula>0</formula>
    </cfRule>
  </conditionalFormatting>
  <conditionalFormatting sqref="CY8">
    <cfRule type="cellIs" dxfId="3489" priority="2134" operator="equal">
      <formula>0</formula>
    </cfRule>
  </conditionalFormatting>
  <conditionalFormatting sqref="CY8">
    <cfRule type="cellIs" dxfId="3488" priority="2133" operator="equal">
      <formula>0</formula>
    </cfRule>
  </conditionalFormatting>
  <conditionalFormatting sqref="CW8:CX8">
    <cfRule type="cellIs" dxfId="3487" priority="2132" operator="equal">
      <formula>0</formula>
    </cfRule>
  </conditionalFormatting>
  <conditionalFormatting sqref="CY8">
    <cfRule type="cellIs" dxfId="3486" priority="2131" operator="equal">
      <formula>0</formula>
    </cfRule>
  </conditionalFormatting>
  <conditionalFormatting sqref="CW8:CX8">
    <cfRule type="cellIs" dxfId="3485" priority="2130" operator="equal">
      <formula>0</formula>
    </cfRule>
  </conditionalFormatting>
  <conditionalFormatting sqref="CY8">
    <cfRule type="cellIs" dxfId="3484" priority="2129" operator="equal">
      <formula>0</formula>
    </cfRule>
  </conditionalFormatting>
  <conditionalFormatting sqref="CW8:CX8">
    <cfRule type="cellIs" dxfId="3483" priority="2128" operator="equal">
      <formula>0</formula>
    </cfRule>
  </conditionalFormatting>
  <conditionalFormatting sqref="CW8:CX8">
    <cfRule type="cellIs" dxfId="3482" priority="2127" operator="equal">
      <formula>0</formula>
    </cfRule>
  </conditionalFormatting>
  <conditionalFormatting sqref="CW8:CX8">
    <cfRule type="cellIs" dxfId="3481" priority="2126" operator="equal">
      <formula>0</formula>
    </cfRule>
  </conditionalFormatting>
  <conditionalFormatting sqref="CY8">
    <cfRule type="cellIs" dxfId="3480" priority="2125" operator="equal">
      <formula>0</formula>
    </cfRule>
  </conditionalFormatting>
  <conditionalFormatting sqref="CY8">
    <cfRule type="cellIs" dxfId="3479" priority="2124" operator="equal">
      <formula>0</formula>
    </cfRule>
  </conditionalFormatting>
  <conditionalFormatting sqref="CY8">
    <cfRule type="cellIs" dxfId="3478" priority="2123" operator="equal">
      <formula>0</formula>
    </cfRule>
  </conditionalFormatting>
  <conditionalFormatting sqref="CW8:CX8">
    <cfRule type="cellIs" dxfId="3477" priority="2122" operator="equal">
      <formula>0</formula>
    </cfRule>
  </conditionalFormatting>
  <conditionalFormatting sqref="CY8">
    <cfRule type="cellIs" dxfId="3476" priority="2121" operator="equal">
      <formula>0</formula>
    </cfRule>
  </conditionalFormatting>
  <conditionalFormatting sqref="CY8">
    <cfRule type="cellIs" dxfId="3475" priority="2120" operator="equal">
      <formula>0</formula>
    </cfRule>
  </conditionalFormatting>
  <conditionalFormatting sqref="CW8:CX8">
    <cfRule type="cellIs" dxfId="3474" priority="2119" operator="equal">
      <formula>0</formula>
    </cfRule>
  </conditionalFormatting>
  <conditionalFormatting sqref="CW8:CX8">
    <cfRule type="cellIs" dxfId="3473" priority="2118" operator="equal">
      <formula>0</formula>
    </cfRule>
  </conditionalFormatting>
  <conditionalFormatting sqref="CY8">
    <cfRule type="cellIs" dxfId="3472" priority="2117" operator="equal">
      <formula>0</formula>
    </cfRule>
  </conditionalFormatting>
  <conditionalFormatting sqref="CY8">
    <cfRule type="cellIs" dxfId="3471" priority="2116" operator="equal">
      <formula>0</formula>
    </cfRule>
  </conditionalFormatting>
  <conditionalFormatting sqref="CW8:CX8">
    <cfRule type="cellIs" dxfId="3470" priority="2115" operator="equal">
      <formula>0</formula>
    </cfRule>
  </conditionalFormatting>
  <conditionalFormatting sqref="CW8:CX8">
    <cfRule type="cellIs" dxfId="3469" priority="2114" operator="equal">
      <formula>0</formula>
    </cfRule>
  </conditionalFormatting>
  <conditionalFormatting sqref="CW8:CX8">
    <cfRule type="cellIs" dxfId="3468" priority="2113" operator="equal">
      <formula>0</formula>
    </cfRule>
  </conditionalFormatting>
  <conditionalFormatting sqref="CY8">
    <cfRule type="cellIs" dxfId="3467" priority="2112" operator="equal">
      <formula>0</formula>
    </cfRule>
  </conditionalFormatting>
  <conditionalFormatting sqref="CY8">
    <cfRule type="cellIs" dxfId="3466" priority="2111" operator="equal">
      <formula>0</formula>
    </cfRule>
  </conditionalFormatting>
  <conditionalFormatting sqref="CY8">
    <cfRule type="cellIs" dxfId="3465" priority="2110" operator="equal">
      <formula>0</formula>
    </cfRule>
  </conditionalFormatting>
  <conditionalFormatting sqref="CW8:CX8">
    <cfRule type="cellIs" dxfId="3464" priority="2109" operator="equal">
      <formula>0</formula>
    </cfRule>
  </conditionalFormatting>
  <conditionalFormatting sqref="CW8:CX8">
    <cfRule type="cellIs" dxfId="3463" priority="2108" operator="equal">
      <formula>0</formula>
    </cfRule>
  </conditionalFormatting>
  <conditionalFormatting sqref="CW8:CX8">
    <cfRule type="cellIs" dxfId="3462" priority="2107" operator="equal">
      <formula>0</formula>
    </cfRule>
  </conditionalFormatting>
  <conditionalFormatting sqref="CY8">
    <cfRule type="cellIs" dxfId="3461" priority="2106" operator="equal">
      <formula>0</formula>
    </cfRule>
  </conditionalFormatting>
  <conditionalFormatting sqref="CY8">
    <cfRule type="cellIs" dxfId="3460" priority="2105" operator="equal">
      <formula>0</formula>
    </cfRule>
  </conditionalFormatting>
  <conditionalFormatting sqref="CY8">
    <cfRule type="cellIs" dxfId="3459" priority="2104" operator="equal">
      <formula>0</formula>
    </cfRule>
  </conditionalFormatting>
  <conditionalFormatting sqref="CW8:CX8">
    <cfRule type="cellIs" dxfId="3458" priority="2103" operator="equal">
      <formula>0</formula>
    </cfRule>
  </conditionalFormatting>
  <conditionalFormatting sqref="CW8:CX8">
    <cfRule type="cellIs" dxfId="3457" priority="2102" operator="equal">
      <formula>0</formula>
    </cfRule>
  </conditionalFormatting>
  <conditionalFormatting sqref="CY8">
    <cfRule type="cellIs" dxfId="3456" priority="2101" operator="equal">
      <formula>0</formula>
    </cfRule>
  </conditionalFormatting>
  <conditionalFormatting sqref="CY8">
    <cfRule type="cellIs" dxfId="3455" priority="2100" operator="equal">
      <formula>0</formula>
    </cfRule>
  </conditionalFormatting>
  <conditionalFormatting sqref="CW8:CX8">
    <cfRule type="cellIs" dxfId="3454" priority="2099" operator="equal">
      <formula>0</formula>
    </cfRule>
  </conditionalFormatting>
  <conditionalFormatting sqref="CW8:CX8">
    <cfRule type="cellIs" dxfId="3453" priority="2098" operator="equal">
      <formula>0</formula>
    </cfRule>
  </conditionalFormatting>
  <conditionalFormatting sqref="CW8:CX8">
    <cfRule type="cellIs" dxfId="3452" priority="2097" operator="equal">
      <formula>0</formula>
    </cfRule>
  </conditionalFormatting>
  <conditionalFormatting sqref="CY8">
    <cfRule type="cellIs" dxfId="3451" priority="2096" operator="equal">
      <formula>0</formula>
    </cfRule>
  </conditionalFormatting>
  <conditionalFormatting sqref="CY8">
    <cfRule type="cellIs" dxfId="3450" priority="2095" operator="equal">
      <formula>0</formula>
    </cfRule>
  </conditionalFormatting>
  <conditionalFormatting sqref="CY8">
    <cfRule type="cellIs" dxfId="3449" priority="2094" operator="equal">
      <formula>0</formula>
    </cfRule>
  </conditionalFormatting>
  <conditionalFormatting sqref="CW8:CX8">
    <cfRule type="cellIs" dxfId="3448" priority="2093" operator="equal">
      <formula>0</formula>
    </cfRule>
  </conditionalFormatting>
  <conditionalFormatting sqref="CW8:CX8">
    <cfRule type="cellIs" dxfId="3447" priority="2092" operator="equal">
      <formula>0</formula>
    </cfRule>
  </conditionalFormatting>
  <conditionalFormatting sqref="CY8">
    <cfRule type="cellIs" dxfId="3446" priority="2091" operator="equal">
      <formula>0</formula>
    </cfRule>
  </conditionalFormatting>
  <conditionalFormatting sqref="CY8">
    <cfRule type="cellIs" dxfId="3445" priority="2090" operator="equal">
      <formula>0</formula>
    </cfRule>
  </conditionalFormatting>
  <conditionalFormatting sqref="CW8:CX8">
    <cfRule type="cellIs" dxfId="3444" priority="2089" operator="equal">
      <formula>0</formula>
    </cfRule>
  </conditionalFormatting>
  <conditionalFormatting sqref="CW8:CX8">
    <cfRule type="cellIs" dxfId="3443" priority="2088" operator="equal">
      <formula>0</formula>
    </cfRule>
  </conditionalFormatting>
  <conditionalFormatting sqref="CY8">
    <cfRule type="cellIs" dxfId="3442" priority="2087" operator="equal">
      <formula>0</formula>
    </cfRule>
  </conditionalFormatting>
  <conditionalFormatting sqref="CY8">
    <cfRule type="cellIs" dxfId="3441" priority="2086" operator="equal">
      <formula>0</formula>
    </cfRule>
  </conditionalFormatting>
  <conditionalFormatting sqref="CW8:CX8">
    <cfRule type="cellIs" dxfId="3440" priority="2085" operator="equal">
      <formula>0</formula>
    </cfRule>
  </conditionalFormatting>
  <conditionalFormatting sqref="CW8:CX8">
    <cfRule type="cellIs" dxfId="3439" priority="2084" operator="equal">
      <formula>0</formula>
    </cfRule>
  </conditionalFormatting>
  <conditionalFormatting sqref="CY8">
    <cfRule type="cellIs" dxfId="3438" priority="2083" operator="equal">
      <formula>0</formula>
    </cfRule>
  </conditionalFormatting>
  <conditionalFormatting sqref="CY8">
    <cfRule type="cellIs" dxfId="3437" priority="2082" operator="equal">
      <formula>0</formula>
    </cfRule>
  </conditionalFormatting>
  <conditionalFormatting sqref="CW8:CX8">
    <cfRule type="cellIs" dxfId="3436" priority="2081" operator="equal">
      <formula>0</formula>
    </cfRule>
  </conditionalFormatting>
  <conditionalFormatting sqref="CY8">
    <cfRule type="cellIs" dxfId="3435" priority="2080" operator="equal">
      <formula>0</formula>
    </cfRule>
  </conditionalFormatting>
  <conditionalFormatting sqref="DV8">
    <cfRule type="cellIs" dxfId="3434" priority="2079" operator="equal">
      <formula>0</formula>
    </cfRule>
  </conditionalFormatting>
  <conditionalFormatting sqref="CW8:CX8">
    <cfRule type="cellIs" dxfId="3433" priority="2078" operator="equal">
      <formula>0</formula>
    </cfRule>
  </conditionalFormatting>
  <conditionalFormatting sqref="CY8">
    <cfRule type="cellIs" dxfId="3432" priority="2077" operator="equal">
      <formula>0</formula>
    </cfRule>
  </conditionalFormatting>
  <conditionalFormatting sqref="CY8">
    <cfRule type="cellIs" dxfId="3431" priority="2076" operator="equal">
      <formula>0</formula>
    </cfRule>
  </conditionalFormatting>
  <conditionalFormatting sqref="CW8:CX8">
    <cfRule type="cellIs" dxfId="3430" priority="2075" operator="equal">
      <formula>0</formula>
    </cfRule>
  </conditionalFormatting>
  <conditionalFormatting sqref="CW8:CX8">
    <cfRule type="cellIs" dxfId="3429" priority="2074" operator="equal">
      <formula>0</formula>
    </cfRule>
  </conditionalFormatting>
  <conditionalFormatting sqref="CY8">
    <cfRule type="cellIs" dxfId="3428" priority="2073" operator="equal">
      <formula>0</formula>
    </cfRule>
  </conditionalFormatting>
  <conditionalFormatting sqref="CY8">
    <cfRule type="cellIs" dxfId="3427" priority="2072" operator="equal">
      <formula>0</formula>
    </cfRule>
  </conditionalFormatting>
  <conditionalFormatting sqref="CW8:CX8">
    <cfRule type="cellIs" dxfId="3426" priority="2071" operator="equal">
      <formula>0</formula>
    </cfRule>
  </conditionalFormatting>
  <conditionalFormatting sqref="CW8:CX8">
    <cfRule type="cellIs" dxfId="3425" priority="2070" operator="equal">
      <formula>0</formula>
    </cfRule>
  </conditionalFormatting>
  <conditionalFormatting sqref="CY8">
    <cfRule type="cellIs" dxfId="3424" priority="2069" operator="equal">
      <formula>0</formula>
    </cfRule>
  </conditionalFormatting>
  <conditionalFormatting sqref="CY8">
    <cfRule type="cellIs" dxfId="3423" priority="2068" operator="equal">
      <formula>0</formula>
    </cfRule>
  </conditionalFormatting>
  <conditionalFormatting sqref="CW8:CX8">
    <cfRule type="cellIs" dxfId="3422" priority="2067" operator="equal">
      <formula>0</formula>
    </cfRule>
  </conditionalFormatting>
  <conditionalFormatting sqref="CW8:CX8">
    <cfRule type="cellIs" dxfId="3421" priority="2066" operator="equal">
      <formula>0</formula>
    </cfRule>
  </conditionalFormatting>
  <conditionalFormatting sqref="CW8:CX8">
    <cfRule type="cellIs" dxfId="3420" priority="2065" operator="equal">
      <formula>0</formula>
    </cfRule>
  </conditionalFormatting>
  <conditionalFormatting sqref="CY8">
    <cfRule type="cellIs" dxfId="3419" priority="2064" operator="equal">
      <formula>0</formula>
    </cfRule>
  </conditionalFormatting>
  <conditionalFormatting sqref="CY8">
    <cfRule type="cellIs" dxfId="3418" priority="2063" operator="equal">
      <formula>0</formula>
    </cfRule>
  </conditionalFormatting>
  <conditionalFormatting sqref="CY8">
    <cfRule type="cellIs" dxfId="3417" priority="2062" operator="equal">
      <formula>0</formula>
    </cfRule>
  </conditionalFormatting>
  <conditionalFormatting sqref="CW8:CX8">
    <cfRule type="cellIs" dxfId="3416" priority="2061" operator="equal">
      <formula>0</formula>
    </cfRule>
  </conditionalFormatting>
  <conditionalFormatting sqref="CY8">
    <cfRule type="cellIs" dxfId="3415" priority="2060" operator="equal">
      <formula>0</formula>
    </cfRule>
  </conditionalFormatting>
  <conditionalFormatting sqref="CW8:CX8">
    <cfRule type="cellIs" dxfId="3414" priority="2059" operator="equal">
      <formula>0</formula>
    </cfRule>
  </conditionalFormatting>
  <conditionalFormatting sqref="CW8:CX8">
    <cfRule type="cellIs" dxfId="3413" priority="2058" operator="equal">
      <formula>0</formula>
    </cfRule>
  </conditionalFormatting>
  <conditionalFormatting sqref="CY8">
    <cfRule type="cellIs" dxfId="3412" priority="2057" operator="equal">
      <formula>0</formula>
    </cfRule>
  </conditionalFormatting>
  <conditionalFormatting sqref="CY8">
    <cfRule type="cellIs" dxfId="3411" priority="2056" operator="equal">
      <formula>0</formula>
    </cfRule>
  </conditionalFormatting>
  <conditionalFormatting sqref="CW8:CX8">
    <cfRule type="cellIs" dxfId="3410" priority="2055" operator="equal">
      <formula>0</formula>
    </cfRule>
  </conditionalFormatting>
  <conditionalFormatting sqref="CW8:CX8">
    <cfRule type="cellIs" dxfId="3409" priority="2054" operator="equal">
      <formula>0</formula>
    </cfRule>
  </conditionalFormatting>
  <conditionalFormatting sqref="CY8">
    <cfRule type="cellIs" dxfId="3408" priority="2053" operator="equal">
      <formula>0</formula>
    </cfRule>
  </conditionalFormatting>
  <conditionalFormatting sqref="CY8">
    <cfRule type="cellIs" dxfId="3407" priority="2052" operator="equal">
      <formula>0</formula>
    </cfRule>
  </conditionalFormatting>
  <conditionalFormatting sqref="CW8:CX8">
    <cfRule type="cellIs" dxfId="3406" priority="2051" operator="equal">
      <formula>0</formula>
    </cfRule>
  </conditionalFormatting>
  <conditionalFormatting sqref="CW8:CX8">
    <cfRule type="cellIs" dxfId="3405" priority="2050" operator="equal">
      <formula>0</formula>
    </cfRule>
  </conditionalFormatting>
  <conditionalFormatting sqref="CW8:CX8">
    <cfRule type="cellIs" dxfId="3404" priority="2049" operator="equal">
      <formula>0</formula>
    </cfRule>
  </conditionalFormatting>
  <conditionalFormatting sqref="CY8">
    <cfRule type="cellIs" dxfId="3403" priority="2048" operator="equal">
      <formula>0</formula>
    </cfRule>
  </conditionalFormatting>
  <conditionalFormatting sqref="CY8">
    <cfRule type="cellIs" dxfId="3402" priority="2047" operator="equal">
      <formula>0</formula>
    </cfRule>
  </conditionalFormatting>
  <conditionalFormatting sqref="CY8">
    <cfRule type="cellIs" dxfId="3401" priority="2046" operator="equal">
      <formula>0</formula>
    </cfRule>
  </conditionalFormatting>
  <conditionalFormatting sqref="CW8:CX8">
    <cfRule type="cellIs" dxfId="3400" priority="2045" operator="equal">
      <formula>0</formula>
    </cfRule>
  </conditionalFormatting>
  <conditionalFormatting sqref="CW8:CX8">
    <cfRule type="cellIs" dxfId="3399" priority="2044" operator="equal">
      <formula>0</formula>
    </cfRule>
  </conditionalFormatting>
  <conditionalFormatting sqref="CY8">
    <cfRule type="cellIs" dxfId="3398" priority="2043" operator="equal">
      <formula>0</formula>
    </cfRule>
  </conditionalFormatting>
  <conditionalFormatting sqref="CY8">
    <cfRule type="cellIs" dxfId="3397" priority="2042" operator="equal">
      <formula>0</formula>
    </cfRule>
  </conditionalFormatting>
  <conditionalFormatting sqref="CW8:CX8">
    <cfRule type="cellIs" dxfId="3396" priority="2041" operator="equal">
      <formula>0</formula>
    </cfRule>
  </conditionalFormatting>
  <conditionalFormatting sqref="CW8:CX8">
    <cfRule type="cellIs" dxfId="3395" priority="2040" operator="equal">
      <formula>0</formula>
    </cfRule>
  </conditionalFormatting>
  <conditionalFormatting sqref="CY8">
    <cfRule type="cellIs" dxfId="3394" priority="2039" operator="equal">
      <formula>0</formula>
    </cfRule>
  </conditionalFormatting>
  <conditionalFormatting sqref="CY8">
    <cfRule type="cellIs" dxfId="3393" priority="2038" operator="equal">
      <formula>0</formula>
    </cfRule>
  </conditionalFormatting>
  <conditionalFormatting sqref="CW8:CX8">
    <cfRule type="cellIs" dxfId="3392" priority="2037" operator="equal">
      <formula>0</formula>
    </cfRule>
  </conditionalFormatting>
  <conditionalFormatting sqref="CW8:CX8">
    <cfRule type="cellIs" dxfId="3391" priority="2036" operator="equal">
      <formula>0</formula>
    </cfRule>
  </conditionalFormatting>
  <conditionalFormatting sqref="CY8">
    <cfRule type="cellIs" dxfId="3390" priority="2035" operator="equal">
      <formula>0</formula>
    </cfRule>
  </conditionalFormatting>
  <conditionalFormatting sqref="CY8">
    <cfRule type="cellIs" dxfId="3389" priority="2034" operator="equal">
      <formula>0</formula>
    </cfRule>
  </conditionalFormatting>
  <conditionalFormatting sqref="CW8:CX8">
    <cfRule type="cellIs" dxfId="3388" priority="2033" operator="equal">
      <formula>0</formula>
    </cfRule>
  </conditionalFormatting>
  <conditionalFormatting sqref="CW8:CX8">
    <cfRule type="cellIs" dxfId="3387" priority="2032" operator="equal">
      <formula>0</formula>
    </cfRule>
  </conditionalFormatting>
  <conditionalFormatting sqref="CY8">
    <cfRule type="cellIs" dxfId="3386" priority="2031" operator="equal">
      <formula>0</formula>
    </cfRule>
  </conditionalFormatting>
  <conditionalFormatting sqref="CY8">
    <cfRule type="cellIs" dxfId="3385" priority="2030" operator="equal">
      <formula>0</formula>
    </cfRule>
  </conditionalFormatting>
  <conditionalFormatting sqref="CW8:CX8">
    <cfRule type="cellIs" dxfId="3384" priority="2029" operator="equal">
      <formula>0</formula>
    </cfRule>
  </conditionalFormatting>
  <conditionalFormatting sqref="CY8">
    <cfRule type="cellIs" dxfId="3383" priority="2028" operator="equal">
      <formula>0</formula>
    </cfRule>
  </conditionalFormatting>
  <conditionalFormatting sqref="CW8:CX8">
    <cfRule type="cellIs" dxfId="3382" priority="2027" operator="equal">
      <formula>0</formula>
    </cfRule>
  </conditionalFormatting>
  <conditionalFormatting sqref="CY8">
    <cfRule type="cellIs" dxfId="3381" priority="2026" operator="equal">
      <formula>0</formula>
    </cfRule>
  </conditionalFormatting>
  <conditionalFormatting sqref="CY8">
    <cfRule type="cellIs" dxfId="3380" priority="2025" operator="equal">
      <formula>0</formula>
    </cfRule>
  </conditionalFormatting>
  <conditionalFormatting sqref="CW8:CX8">
    <cfRule type="cellIs" dxfId="3379" priority="2024" operator="equal">
      <formula>0</formula>
    </cfRule>
  </conditionalFormatting>
  <conditionalFormatting sqref="CW8:CX8">
    <cfRule type="cellIs" dxfId="3378" priority="2023" operator="equal">
      <formula>0</formula>
    </cfRule>
  </conditionalFormatting>
  <conditionalFormatting sqref="CY8">
    <cfRule type="cellIs" dxfId="3377" priority="2022" operator="equal">
      <formula>0</formula>
    </cfRule>
  </conditionalFormatting>
  <conditionalFormatting sqref="CY8">
    <cfRule type="cellIs" dxfId="3376" priority="2021" operator="equal">
      <formula>0</formula>
    </cfRule>
  </conditionalFormatting>
  <conditionalFormatting sqref="CW8:CX8">
    <cfRule type="cellIs" dxfId="3375" priority="2020" operator="equal">
      <formula>0</formula>
    </cfRule>
  </conditionalFormatting>
  <conditionalFormatting sqref="CW8:CX8">
    <cfRule type="cellIs" dxfId="3374" priority="2019" operator="equal">
      <formula>0</formula>
    </cfRule>
  </conditionalFormatting>
  <conditionalFormatting sqref="CW8:CX8">
    <cfRule type="cellIs" dxfId="3373" priority="2018" operator="equal">
      <formula>0</formula>
    </cfRule>
  </conditionalFormatting>
  <conditionalFormatting sqref="CY8">
    <cfRule type="cellIs" dxfId="3372" priority="2017" operator="equal">
      <formula>0</formula>
    </cfRule>
  </conditionalFormatting>
  <conditionalFormatting sqref="CY8">
    <cfRule type="cellIs" dxfId="3371" priority="2016" operator="equal">
      <formula>0</formula>
    </cfRule>
  </conditionalFormatting>
  <conditionalFormatting sqref="CY8">
    <cfRule type="cellIs" dxfId="3370" priority="2015" operator="equal">
      <formula>0</formula>
    </cfRule>
  </conditionalFormatting>
  <conditionalFormatting sqref="CW8:CX8">
    <cfRule type="cellIs" dxfId="3369" priority="2014" operator="equal">
      <formula>0</formula>
    </cfRule>
  </conditionalFormatting>
  <conditionalFormatting sqref="CW8:CX8">
    <cfRule type="cellIs" dxfId="3368" priority="2013" operator="equal">
      <formula>0</formula>
    </cfRule>
  </conditionalFormatting>
  <conditionalFormatting sqref="CW8:CX8">
    <cfRule type="cellIs" dxfId="3367" priority="2012" operator="equal">
      <formula>0</formula>
    </cfRule>
  </conditionalFormatting>
  <conditionalFormatting sqref="CY8">
    <cfRule type="cellIs" dxfId="3366" priority="2011" operator="equal">
      <formula>0</formula>
    </cfRule>
  </conditionalFormatting>
  <conditionalFormatting sqref="CY8">
    <cfRule type="cellIs" dxfId="3365" priority="2010" operator="equal">
      <formula>0</formula>
    </cfRule>
  </conditionalFormatting>
  <conditionalFormatting sqref="CY8">
    <cfRule type="cellIs" dxfId="3364" priority="2009" operator="equal">
      <formula>0</formula>
    </cfRule>
  </conditionalFormatting>
  <conditionalFormatting sqref="CW8:CX8">
    <cfRule type="cellIs" dxfId="3363" priority="2008" operator="equal">
      <formula>0</formula>
    </cfRule>
  </conditionalFormatting>
  <conditionalFormatting sqref="CW8:CX8">
    <cfRule type="cellIs" dxfId="3362" priority="2007" operator="equal">
      <formula>0</formula>
    </cfRule>
  </conditionalFormatting>
  <conditionalFormatting sqref="CY8">
    <cfRule type="cellIs" dxfId="3361" priority="2006" operator="equal">
      <formula>0</formula>
    </cfRule>
  </conditionalFormatting>
  <conditionalFormatting sqref="CY8">
    <cfRule type="cellIs" dxfId="3360" priority="2005" operator="equal">
      <formula>0</formula>
    </cfRule>
  </conditionalFormatting>
  <conditionalFormatting sqref="CW8:CX8">
    <cfRule type="cellIs" dxfId="3359" priority="2004" operator="equal">
      <formula>0</formula>
    </cfRule>
  </conditionalFormatting>
  <conditionalFormatting sqref="CW8:CX8">
    <cfRule type="cellIs" dxfId="3358" priority="2003" operator="equal">
      <formula>0</formula>
    </cfRule>
  </conditionalFormatting>
  <conditionalFormatting sqref="CW8:CX8">
    <cfRule type="cellIs" dxfId="3357" priority="2002" operator="equal">
      <formula>0</formula>
    </cfRule>
  </conditionalFormatting>
  <conditionalFormatting sqref="CY8">
    <cfRule type="cellIs" dxfId="3356" priority="2001" operator="equal">
      <formula>0</formula>
    </cfRule>
  </conditionalFormatting>
  <conditionalFormatting sqref="CY8">
    <cfRule type="cellIs" dxfId="3355" priority="2000" operator="equal">
      <formula>0</formula>
    </cfRule>
  </conditionalFormatting>
  <conditionalFormatting sqref="CY8">
    <cfRule type="cellIs" dxfId="3354" priority="1999" operator="equal">
      <formula>0</formula>
    </cfRule>
  </conditionalFormatting>
  <conditionalFormatting sqref="CW8:CX8">
    <cfRule type="cellIs" dxfId="3353" priority="1998" operator="equal">
      <formula>0</formula>
    </cfRule>
  </conditionalFormatting>
  <conditionalFormatting sqref="CW8:CX8">
    <cfRule type="cellIs" dxfId="3352" priority="1997" operator="equal">
      <formula>0</formula>
    </cfRule>
  </conditionalFormatting>
  <conditionalFormatting sqref="CY8">
    <cfRule type="cellIs" dxfId="3351" priority="1996" operator="equal">
      <formula>0</formula>
    </cfRule>
  </conditionalFormatting>
  <conditionalFormatting sqref="CY8">
    <cfRule type="cellIs" dxfId="3350" priority="1995" operator="equal">
      <formula>0</formula>
    </cfRule>
  </conditionalFormatting>
  <conditionalFormatting sqref="CW8:CX8">
    <cfRule type="cellIs" dxfId="3349" priority="1994" operator="equal">
      <formula>0</formula>
    </cfRule>
  </conditionalFormatting>
  <conditionalFormatting sqref="CW8:CX8">
    <cfRule type="cellIs" dxfId="3348" priority="1993" operator="equal">
      <formula>0</formula>
    </cfRule>
  </conditionalFormatting>
  <conditionalFormatting sqref="CY8">
    <cfRule type="cellIs" dxfId="3347" priority="1992" operator="equal">
      <formula>0</formula>
    </cfRule>
  </conditionalFormatting>
  <conditionalFormatting sqref="CY8">
    <cfRule type="cellIs" dxfId="3346" priority="1991" operator="equal">
      <formula>0</formula>
    </cfRule>
  </conditionalFormatting>
  <conditionalFormatting sqref="CW8:CX8">
    <cfRule type="cellIs" dxfId="3345" priority="1990" operator="equal">
      <formula>0</formula>
    </cfRule>
  </conditionalFormatting>
  <conditionalFormatting sqref="CW8:CX8">
    <cfRule type="cellIs" dxfId="3344" priority="1989" operator="equal">
      <formula>0</formula>
    </cfRule>
  </conditionalFormatting>
  <conditionalFormatting sqref="CY8">
    <cfRule type="cellIs" dxfId="3343" priority="1988" operator="equal">
      <formula>0</formula>
    </cfRule>
  </conditionalFormatting>
  <conditionalFormatting sqref="CY8">
    <cfRule type="cellIs" dxfId="3342" priority="1987" operator="equal">
      <formula>0</formula>
    </cfRule>
  </conditionalFormatting>
  <conditionalFormatting sqref="CW8:CX8">
    <cfRule type="cellIs" dxfId="3341" priority="1986" operator="equal">
      <formula>0</formula>
    </cfRule>
  </conditionalFormatting>
  <conditionalFormatting sqref="CY8">
    <cfRule type="cellIs" dxfId="3340" priority="1985" operator="equal">
      <formula>0</formula>
    </cfRule>
  </conditionalFormatting>
  <conditionalFormatting sqref="CW8:CX8">
    <cfRule type="cellIs" dxfId="3339" priority="1984" operator="equal">
      <formula>0</formula>
    </cfRule>
  </conditionalFormatting>
  <conditionalFormatting sqref="CW8:CX8">
    <cfRule type="cellIs" dxfId="3338" priority="1983" operator="equal">
      <formula>0</formula>
    </cfRule>
  </conditionalFormatting>
  <conditionalFormatting sqref="CY8">
    <cfRule type="cellIs" dxfId="3337" priority="1982" operator="equal">
      <formula>0</formula>
    </cfRule>
  </conditionalFormatting>
  <conditionalFormatting sqref="CY8">
    <cfRule type="cellIs" dxfId="3336" priority="1981" operator="equal">
      <formula>0</formula>
    </cfRule>
  </conditionalFormatting>
  <conditionalFormatting sqref="CW8:CX8">
    <cfRule type="cellIs" dxfId="3335" priority="1980" operator="equal">
      <formula>0</formula>
    </cfRule>
  </conditionalFormatting>
  <conditionalFormatting sqref="CW8:CX8">
    <cfRule type="cellIs" dxfId="3334" priority="1979" operator="equal">
      <formula>0</formula>
    </cfRule>
  </conditionalFormatting>
  <conditionalFormatting sqref="CY8">
    <cfRule type="cellIs" dxfId="3333" priority="1978" operator="equal">
      <formula>0</formula>
    </cfRule>
  </conditionalFormatting>
  <conditionalFormatting sqref="CY8">
    <cfRule type="cellIs" dxfId="3332" priority="1977" operator="equal">
      <formula>0</formula>
    </cfRule>
  </conditionalFormatting>
  <conditionalFormatting sqref="CW8:CX8">
    <cfRule type="cellIs" dxfId="3331" priority="1976" operator="equal">
      <formula>0</formula>
    </cfRule>
  </conditionalFormatting>
  <conditionalFormatting sqref="CW8:CX8">
    <cfRule type="cellIs" dxfId="3330" priority="1975" operator="equal">
      <formula>0</formula>
    </cfRule>
  </conditionalFormatting>
  <conditionalFormatting sqref="CY8">
    <cfRule type="cellIs" dxfId="3329" priority="1974" operator="equal">
      <formula>0</formula>
    </cfRule>
  </conditionalFormatting>
  <conditionalFormatting sqref="CY8">
    <cfRule type="cellIs" dxfId="3328" priority="1973" operator="equal">
      <formula>0</formula>
    </cfRule>
  </conditionalFormatting>
  <conditionalFormatting sqref="CY8">
    <cfRule type="cellIs" dxfId="3327" priority="1972" operator="equal">
      <formula>0</formula>
    </cfRule>
  </conditionalFormatting>
  <conditionalFormatting sqref="CW8:CX8">
    <cfRule type="cellIs" dxfId="3326" priority="1971" operator="equal">
      <formula>0</formula>
    </cfRule>
  </conditionalFormatting>
  <conditionalFormatting sqref="CW8:CX8">
    <cfRule type="cellIs" dxfId="3325" priority="1970" operator="equal">
      <formula>0</formula>
    </cfRule>
  </conditionalFormatting>
  <conditionalFormatting sqref="CW8:CX8">
    <cfRule type="cellIs" dxfId="3324" priority="1969" operator="equal">
      <formula>0</formula>
    </cfRule>
  </conditionalFormatting>
  <conditionalFormatting sqref="CY8">
    <cfRule type="cellIs" dxfId="3323" priority="1968" operator="equal">
      <formula>0</formula>
    </cfRule>
  </conditionalFormatting>
  <conditionalFormatting sqref="CY8">
    <cfRule type="cellIs" dxfId="3322" priority="1967" operator="equal">
      <formula>0</formula>
    </cfRule>
  </conditionalFormatting>
  <conditionalFormatting sqref="CY8">
    <cfRule type="cellIs" dxfId="3321" priority="1966" operator="equal">
      <formula>0</formula>
    </cfRule>
  </conditionalFormatting>
  <conditionalFormatting sqref="CW8:CX8">
    <cfRule type="cellIs" dxfId="3320" priority="1965" operator="equal">
      <formula>0</formula>
    </cfRule>
  </conditionalFormatting>
  <conditionalFormatting sqref="CW8:CX8">
    <cfRule type="cellIs" dxfId="3319" priority="1964" operator="equal">
      <formula>0</formula>
    </cfRule>
  </conditionalFormatting>
  <conditionalFormatting sqref="CW8:CX8">
    <cfRule type="cellIs" dxfId="3318" priority="1963" operator="equal">
      <formula>0</formula>
    </cfRule>
  </conditionalFormatting>
  <conditionalFormatting sqref="CY8">
    <cfRule type="cellIs" dxfId="3317" priority="1962" operator="equal">
      <formula>0</formula>
    </cfRule>
  </conditionalFormatting>
  <conditionalFormatting sqref="CY8">
    <cfRule type="cellIs" dxfId="3316" priority="1961" operator="equal">
      <formula>0</formula>
    </cfRule>
  </conditionalFormatting>
  <conditionalFormatting sqref="CY8">
    <cfRule type="cellIs" dxfId="3315" priority="1960" operator="equal">
      <formula>0</formula>
    </cfRule>
  </conditionalFormatting>
  <conditionalFormatting sqref="CW8:CX8">
    <cfRule type="cellIs" dxfId="3314" priority="1959" operator="equal">
      <formula>0</formula>
    </cfRule>
  </conditionalFormatting>
  <conditionalFormatting sqref="CW8:CX8">
    <cfRule type="cellIs" dxfId="3313" priority="1958" operator="equal">
      <formula>0</formula>
    </cfRule>
  </conditionalFormatting>
  <conditionalFormatting sqref="CW8:CX8">
    <cfRule type="cellIs" dxfId="3312" priority="1957" operator="equal">
      <formula>0</formula>
    </cfRule>
  </conditionalFormatting>
  <conditionalFormatting sqref="CY8">
    <cfRule type="cellIs" dxfId="3311" priority="1956" operator="equal">
      <formula>0</formula>
    </cfRule>
  </conditionalFormatting>
  <conditionalFormatting sqref="CY8">
    <cfRule type="cellIs" dxfId="3310" priority="1955" operator="equal">
      <formula>0</formula>
    </cfRule>
  </conditionalFormatting>
  <conditionalFormatting sqref="CY8">
    <cfRule type="cellIs" dxfId="3309" priority="1954" operator="equal">
      <formula>0</formula>
    </cfRule>
  </conditionalFormatting>
  <conditionalFormatting sqref="CW8:CX8">
    <cfRule type="cellIs" dxfId="3308" priority="1953" operator="equal">
      <formula>0</formula>
    </cfRule>
  </conditionalFormatting>
  <conditionalFormatting sqref="CY8">
    <cfRule type="cellIs" dxfId="3307" priority="1952" operator="equal">
      <formula>0</formula>
    </cfRule>
  </conditionalFormatting>
  <conditionalFormatting sqref="CW8:CX8">
    <cfRule type="cellIs" dxfId="3306" priority="1951" operator="equal">
      <formula>0</formula>
    </cfRule>
  </conditionalFormatting>
  <conditionalFormatting sqref="CW8:CX8">
    <cfRule type="cellIs" dxfId="3305" priority="1950" operator="equal">
      <formula>0</formula>
    </cfRule>
  </conditionalFormatting>
  <conditionalFormatting sqref="CY8">
    <cfRule type="cellIs" dxfId="3304" priority="1949" operator="equal">
      <formula>0</formula>
    </cfRule>
  </conditionalFormatting>
  <conditionalFormatting sqref="CY8">
    <cfRule type="cellIs" dxfId="3303" priority="1948" operator="equal">
      <formula>0</formula>
    </cfRule>
  </conditionalFormatting>
  <conditionalFormatting sqref="CW8:CX8">
    <cfRule type="cellIs" dxfId="3302" priority="1947" operator="equal">
      <formula>0</formula>
    </cfRule>
  </conditionalFormatting>
  <conditionalFormatting sqref="CW8:CX8">
    <cfRule type="cellIs" dxfId="3301" priority="1946" operator="equal">
      <formula>0</formula>
    </cfRule>
  </conditionalFormatting>
  <conditionalFormatting sqref="CY8">
    <cfRule type="cellIs" dxfId="3300" priority="1945" operator="equal">
      <formula>0</formula>
    </cfRule>
  </conditionalFormatting>
  <conditionalFormatting sqref="CY8">
    <cfRule type="cellIs" dxfId="3299" priority="1944" operator="equal">
      <formula>0</formula>
    </cfRule>
  </conditionalFormatting>
  <conditionalFormatting sqref="CW8:CX8">
    <cfRule type="cellIs" dxfId="3298" priority="1943" operator="equal">
      <formula>0</formula>
    </cfRule>
  </conditionalFormatting>
  <conditionalFormatting sqref="CY8">
    <cfRule type="cellIs" dxfId="3297" priority="1942" operator="equal">
      <formula>0</formula>
    </cfRule>
  </conditionalFormatting>
  <conditionalFormatting sqref="CW8:CX8">
    <cfRule type="cellIs" dxfId="3296" priority="1941" operator="equal">
      <formula>0</formula>
    </cfRule>
  </conditionalFormatting>
  <conditionalFormatting sqref="CW8:CX8">
    <cfRule type="cellIs" dxfId="3295" priority="1940" operator="equal">
      <formula>0</formula>
    </cfRule>
  </conditionalFormatting>
  <conditionalFormatting sqref="CY8">
    <cfRule type="cellIs" dxfId="3294" priority="1939" operator="equal">
      <formula>0</formula>
    </cfRule>
  </conditionalFormatting>
  <conditionalFormatting sqref="CY8">
    <cfRule type="cellIs" dxfId="3293" priority="1938" operator="equal">
      <formula>0</formula>
    </cfRule>
  </conditionalFormatting>
  <conditionalFormatting sqref="CW8:CX8">
    <cfRule type="cellIs" dxfId="3292" priority="1937" operator="equal">
      <formula>0</formula>
    </cfRule>
  </conditionalFormatting>
  <conditionalFormatting sqref="CW8:CX8">
    <cfRule type="cellIs" dxfId="3291" priority="1936" operator="equal">
      <formula>0</formula>
    </cfRule>
  </conditionalFormatting>
  <conditionalFormatting sqref="CY8">
    <cfRule type="cellIs" dxfId="3290" priority="1935" operator="equal">
      <formula>0</formula>
    </cfRule>
  </conditionalFormatting>
  <conditionalFormatting sqref="CY8">
    <cfRule type="cellIs" dxfId="3289" priority="1934" operator="equal">
      <formula>0</formula>
    </cfRule>
  </conditionalFormatting>
  <conditionalFormatting sqref="CW8:CX8">
    <cfRule type="cellIs" dxfId="3288" priority="1933" operator="equal">
      <formula>0</formula>
    </cfRule>
  </conditionalFormatting>
  <conditionalFormatting sqref="CW8:CX8">
    <cfRule type="cellIs" dxfId="3287" priority="1932" operator="equal">
      <formula>0</formula>
    </cfRule>
  </conditionalFormatting>
  <conditionalFormatting sqref="CY8">
    <cfRule type="cellIs" dxfId="3286" priority="1931" operator="equal">
      <formula>0</formula>
    </cfRule>
  </conditionalFormatting>
  <conditionalFormatting sqref="CY8">
    <cfRule type="cellIs" dxfId="3285" priority="1930" operator="equal">
      <formula>0</formula>
    </cfRule>
  </conditionalFormatting>
  <conditionalFormatting sqref="CW8:CX8">
    <cfRule type="cellIs" dxfId="3284" priority="1929" operator="equal">
      <formula>0</formula>
    </cfRule>
  </conditionalFormatting>
  <conditionalFormatting sqref="CY8">
    <cfRule type="cellIs" dxfId="3283" priority="1928" operator="equal">
      <formula>0</formula>
    </cfRule>
  </conditionalFormatting>
  <conditionalFormatting sqref="CW8:CX8">
    <cfRule type="cellIs" dxfId="3282" priority="1927" operator="equal">
      <formula>0</formula>
    </cfRule>
  </conditionalFormatting>
  <conditionalFormatting sqref="CW8:CX8">
    <cfRule type="cellIs" dxfId="3281" priority="1926" operator="equal">
      <formula>0</formula>
    </cfRule>
  </conditionalFormatting>
  <conditionalFormatting sqref="CY8">
    <cfRule type="cellIs" dxfId="3280" priority="1925" operator="equal">
      <formula>0</formula>
    </cfRule>
  </conditionalFormatting>
  <conditionalFormatting sqref="CY8">
    <cfRule type="cellIs" dxfId="3279" priority="1924" operator="equal">
      <formula>0</formula>
    </cfRule>
  </conditionalFormatting>
  <conditionalFormatting sqref="CR8:CV8">
    <cfRule type="cellIs" dxfId="3278" priority="1923" operator="equal">
      <formula>0</formula>
    </cfRule>
  </conditionalFormatting>
  <conditionalFormatting sqref="CW8:CX8">
    <cfRule type="cellIs" dxfId="3277" priority="1922" operator="equal">
      <formula>0</formula>
    </cfRule>
  </conditionalFormatting>
  <conditionalFormatting sqref="CW8:CX8">
    <cfRule type="cellIs" dxfId="3276" priority="1921" operator="equal">
      <formula>0</formula>
    </cfRule>
  </conditionalFormatting>
  <conditionalFormatting sqref="CW8:CX8">
    <cfRule type="cellIs" dxfId="3275" priority="1920" operator="equal">
      <formula>0</formula>
    </cfRule>
  </conditionalFormatting>
  <conditionalFormatting sqref="CW8:CX8">
    <cfRule type="cellIs" dxfId="3274" priority="1919" operator="equal">
      <formula>0</formula>
    </cfRule>
  </conditionalFormatting>
  <conditionalFormatting sqref="CY8">
    <cfRule type="cellIs" dxfId="3273" priority="1918" operator="equal">
      <formula>0</formula>
    </cfRule>
  </conditionalFormatting>
  <conditionalFormatting sqref="CY8">
    <cfRule type="cellIs" dxfId="3272" priority="1917" operator="equal">
      <formula>0</formula>
    </cfRule>
  </conditionalFormatting>
  <conditionalFormatting sqref="CY8">
    <cfRule type="cellIs" dxfId="3271" priority="1916" operator="equal">
      <formula>0</formula>
    </cfRule>
  </conditionalFormatting>
  <conditionalFormatting sqref="CY8">
    <cfRule type="cellIs" dxfId="3270" priority="1915" operator="equal">
      <formula>0</formula>
    </cfRule>
  </conditionalFormatting>
  <conditionalFormatting sqref="CW8:CX8">
    <cfRule type="cellIs" dxfId="3269" priority="1914" operator="equal">
      <formula>0</formula>
    </cfRule>
  </conditionalFormatting>
  <conditionalFormatting sqref="CW8:CX8">
    <cfRule type="cellIs" dxfId="3268" priority="1913" operator="equal">
      <formula>0</formula>
    </cfRule>
  </conditionalFormatting>
  <conditionalFormatting sqref="CY8">
    <cfRule type="cellIs" dxfId="3267" priority="1912" operator="equal">
      <formula>0</formula>
    </cfRule>
  </conditionalFormatting>
  <conditionalFormatting sqref="CY8">
    <cfRule type="cellIs" dxfId="3266" priority="1911" operator="equal">
      <formula>0</formula>
    </cfRule>
  </conditionalFormatting>
  <conditionalFormatting sqref="CW8:CX8">
    <cfRule type="cellIs" dxfId="3265" priority="1910" operator="equal">
      <formula>0</formula>
    </cfRule>
  </conditionalFormatting>
  <conditionalFormatting sqref="CY8">
    <cfRule type="cellIs" dxfId="3264" priority="1909" operator="equal">
      <formula>0</formula>
    </cfRule>
  </conditionalFormatting>
  <conditionalFormatting sqref="CW8:CX8">
    <cfRule type="cellIs" dxfId="3263" priority="1908" operator="equal">
      <formula>0</formula>
    </cfRule>
  </conditionalFormatting>
  <conditionalFormatting sqref="CW8:CX8">
    <cfRule type="cellIs" dxfId="3262" priority="1907" operator="equal">
      <formula>0</formula>
    </cfRule>
  </conditionalFormatting>
  <conditionalFormatting sqref="CW8:CX8">
    <cfRule type="cellIs" dxfId="3261" priority="1906" operator="equal">
      <formula>0</formula>
    </cfRule>
  </conditionalFormatting>
  <conditionalFormatting sqref="CY8">
    <cfRule type="cellIs" dxfId="3260" priority="1905" operator="equal">
      <formula>0</formula>
    </cfRule>
  </conditionalFormatting>
  <conditionalFormatting sqref="CY8">
    <cfRule type="cellIs" dxfId="3259" priority="1904" operator="equal">
      <formula>0</formula>
    </cfRule>
  </conditionalFormatting>
  <conditionalFormatting sqref="CY8">
    <cfRule type="cellIs" dxfId="3258" priority="1903" operator="equal">
      <formula>0</formula>
    </cfRule>
  </conditionalFormatting>
  <conditionalFormatting sqref="CW8:CX8">
    <cfRule type="cellIs" dxfId="3257" priority="1902" operator="equal">
      <formula>0</formula>
    </cfRule>
  </conditionalFormatting>
  <conditionalFormatting sqref="CW8:CX8">
    <cfRule type="cellIs" dxfId="3256" priority="1901" operator="equal">
      <formula>0</formula>
    </cfRule>
  </conditionalFormatting>
  <conditionalFormatting sqref="CW8:CX8">
    <cfRule type="cellIs" dxfId="3255" priority="1900" operator="equal">
      <formula>0</formula>
    </cfRule>
  </conditionalFormatting>
  <conditionalFormatting sqref="CY8">
    <cfRule type="cellIs" dxfId="3254" priority="1899" operator="equal">
      <formula>0</formula>
    </cfRule>
  </conditionalFormatting>
  <conditionalFormatting sqref="CY8">
    <cfRule type="cellIs" dxfId="3253" priority="1898" operator="equal">
      <formula>0</formula>
    </cfRule>
  </conditionalFormatting>
  <conditionalFormatting sqref="CY8">
    <cfRule type="cellIs" dxfId="3252" priority="1897" operator="equal">
      <formula>0</formula>
    </cfRule>
  </conditionalFormatting>
  <conditionalFormatting sqref="DV8">
    <cfRule type="cellIs" dxfId="3251" priority="1896" operator="equal">
      <formula>0</formula>
    </cfRule>
  </conditionalFormatting>
  <conditionalFormatting sqref="CY8">
    <cfRule type="cellIs" dxfId="3250" priority="1895" operator="equal">
      <formula>0</formula>
    </cfRule>
  </conditionalFormatting>
  <conditionalFormatting sqref="CW8:CX8">
    <cfRule type="cellIs" dxfId="3249" priority="1894" operator="equal">
      <formula>0</formula>
    </cfRule>
  </conditionalFormatting>
  <conditionalFormatting sqref="CW8:CX8">
    <cfRule type="cellIs" dxfId="3248" priority="1893" operator="equal">
      <formula>0</formula>
    </cfRule>
  </conditionalFormatting>
  <conditionalFormatting sqref="CY8">
    <cfRule type="cellIs" dxfId="3247" priority="1892" operator="equal">
      <formula>0</formula>
    </cfRule>
  </conditionalFormatting>
  <conditionalFormatting sqref="CY8">
    <cfRule type="cellIs" dxfId="3246" priority="1891" operator="equal">
      <formula>0</formula>
    </cfRule>
  </conditionalFormatting>
  <conditionalFormatting sqref="CW8:CX8">
    <cfRule type="cellIs" dxfId="3245" priority="1890" operator="equal">
      <formula>0</formula>
    </cfRule>
  </conditionalFormatting>
  <conditionalFormatting sqref="CW8:CX8">
    <cfRule type="cellIs" dxfId="3244" priority="1889" operator="equal">
      <formula>0</formula>
    </cfRule>
  </conditionalFormatting>
  <conditionalFormatting sqref="CW8:CX8">
    <cfRule type="cellIs" dxfId="3243" priority="1888" operator="equal">
      <formula>0</formula>
    </cfRule>
  </conditionalFormatting>
  <conditionalFormatting sqref="CY8">
    <cfRule type="cellIs" dxfId="3242" priority="1887" operator="equal">
      <formula>0</formula>
    </cfRule>
  </conditionalFormatting>
  <conditionalFormatting sqref="CY8">
    <cfRule type="cellIs" dxfId="3241" priority="1886" operator="equal">
      <formula>0</formula>
    </cfRule>
  </conditionalFormatting>
  <conditionalFormatting sqref="CY8">
    <cfRule type="cellIs" dxfId="3240" priority="1885" operator="equal">
      <formula>0</formula>
    </cfRule>
  </conditionalFormatting>
  <conditionalFormatting sqref="CW8:CX8">
    <cfRule type="cellIs" dxfId="3239" priority="1884" operator="equal">
      <formula>0</formula>
    </cfRule>
  </conditionalFormatting>
  <conditionalFormatting sqref="CW8:CX8">
    <cfRule type="cellIs" dxfId="3238" priority="1883" operator="equal">
      <formula>0</formula>
    </cfRule>
  </conditionalFormatting>
  <conditionalFormatting sqref="CY8">
    <cfRule type="cellIs" dxfId="3237" priority="1882" operator="equal">
      <formula>0</formula>
    </cfRule>
  </conditionalFormatting>
  <conditionalFormatting sqref="CY8">
    <cfRule type="cellIs" dxfId="3236" priority="1881" operator="equal">
      <formula>0</formula>
    </cfRule>
  </conditionalFormatting>
  <conditionalFormatting sqref="CY8">
    <cfRule type="cellIs" dxfId="3235" priority="1880" operator="equal">
      <formula>0</formula>
    </cfRule>
  </conditionalFormatting>
  <conditionalFormatting sqref="CW8:CX8">
    <cfRule type="cellIs" dxfId="3234" priority="1879" operator="equal">
      <formula>0</formula>
    </cfRule>
  </conditionalFormatting>
  <conditionalFormatting sqref="CW8:CX8">
    <cfRule type="cellIs" dxfId="3233" priority="1878" operator="equal">
      <formula>0</formula>
    </cfRule>
  </conditionalFormatting>
  <conditionalFormatting sqref="CW8:CX8">
    <cfRule type="cellIs" dxfId="3232" priority="1877" operator="equal">
      <formula>0</formula>
    </cfRule>
  </conditionalFormatting>
  <conditionalFormatting sqref="CY8">
    <cfRule type="cellIs" dxfId="3231" priority="1876" operator="equal">
      <formula>0</formula>
    </cfRule>
  </conditionalFormatting>
  <conditionalFormatting sqref="CY8">
    <cfRule type="cellIs" dxfId="3230" priority="1875" operator="equal">
      <formula>0</formula>
    </cfRule>
  </conditionalFormatting>
  <conditionalFormatting sqref="CY8">
    <cfRule type="cellIs" dxfId="3229" priority="1874" operator="equal">
      <formula>0</formula>
    </cfRule>
  </conditionalFormatting>
  <conditionalFormatting sqref="CW8:CX8">
    <cfRule type="cellIs" dxfId="3228" priority="1873" operator="equal">
      <formula>0</formula>
    </cfRule>
  </conditionalFormatting>
  <conditionalFormatting sqref="CY8">
    <cfRule type="cellIs" dxfId="3227" priority="1872" operator="equal">
      <formula>0</formula>
    </cfRule>
  </conditionalFormatting>
  <conditionalFormatting sqref="CR8:CV8">
    <cfRule type="cellIs" dxfId="3226" priority="1871" operator="equal">
      <formula>0</formula>
    </cfRule>
  </conditionalFormatting>
  <conditionalFormatting sqref="CW8:CX8">
    <cfRule type="cellIs" dxfId="3225" priority="1870" operator="equal">
      <formula>0</formula>
    </cfRule>
  </conditionalFormatting>
  <conditionalFormatting sqref="CY8">
    <cfRule type="cellIs" dxfId="3224" priority="1869" operator="equal">
      <formula>0</formula>
    </cfRule>
  </conditionalFormatting>
  <conditionalFormatting sqref="CW8:CX8">
    <cfRule type="cellIs" dxfId="3223" priority="1868" operator="equal">
      <formula>0</formula>
    </cfRule>
  </conditionalFormatting>
  <conditionalFormatting sqref="CY8">
    <cfRule type="cellIs" dxfId="3222" priority="1867" operator="equal">
      <formula>0</formula>
    </cfRule>
  </conditionalFormatting>
  <conditionalFormatting sqref="CW8:CX8">
    <cfRule type="cellIs" dxfId="3221" priority="1866" operator="equal">
      <formula>0</formula>
    </cfRule>
  </conditionalFormatting>
  <conditionalFormatting sqref="CW8:CX8">
    <cfRule type="cellIs" dxfId="3220" priority="1865" operator="equal">
      <formula>0</formula>
    </cfRule>
  </conditionalFormatting>
  <conditionalFormatting sqref="CY8">
    <cfRule type="cellIs" dxfId="3219" priority="1864" operator="equal">
      <formula>0</formula>
    </cfRule>
  </conditionalFormatting>
  <conditionalFormatting sqref="CY8">
    <cfRule type="cellIs" dxfId="3218" priority="1863" operator="equal">
      <formula>0</formula>
    </cfRule>
  </conditionalFormatting>
  <conditionalFormatting sqref="CW8:CX8">
    <cfRule type="cellIs" dxfId="3217" priority="1862" operator="equal">
      <formula>0</formula>
    </cfRule>
  </conditionalFormatting>
  <conditionalFormatting sqref="CW8:CX8">
    <cfRule type="cellIs" dxfId="3216" priority="1861" operator="equal">
      <formula>0</formula>
    </cfRule>
  </conditionalFormatting>
  <conditionalFormatting sqref="CY8">
    <cfRule type="cellIs" dxfId="3215" priority="1860" operator="equal">
      <formula>0</formula>
    </cfRule>
  </conditionalFormatting>
  <conditionalFormatting sqref="CY8">
    <cfRule type="cellIs" dxfId="3214" priority="1859" operator="equal">
      <formula>0</formula>
    </cfRule>
  </conditionalFormatting>
  <conditionalFormatting sqref="CW8:CX8">
    <cfRule type="cellIs" dxfId="3213" priority="1858" operator="equal">
      <formula>0</formula>
    </cfRule>
  </conditionalFormatting>
  <conditionalFormatting sqref="CW8:CX8">
    <cfRule type="cellIs" dxfId="3212" priority="1857" operator="equal">
      <formula>0</formula>
    </cfRule>
  </conditionalFormatting>
  <conditionalFormatting sqref="CW8:CX8">
    <cfRule type="cellIs" dxfId="3211" priority="1856" operator="equal">
      <formula>0</formula>
    </cfRule>
  </conditionalFormatting>
  <conditionalFormatting sqref="CY8">
    <cfRule type="cellIs" dxfId="3210" priority="1855" operator="equal">
      <formula>0</formula>
    </cfRule>
  </conditionalFormatting>
  <conditionalFormatting sqref="CY8">
    <cfRule type="cellIs" dxfId="3209" priority="1854" operator="equal">
      <formula>0</formula>
    </cfRule>
  </conditionalFormatting>
  <conditionalFormatting sqref="CY8">
    <cfRule type="cellIs" dxfId="3208" priority="1853" operator="equal">
      <formula>0</formula>
    </cfRule>
  </conditionalFormatting>
  <conditionalFormatting sqref="CW8:CX8">
    <cfRule type="cellIs" dxfId="3207" priority="1852" operator="equal">
      <formula>0</formula>
    </cfRule>
  </conditionalFormatting>
  <conditionalFormatting sqref="CY8">
    <cfRule type="cellIs" dxfId="3206" priority="1851" operator="equal">
      <formula>0</formula>
    </cfRule>
  </conditionalFormatting>
  <conditionalFormatting sqref="CW8:CX8">
    <cfRule type="cellIs" dxfId="3205" priority="1850" operator="equal">
      <formula>0</formula>
    </cfRule>
  </conditionalFormatting>
  <conditionalFormatting sqref="CW8:CX8">
    <cfRule type="cellIs" dxfId="3204" priority="1849" operator="equal">
      <formula>0</formula>
    </cfRule>
  </conditionalFormatting>
  <conditionalFormatting sqref="CW8:CX8">
    <cfRule type="cellIs" dxfId="3203" priority="1848" operator="equal">
      <formula>0</formula>
    </cfRule>
  </conditionalFormatting>
  <conditionalFormatting sqref="CY8">
    <cfRule type="cellIs" dxfId="3202" priority="1847" operator="equal">
      <formula>0</formula>
    </cfRule>
  </conditionalFormatting>
  <conditionalFormatting sqref="CY8">
    <cfRule type="cellIs" dxfId="3201" priority="1846" operator="equal">
      <formula>0</formula>
    </cfRule>
  </conditionalFormatting>
  <conditionalFormatting sqref="CY8">
    <cfRule type="cellIs" dxfId="3200" priority="1845" operator="equal">
      <formula>0</formula>
    </cfRule>
  </conditionalFormatting>
  <conditionalFormatting sqref="CW8:CX8">
    <cfRule type="cellIs" dxfId="3199" priority="1844" operator="equal">
      <formula>0</formula>
    </cfRule>
  </conditionalFormatting>
  <conditionalFormatting sqref="CW8:CX8">
    <cfRule type="cellIs" dxfId="3198" priority="1843" operator="equal">
      <formula>0</formula>
    </cfRule>
  </conditionalFormatting>
  <conditionalFormatting sqref="CW8:CX8">
    <cfRule type="cellIs" dxfId="3197" priority="1842" operator="equal">
      <formula>0</formula>
    </cfRule>
  </conditionalFormatting>
  <conditionalFormatting sqref="CY8">
    <cfRule type="cellIs" dxfId="3196" priority="1841" operator="equal">
      <formula>0</formula>
    </cfRule>
  </conditionalFormatting>
  <conditionalFormatting sqref="CY8">
    <cfRule type="cellIs" dxfId="3195" priority="1840" operator="equal">
      <formula>0</formula>
    </cfRule>
  </conditionalFormatting>
  <conditionalFormatting sqref="CY8">
    <cfRule type="cellIs" dxfId="3194" priority="1839" operator="equal">
      <formula>0</formula>
    </cfRule>
  </conditionalFormatting>
  <conditionalFormatting sqref="CW8:CX8">
    <cfRule type="cellIs" dxfId="3193" priority="1838" operator="equal">
      <formula>0</formula>
    </cfRule>
  </conditionalFormatting>
  <conditionalFormatting sqref="CY8">
    <cfRule type="cellIs" dxfId="3192" priority="1837" operator="equal">
      <formula>0</formula>
    </cfRule>
  </conditionalFormatting>
  <conditionalFormatting sqref="CW8:CX8">
    <cfRule type="cellIs" dxfId="3191" priority="1836" operator="equal">
      <formula>0</formula>
    </cfRule>
  </conditionalFormatting>
  <conditionalFormatting sqref="CW8:CX8">
    <cfRule type="cellIs" dxfId="3190" priority="1835" operator="equal">
      <formula>0</formula>
    </cfRule>
  </conditionalFormatting>
  <conditionalFormatting sqref="CW8:CX8">
    <cfRule type="cellIs" dxfId="3189" priority="1834" operator="equal">
      <formula>0</formula>
    </cfRule>
  </conditionalFormatting>
  <conditionalFormatting sqref="CY8">
    <cfRule type="cellIs" dxfId="3188" priority="1833" operator="equal">
      <formula>0</formula>
    </cfRule>
  </conditionalFormatting>
  <conditionalFormatting sqref="CY8">
    <cfRule type="cellIs" dxfId="3187" priority="1832" operator="equal">
      <formula>0</formula>
    </cfRule>
  </conditionalFormatting>
  <conditionalFormatting sqref="CY8">
    <cfRule type="cellIs" dxfId="3186" priority="1831" operator="equal">
      <formula>0</formula>
    </cfRule>
  </conditionalFormatting>
  <conditionalFormatting sqref="CW8:CX8">
    <cfRule type="cellIs" dxfId="3185" priority="1830" operator="equal">
      <formula>0</formula>
    </cfRule>
  </conditionalFormatting>
  <conditionalFormatting sqref="CW8:CX8">
    <cfRule type="cellIs" dxfId="3184" priority="1829" operator="equal">
      <formula>0</formula>
    </cfRule>
  </conditionalFormatting>
  <conditionalFormatting sqref="CW8:CX8">
    <cfRule type="cellIs" dxfId="3183" priority="1828" operator="equal">
      <formula>0</formula>
    </cfRule>
  </conditionalFormatting>
  <conditionalFormatting sqref="CY8">
    <cfRule type="cellIs" dxfId="3182" priority="1827" operator="equal">
      <formula>0</formula>
    </cfRule>
  </conditionalFormatting>
  <conditionalFormatting sqref="CY8">
    <cfRule type="cellIs" dxfId="3181" priority="1826" operator="equal">
      <formula>0</formula>
    </cfRule>
  </conditionalFormatting>
  <conditionalFormatting sqref="CY8">
    <cfRule type="cellIs" dxfId="3180" priority="1825" operator="equal">
      <formula>0</formula>
    </cfRule>
  </conditionalFormatting>
  <conditionalFormatting sqref="CW8:CX8">
    <cfRule type="cellIs" dxfId="3179" priority="1824" operator="equal">
      <formula>0</formula>
    </cfRule>
  </conditionalFormatting>
  <conditionalFormatting sqref="CW8:CX8">
    <cfRule type="cellIs" dxfId="3178" priority="1823" operator="equal">
      <formula>0</formula>
    </cfRule>
  </conditionalFormatting>
  <conditionalFormatting sqref="CY8">
    <cfRule type="cellIs" dxfId="3177" priority="1822" operator="equal">
      <formula>0</formula>
    </cfRule>
  </conditionalFormatting>
  <conditionalFormatting sqref="CY8">
    <cfRule type="cellIs" dxfId="3176" priority="1821" operator="equal">
      <formula>0</formula>
    </cfRule>
  </conditionalFormatting>
  <conditionalFormatting sqref="CW8:CX8">
    <cfRule type="cellIs" dxfId="3175" priority="1820" operator="equal">
      <formula>0</formula>
    </cfRule>
  </conditionalFormatting>
  <conditionalFormatting sqref="CY8">
    <cfRule type="cellIs" dxfId="3174" priority="1819" operator="equal">
      <formula>0</formula>
    </cfRule>
  </conditionalFormatting>
  <conditionalFormatting sqref="CW8:CX8">
    <cfRule type="cellIs" dxfId="3173" priority="1818" operator="equal">
      <formula>0</formula>
    </cfRule>
  </conditionalFormatting>
  <conditionalFormatting sqref="CY8">
    <cfRule type="cellIs" dxfId="3172" priority="1817" operator="equal">
      <formula>0</formula>
    </cfRule>
  </conditionalFormatting>
  <conditionalFormatting sqref="CW8:CX8">
    <cfRule type="cellIs" dxfId="3171" priority="1816" operator="equal">
      <formula>0</formula>
    </cfRule>
  </conditionalFormatting>
  <conditionalFormatting sqref="CW8:CX8">
    <cfRule type="cellIs" dxfId="3170" priority="1815" operator="equal">
      <formula>0</formula>
    </cfRule>
  </conditionalFormatting>
  <conditionalFormatting sqref="CY8">
    <cfRule type="cellIs" dxfId="3169" priority="1814" operator="equal">
      <formula>0</formula>
    </cfRule>
  </conditionalFormatting>
  <conditionalFormatting sqref="CY8">
    <cfRule type="cellIs" dxfId="3168" priority="1813" operator="equal">
      <formula>0</formula>
    </cfRule>
  </conditionalFormatting>
  <conditionalFormatting sqref="CW8:CX8">
    <cfRule type="cellIs" dxfId="3167" priority="1812" operator="equal">
      <formula>0</formula>
    </cfRule>
  </conditionalFormatting>
  <conditionalFormatting sqref="CW8:CX8">
    <cfRule type="cellIs" dxfId="3166" priority="1811" operator="equal">
      <formula>0</formula>
    </cfRule>
  </conditionalFormatting>
  <conditionalFormatting sqref="CY8">
    <cfRule type="cellIs" dxfId="3165" priority="1810" operator="equal">
      <formula>0</formula>
    </cfRule>
  </conditionalFormatting>
  <conditionalFormatting sqref="CY8">
    <cfRule type="cellIs" dxfId="3164" priority="1809" operator="equal">
      <formula>0</formula>
    </cfRule>
  </conditionalFormatting>
  <conditionalFormatting sqref="CW8:CX8">
    <cfRule type="cellIs" dxfId="3163" priority="1808" operator="equal">
      <formula>0</formula>
    </cfRule>
  </conditionalFormatting>
  <conditionalFormatting sqref="CW8:CX8">
    <cfRule type="cellIs" dxfId="3162" priority="1807" operator="equal">
      <formula>0</formula>
    </cfRule>
  </conditionalFormatting>
  <conditionalFormatting sqref="CY8">
    <cfRule type="cellIs" dxfId="3161" priority="1806" operator="equal">
      <formula>0</formula>
    </cfRule>
  </conditionalFormatting>
  <conditionalFormatting sqref="CY8">
    <cfRule type="cellIs" dxfId="3160" priority="1805" operator="equal">
      <formula>0</formula>
    </cfRule>
  </conditionalFormatting>
  <conditionalFormatting sqref="CW8:CX8">
    <cfRule type="cellIs" dxfId="3159" priority="1804" operator="equal">
      <formula>0</formula>
    </cfRule>
  </conditionalFormatting>
  <conditionalFormatting sqref="CW8:CX8">
    <cfRule type="cellIs" dxfId="3158" priority="1803" operator="equal">
      <formula>0</formula>
    </cfRule>
  </conditionalFormatting>
  <conditionalFormatting sqref="CY8">
    <cfRule type="cellIs" dxfId="3157" priority="1802" operator="equal">
      <formula>0</formula>
    </cfRule>
  </conditionalFormatting>
  <conditionalFormatting sqref="CY8">
    <cfRule type="cellIs" dxfId="3156" priority="1801" operator="equal">
      <formula>0</formula>
    </cfRule>
  </conditionalFormatting>
  <conditionalFormatting sqref="CW8:CX8">
    <cfRule type="cellIs" dxfId="3155" priority="1800" operator="equal">
      <formula>0</formula>
    </cfRule>
  </conditionalFormatting>
  <conditionalFormatting sqref="CY8">
    <cfRule type="cellIs" dxfId="3154" priority="1799" operator="equal">
      <formula>0</formula>
    </cfRule>
  </conditionalFormatting>
  <conditionalFormatting sqref="CW8:CX8">
    <cfRule type="cellIs" dxfId="3153" priority="1798" operator="equal">
      <formula>0</formula>
    </cfRule>
  </conditionalFormatting>
  <conditionalFormatting sqref="CW8:CX8">
    <cfRule type="cellIs" dxfId="3152" priority="1797" operator="equal">
      <formula>0</formula>
    </cfRule>
  </conditionalFormatting>
  <conditionalFormatting sqref="CW8:CX8">
    <cfRule type="cellIs" dxfId="3151" priority="1796" operator="equal">
      <formula>0</formula>
    </cfRule>
  </conditionalFormatting>
  <conditionalFormatting sqref="CY8">
    <cfRule type="cellIs" dxfId="3150" priority="1795" operator="equal">
      <formula>0</formula>
    </cfRule>
  </conditionalFormatting>
  <conditionalFormatting sqref="CY8">
    <cfRule type="cellIs" dxfId="3149" priority="1794" operator="equal">
      <formula>0</formula>
    </cfRule>
  </conditionalFormatting>
  <conditionalFormatting sqref="CY8">
    <cfRule type="cellIs" dxfId="3148" priority="1793" operator="equal">
      <formula>0</formula>
    </cfRule>
  </conditionalFormatting>
  <conditionalFormatting sqref="CW8:CX8">
    <cfRule type="cellIs" dxfId="3147" priority="1792" operator="equal">
      <formula>0</formula>
    </cfRule>
  </conditionalFormatting>
  <conditionalFormatting sqref="CW8:CX8">
    <cfRule type="cellIs" dxfId="3146" priority="1791" operator="equal">
      <formula>0</formula>
    </cfRule>
  </conditionalFormatting>
  <conditionalFormatting sqref="CW8:CX8">
    <cfRule type="cellIs" dxfId="3145" priority="1790" operator="equal">
      <formula>0</formula>
    </cfRule>
  </conditionalFormatting>
  <conditionalFormatting sqref="CY8">
    <cfRule type="cellIs" dxfId="3144" priority="1789" operator="equal">
      <formula>0</formula>
    </cfRule>
  </conditionalFormatting>
  <conditionalFormatting sqref="CY8">
    <cfRule type="cellIs" dxfId="3143" priority="1788" operator="equal">
      <formula>0</formula>
    </cfRule>
  </conditionalFormatting>
  <conditionalFormatting sqref="CY8">
    <cfRule type="cellIs" dxfId="3142" priority="1787" operator="equal">
      <formula>0</formula>
    </cfRule>
  </conditionalFormatting>
  <conditionalFormatting sqref="CW8:CX8">
    <cfRule type="cellIs" dxfId="3141" priority="1786" operator="equal">
      <formula>0</formula>
    </cfRule>
  </conditionalFormatting>
  <conditionalFormatting sqref="CW8:CX8">
    <cfRule type="cellIs" dxfId="3140" priority="1785" operator="equal">
      <formula>0</formula>
    </cfRule>
  </conditionalFormatting>
  <conditionalFormatting sqref="CY8">
    <cfRule type="cellIs" dxfId="3139" priority="1784" operator="equal">
      <formula>0</formula>
    </cfRule>
  </conditionalFormatting>
  <conditionalFormatting sqref="CY8">
    <cfRule type="cellIs" dxfId="3138" priority="1783" operator="equal">
      <formula>0</formula>
    </cfRule>
  </conditionalFormatting>
  <conditionalFormatting sqref="CW8:CX8">
    <cfRule type="cellIs" dxfId="3137" priority="1782" operator="equal">
      <formula>0</formula>
    </cfRule>
  </conditionalFormatting>
  <conditionalFormatting sqref="CW8:CX8">
    <cfRule type="cellIs" dxfId="3136" priority="1781" operator="equal">
      <formula>0</formula>
    </cfRule>
  </conditionalFormatting>
  <conditionalFormatting sqref="CY8">
    <cfRule type="cellIs" dxfId="3135" priority="1780" operator="equal">
      <formula>0</formula>
    </cfRule>
  </conditionalFormatting>
  <conditionalFormatting sqref="CY8">
    <cfRule type="cellIs" dxfId="3134" priority="1779" operator="equal">
      <formula>0</formula>
    </cfRule>
  </conditionalFormatting>
  <conditionalFormatting sqref="CW8:CX8">
    <cfRule type="cellIs" dxfId="3133" priority="1778" operator="equal">
      <formula>0</formula>
    </cfRule>
  </conditionalFormatting>
  <conditionalFormatting sqref="CY8">
    <cfRule type="cellIs" dxfId="3132" priority="1777" operator="equal">
      <formula>0</formula>
    </cfRule>
  </conditionalFormatting>
  <conditionalFormatting sqref="CY8">
    <cfRule type="cellIs" dxfId="3131" priority="1776" operator="equal">
      <formula>0</formula>
    </cfRule>
  </conditionalFormatting>
  <conditionalFormatting sqref="CW8:CX8">
    <cfRule type="cellIs" dxfId="3130" priority="1775" operator="equal">
      <formula>0</formula>
    </cfRule>
  </conditionalFormatting>
  <conditionalFormatting sqref="CW8:CX8">
    <cfRule type="cellIs" dxfId="3129" priority="1774" operator="equal">
      <formula>0</formula>
    </cfRule>
  </conditionalFormatting>
  <conditionalFormatting sqref="CY8">
    <cfRule type="cellIs" dxfId="3128" priority="1773" operator="equal">
      <formula>0</formula>
    </cfRule>
  </conditionalFormatting>
  <conditionalFormatting sqref="CY8">
    <cfRule type="cellIs" dxfId="3127" priority="1772" operator="equal">
      <formula>0</formula>
    </cfRule>
  </conditionalFormatting>
  <conditionalFormatting sqref="CW8:CX8">
    <cfRule type="cellIs" dxfId="3126" priority="1771" operator="equal">
      <formula>0</formula>
    </cfRule>
  </conditionalFormatting>
  <conditionalFormatting sqref="CW8:CX8">
    <cfRule type="cellIs" dxfId="3125" priority="1770" operator="equal">
      <formula>0</formula>
    </cfRule>
  </conditionalFormatting>
  <conditionalFormatting sqref="CW8:CX8">
    <cfRule type="cellIs" dxfId="3124" priority="1769" operator="equal">
      <formula>0</formula>
    </cfRule>
  </conditionalFormatting>
  <conditionalFormatting sqref="CY8">
    <cfRule type="cellIs" dxfId="3123" priority="1768" operator="equal">
      <formula>0</formula>
    </cfRule>
  </conditionalFormatting>
  <conditionalFormatting sqref="CY8">
    <cfRule type="cellIs" dxfId="3122" priority="1767" operator="equal">
      <formula>0</formula>
    </cfRule>
  </conditionalFormatting>
  <conditionalFormatting sqref="CY8">
    <cfRule type="cellIs" dxfId="3121" priority="1766" operator="equal">
      <formula>0</formula>
    </cfRule>
  </conditionalFormatting>
  <conditionalFormatting sqref="CW8:CX8">
    <cfRule type="cellIs" dxfId="3120" priority="1765" operator="equal">
      <formula>0</formula>
    </cfRule>
  </conditionalFormatting>
  <conditionalFormatting sqref="CW8:CX8">
    <cfRule type="cellIs" dxfId="3119" priority="1764" operator="equal">
      <formula>0</formula>
    </cfRule>
  </conditionalFormatting>
  <conditionalFormatting sqref="CY8">
    <cfRule type="cellIs" dxfId="3118" priority="1763" operator="equal">
      <formula>0</formula>
    </cfRule>
  </conditionalFormatting>
  <conditionalFormatting sqref="CY8">
    <cfRule type="cellIs" dxfId="3117" priority="1762" operator="equal">
      <formula>0</formula>
    </cfRule>
  </conditionalFormatting>
  <conditionalFormatting sqref="CW8:CX8">
    <cfRule type="cellIs" dxfId="3116" priority="1761" operator="equal">
      <formula>0</formula>
    </cfRule>
  </conditionalFormatting>
  <conditionalFormatting sqref="CW8:CX8">
    <cfRule type="cellIs" dxfId="3115" priority="1760" operator="equal">
      <formula>0</formula>
    </cfRule>
  </conditionalFormatting>
  <conditionalFormatting sqref="CY8">
    <cfRule type="cellIs" dxfId="3114" priority="1759" operator="equal">
      <formula>0</formula>
    </cfRule>
  </conditionalFormatting>
  <conditionalFormatting sqref="CY8">
    <cfRule type="cellIs" dxfId="3113" priority="1758" operator="equal">
      <formula>0</formula>
    </cfRule>
  </conditionalFormatting>
  <conditionalFormatting sqref="CW8:CX8">
    <cfRule type="cellIs" dxfId="3112" priority="1757" operator="equal">
      <formula>0</formula>
    </cfRule>
  </conditionalFormatting>
  <conditionalFormatting sqref="CW8:CX8">
    <cfRule type="cellIs" dxfId="3111" priority="1756" operator="equal">
      <formula>0</formula>
    </cfRule>
  </conditionalFormatting>
  <conditionalFormatting sqref="CW8:CX8">
    <cfRule type="cellIs" dxfId="3110" priority="1755" operator="equal">
      <formula>0</formula>
    </cfRule>
  </conditionalFormatting>
  <conditionalFormatting sqref="CY8">
    <cfRule type="cellIs" dxfId="3109" priority="1754" operator="equal">
      <formula>0</formula>
    </cfRule>
  </conditionalFormatting>
  <conditionalFormatting sqref="CY8">
    <cfRule type="cellIs" dxfId="3108" priority="1753" operator="equal">
      <formula>0</formula>
    </cfRule>
  </conditionalFormatting>
  <conditionalFormatting sqref="CY8">
    <cfRule type="cellIs" dxfId="3107" priority="1752" operator="equal">
      <formula>0</formula>
    </cfRule>
  </conditionalFormatting>
  <conditionalFormatting sqref="CW8:CX8">
    <cfRule type="cellIs" dxfId="3106" priority="1751" operator="equal">
      <formula>0</formula>
    </cfRule>
  </conditionalFormatting>
  <conditionalFormatting sqref="CW8:CX8">
    <cfRule type="cellIs" dxfId="3105" priority="1750" operator="equal">
      <formula>0</formula>
    </cfRule>
  </conditionalFormatting>
  <conditionalFormatting sqref="CY8">
    <cfRule type="cellIs" dxfId="3104" priority="1749" operator="equal">
      <formula>0</formula>
    </cfRule>
  </conditionalFormatting>
  <conditionalFormatting sqref="CY8">
    <cfRule type="cellIs" dxfId="3103" priority="1748" operator="equal">
      <formula>0</formula>
    </cfRule>
  </conditionalFormatting>
  <conditionalFormatting sqref="CW8:CX8">
    <cfRule type="cellIs" dxfId="3102" priority="1747" operator="equal">
      <formula>0</formula>
    </cfRule>
  </conditionalFormatting>
  <conditionalFormatting sqref="CW8:CX8">
    <cfRule type="cellIs" dxfId="3101" priority="1746" operator="equal">
      <formula>0</formula>
    </cfRule>
  </conditionalFormatting>
  <conditionalFormatting sqref="CY8">
    <cfRule type="cellIs" dxfId="3100" priority="1745" operator="equal">
      <formula>0</formula>
    </cfRule>
  </conditionalFormatting>
  <conditionalFormatting sqref="CY8">
    <cfRule type="cellIs" dxfId="3099" priority="1744" operator="equal">
      <formula>0</formula>
    </cfRule>
  </conditionalFormatting>
  <conditionalFormatting sqref="CW8:CX8">
    <cfRule type="cellIs" dxfId="3098" priority="1743" operator="equal">
      <formula>0</formula>
    </cfRule>
  </conditionalFormatting>
  <conditionalFormatting sqref="CY8">
    <cfRule type="cellIs" dxfId="3097" priority="1742" operator="equal">
      <formula>0</formula>
    </cfRule>
  </conditionalFormatting>
  <conditionalFormatting sqref="CW8:CX8">
    <cfRule type="cellIs" dxfId="3096" priority="1741" operator="equal">
      <formula>0</formula>
    </cfRule>
  </conditionalFormatting>
  <conditionalFormatting sqref="CW8:CX8">
    <cfRule type="cellIs" dxfId="3095" priority="1740" operator="equal">
      <formula>0</formula>
    </cfRule>
  </conditionalFormatting>
  <conditionalFormatting sqref="CY8">
    <cfRule type="cellIs" dxfId="3094" priority="1739" operator="equal">
      <formula>0</formula>
    </cfRule>
  </conditionalFormatting>
  <conditionalFormatting sqref="CY8">
    <cfRule type="cellIs" dxfId="3093" priority="1738" operator="equal">
      <formula>0</formula>
    </cfRule>
  </conditionalFormatting>
  <conditionalFormatting sqref="CW8:CX8">
    <cfRule type="cellIs" dxfId="3092" priority="1737" operator="equal">
      <formula>0</formula>
    </cfRule>
  </conditionalFormatting>
  <conditionalFormatting sqref="CW8:CX8">
    <cfRule type="cellIs" dxfId="3091" priority="1736" operator="equal">
      <formula>0</formula>
    </cfRule>
  </conditionalFormatting>
  <conditionalFormatting sqref="CW8:CX8">
    <cfRule type="cellIs" dxfId="3090" priority="1735" operator="equal">
      <formula>0</formula>
    </cfRule>
  </conditionalFormatting>
  <conditionalFormatting sqref="CY8">
    <cfRule type="cellIs" dxfId="3089" priority="1734" operator="equal">
      <formula>0</formula>
    </cfRule>
  </conditionalFormatting>
  <conditionalFormatting sqref="CY8">
    <cfRule type="cellIs" dxfId="3088" priority="1733" operator="equal">
      <formula>0</formula>
    </cfRule>
  </conditionalFormatting>
  <conditionalFormatting sqref="CY8">
    <cfRule type="cellIs" dxfId="3087" priority="1732" operator="equal">
      <formula>0</formula>
    </cfRule>
  </conditionalFormatting>
  <conditionalFormatting sqref="CW8:CX8">
    <cfRule type="cellIs" dxfId="3086" priority="1731" operator="equal">
      <formula>0</formula>
    </cfRule>
  </conditionalFormatting>
  <conditionalFormatting sqref="CW8:CX8">
    <cfRule type="cellIs" dxfId="3085" priority="1730" operator="equal">
      <formula>0</formula>
    </cfRule>
  </conditionalFormatting>
  <conditionalFormatting sqref="CY8">
    <cfRule type="cellIs" dxfId="3084" priority="1729" operator="equal">
      <formula>0</formula>
    </cfRule>
  </conditionalFormatting>
  <conditionalFormatting sqref="CY8">
    <cfRule type="cellIs" dxfId="3083" priority="1728" operator="equal">
      <formula>0</formula>
    </cfRule>
  </conditionalFormatting>
  <conditionalFormatting sqref="CW8:CX8">
    <cfRule type="cellIs" dxfId="3082" priority="1727" operator="equal">
      <formula>0</formula>
    </cfRule>
  </conditionalFormatting>
  <conditionalFormatting sqref="CW8:CX8">
    <cfRule type="cellIs" dxfId="3081" priority="1726" operator="equal">
      <formula>0</formula>
    </cfRule>
  </conditionalFormatting>
  <conditionalFormatting sqref="CY8">
    <cfRule type="cellIs" dxfId="3080" priority="1725" operator="equal">
      <formula>0</formula>
    </cfRule>
  </conditionalFormatting>
  <conditionalFormatting sqref="CY8">
    <cfRule type="cellIs" dxfId="3079" priority="1724" operator="equal">
      <formula>0</formula>
    </cfRule>
  </conditionalFormatting>
  <conditionalFormatting sqref="CW8:CX8">
    <cfRule type="cellIs" dxfId="3078" priority="1723" operator="equal">
      <formula>0</formula>
    </cfRule>
  </conditionalFormatting>
  <conditionalFormatting sqref="CW8:CX8">
    <cfRule type="cellIs" dxfId="3077" priority="1722" operator="equal">
      <formula>0</formula>
    </cfRule>
  </conditionalFormatting>
  <conditionalFormatting sqref="CW8:CX8">
    <cfRule type="cellIs" dxfId="3076" priority="1721" operator="equal">
      <formula>0</formula>
    </cfRule>
  </conditionalFormatting>
  <conditionalFormatting sqref="CY8">
    <cfRule type="cellIs" dxfId="3075" priority="1720" operator="equal">
      <formula>0</formula>
    </cfRule>
  </conditionalFormatting>
  <conditionalFormatting sqref="CY8">
    <cfRule type="cellIs" dxfId="3074" priority="1719" operator="equal">
      <formula>0</formula>
    </cfRule>
  </conditionalFormatting>
  <conditionalFormatting sqref="CY8">
    <cfRule type="cellIs" dxfId="3073" priority="1718" operator="equal">
      <formula>0</formula>
    </cfRule>
  </conditionalFormatting>
  <conditionalFormatting sqref="CW8:CX8">
    <cfRule type="cellIs" dxfId="3072" priority="1717" operator="equal">
      <formula>0</formula>
    </cfRule>
  </conditionalFormatting>
  <conditionalFormatting sqref="CW8:CX8">
    <cfRule type="cellIs" dxfId="3071" priority="1716" operator="equal">
      <formula>0</formula>
    </cfRule>
  </conditionalFormatting>
  <conditionalFormatting sqref="CY8">
    <cfRule type="cellIs" dxfId="3070" priority="1715" operator="equal">
      <formula>0</formula>
    </cfRule>
  </conditionalFormatting>
  <conditionalFormatting sqref="CY8">
    <cfRule type="cellIs" dxfId="3069" priority="1714" operator="equal">
      <formula>0</formula>
    </cfRule>
  </conditionalFormatting>
  <conditionalFormatting sqref="CW8:CX8">
    <cfRule type="cellIs" dxfId="3068" priority="1713" operator="equal">
      <formula>0</formula>
    </cfRule>
  </conditionalFormatting>
  <conditionalFormatting sqref="CW8:CX8">
    <cfRule type="cellIs" dxfId="3067" priority="1712" operator="equal">
      <formula>0</formula>
    </cfRule>
  </conditionalFormatting>
  <conditionalFormatting sqref="CY8">
    <cfRule type="cellIs" dxfId="3066" priority="1711" operator="equal">
      <formula>0</formula>
    </cfRule>
  </conditionalFormatting>
  <conditionalFormatting sqref="CY8">
    <cfRule type="cellIs" dxfId="3065" priority="1710" operator="equal">
      <formula>0</formula>
    </cfRule>
  </conditionalFormatting>
  <conditionalFormatting sqref="CW8:CX8">
    <cfRule type="cellIs" dxfId="3064" priority="1709" operator="equal">
      <formula>0</formula>
    </cfRule>
  </conditionalFormatting>
  <conditionalFormatting sqref="CW8:CX8">
    <cfRule type="cellIs" dxfId="3063" priority="1708" operator="equal">
      <formula>0</formula>
    </cfRule>
  </conditionalFormatting>
  <conditionalFormatting sqref="CY8">
    <cfRule type="cellIs" dxfId="3062" priority="1707" operator="equal">
      <formula>0</formula>
    </cfRule>
  </conditionalFormatting>
  <conditionalFormatting sqref="CY8">
    <cfRule type="cellIs" dxfId="3061" priority="1706" operator="equal">
      <formula>0</formula>
    </cfRule>
  </conditionalFormatting>
  <conditionalFormatting sqref="CW8:CX8">
    <cfRule type="cellIs" dxfId="3060" priority="1705" operator="equal">
      <formula>0</formula>
    </cfRule>
  </conditionalFormatting>
  <conditionalFormatting sqref="CW8:CX8">
    <cfRule type="cellIs" dxfId="3059" priority="1704" operator="equal">
      <formula>0</formula>
    </cfRule>
  </conditionalFormatting>
  <conditionalFormatting sqref="CY8">
    <cfRule type="cellIs" dxfId="3058" priority="1703" operator="equal">
      <formula>0</formula>
    </cfRule>
  </conditionalFormatting>
  <conditionalFormatting sqref="CY8">
    <cfRule type="cellIs" dxfId="3057" priority="1702" operator="equal">
      <formula>0</formula>
    </cfRule>
  </conditionalFormatting>
  <conditionalFormatting sqref="CY8">
    <cfRule type="cellIs" dxfId="3056" priority="1701" operator="equal">
      <formula>0</formula>
    </cfRule>
  </conditionalFormatting>
  <conditionalFormatting sqref="CW8:CX8">
    <cfRule type="cellIs" dxfId="3055" priority="1700" operator="equal">
      <formula>0</formula>
    </cfRule>
  </conditionalFormatting>
  <conditionalFormatting sqref="CW8:CX8">
    <cfRule type="cellIs" dxfId="3054" priority="1699" operator="equal">
      <formula>0</formula>
    </cfRule>
  </conditionalFormatting>
  <conditionalFormatting sqref="CY8">
    <cfRule type="cellIs" dxfId="3053" priority="1698" operator="equal">
      <formula>0</formula>
    </cfRule>
  </conditionalFormatting>
  <conditionalFormatting sqref="CY8">
    <cfRule type="cellIs" dxfId="3052" priority="1697" operator="equal">
      <formula>0</formula>
    </cfRule>
  </conditionalFormatting>
  <conditionalFormatting sqref="CW8:CX8">
    <cfRule type="cellIs" dxfId="3051" priority="1696" operator="equal">
      <formula>0</formula>
    </cfRule>
  </conditionalFormatting>
  <conditionalFormatting sqref="CW8:CX8">
    <cfRule type="cellIs" dxfId="3050" priority="1695" operator="equal">
      <formula>0</formula>
    </cfRule>
  </conditionalFormatting>
  <conditionalFormatting sqref="CY8">
    <cfRule type="cellIs" dxfId="3049" priority="1694" operator="equal">
      <formula>0</formula>
    </cfRule>
  </conditionalFormatting>
  <conditionalFormatting sqref="CY8">
    <cfRule type="cellIs" dxfId="3048" priority="1693" operator="equal">
      <formula>0</formula>
    </cfRule>
  </conditionalFormatting>
  <conditionalFormatting sqref="CW8:CX8">
    <cfRule type="cellIs" dxfId="3047" priority="1692" operator="equal">
      <formula>0</formula>
    </cfRule>
  </conditionalFormatting>
  <conditionalFormatting sqref="CY8">
    <cfRule type="cellIs" dxfId="3046" priority="1691" operator="equal">
      <formula>0</formula>
    </cfRule>
  </conditionalFormatting>
  <conditionalFormatting sqref="CW8:CX8">
    <cfRule type="cellIs" dxfId="3045" priority="1690" operator="equal">
      <formula>0</formula>
    </cfRule>
  </conditionalFormatting>
  <conditionalFormatting sqref="CW8:CX8">
    <cfRule type="cellIs" dxfId="3044" priority="1689" operator="equal">
      <formula>0</formula>
    </cfRule>
  </conditionalFormatting>
  <conditionalFormatting sqref="CY8">
    <cfRule type="cellIs" dxfId="3043" priority="1688" operator="equal">
      <formula>0</formula>
    </cfRule>
  </conditionalFormatting>
  <conditionalFormatting sqref="CY8">
    <cfRule type="cellIs" dxfId="3042" priority="1687" operator="equal">
      <formula>0</formula>
    </cfRule>
  </conditionalFormatting>
  <conditionalFormatting sqref="CW8:CX8">
    <cfRule type="cellIs" dxfId="3041" priority="1686" operator="equal">
      <formula>0</formula>
    </cfRule>
  </conditionalFormatting>
  <conditionalFormatting sqref="CY8">
    <cfRule type="cellIs" dxfId="3040" priority="1685" operator="equal">
      <formula>0</formula>
    </cfRule>
  </conditionalFormatting>
  <conditionalFormatting sqref="CW8:CX8">
    <cfRule type="cellIs" dxfId="3039" priority="1684" operator="equal">
      <formula>0</formula>
    </cfRule>
  </conditionalFormatting>
  <conditionalFormatting sqref="CW8:CX8">
    <cfRule type="cellIs" dxfId="3038" priority="1683" operator="equal">
      <formula>0</formula>
    </cfRule>
  </conditionalFormatting>
  <conditionalFormatting sqref="CW8:CX8">
    <cfRule type="cellIs" dxfId="3037" priority="1682" operator="equal">
      <formula>0</formula>
    </cfRule>
  </conditionalFormatting>
  <conditionalFormatting sqref="CY8">
    <cfRule type="cellIs" dxfId="3036" priority="1681" operator="equal">
      <formula>0</formula>
    </cfRule>
  </conditionalFormatting>
  <conditionalFormatting sqref="CY8">
    <cfRule type="cellIs" dxfId="3035" priority="1680" operator="equal">
      <formula>0</formula>
    </cfRule>
  </conditionalFormatting>
  <conditionalFormatting sqref="CY8">
    <cfRule type="cellIs" dxfId="3034" priority="1679" operator="equal">
      <formula>0</formula>
    </cfRule>
  </conditionalFormatting>
  <conditionalFormatting sqref="CW8:CX8">
    <cfRule type="cellIs" dxfId="3033" priority="1678" operator="equal">
      <formula>0</formula>
    </cfRule>
  </conditionalFormatting>
  <conditionalFormatting sqref="CY8">
    <cfRule type="cellIs" dxfId="3032" priority="1677" operator="equal">
      <formula>0</formula>
    </cfRule>
  </conditionalFormatting>
  <conditionalFormatting sqref="CW8:CX8">
    <cfRule type="cellIs" dxfId="3031" priority="1676" operator="equal">
      <formula>0</formula>
    </cfRule>
  </conditionalFormatting>
  <conditionalFormatting sqref="CW8:CX8">
    <cfRule type="cellIs" dxfId="3030" priority="1675" operator="equal">
      <formula>0</formula>
    </cfRule>
  </conditionalFormatting>
  <conditionalFormatting sqref="CY8">
    <cfRule type="cellIs" dxfId="3029" priority="1674" operator="equal">
      <formula>0</formula>
    </cfRule>
  </conditionalFormatting>
  <conditionalFormatting sqref="CY8">
    <cfRule type="cellIs" dxfId="3028" priority="1673" operator="equal">
      <formula>0</formula>
    </cfRule>
  </conditionalFormatting>
  <conditionalFormatting sqref="CW8:CX8">
    <cfRule type="cellIs" dxfId="3027" priority="1672" operator="equal">
      <formula>0</formula>
    </cfRule>
  </conditionalFormatting>
  <conditionalFormatting sqref="CW8:CX8">
    <cfRule type="cellIs" dxfId="3026" priority="1671" operator="equal">
      <formula>0</formula>
    </cfRule>
  </conditionalFormatting>
  <conditionalFormatting sqref="CW8:CX8">
    <cfRule type="cellIs" dxfId="3025" priority="1670" operator="equal">
      <formula>0</formula>
    </cfRule>
  </conditionalFormatting>
  <conditionalFormatting sqref="CY8">
    <cfRule type="cellIs" dxfId="3024" priority="1669" operator="equal">
      <formula>0</formula>
    </cfRule>
  </conditionalFormatting>
  <conditionalFormatting sqref="CY8">
    <cfRule type="cellIs" dxfId="3023" priority="1668" operator="equal">
      <formula>0</formula>
    </cfRule>
  </conditionalFormatting>
  <conditionalFormatting sqref="CY8">
    <cfRule type="cellIs" dxfId="3022" priority="1667" operator="equal">
      <formula>0</formula>
    </cfRule>
  </conditionalFormatting>
  <conditionalFormatting sqref="CW8:CX8">
    <cfRule type="cellIs" dxfId="3021" priority="1666" operator="equal">
      <formula>0</formula>
    </cfRule>
  </conditionalFormatting>
  <conditionalFormatting sqref="CW8:CX8">
    <cfRule type="cellIs" dxfId="3020" priority="1665" operator="equal">
      <formula>0</formula>
    </cfRule>
  </conditionalFormatting>
  <conditionalFormatting sqref="CW8:CX8">
    <cfRule type="cellIs" dxfId="3019" priority="1664" operator="equal">
      <formula>0</formula>
    </cfRule>
  </conditionalFormatting>
  <conditionalFormatting sqref="CY8">
    <cfRule type="cellIs" dxfId="3018" priority="1663" operator="equal">
      <formula>0</formula>
    </cfRule>
  </conditionalFormatting>
  <conditionalFormatting sqref="CY8">
    <cfRule type="cellIs" dxfId="3017" priority="1662" operator="equal">
      <formula>0</formula>
    </cfRule>
  </conditionalFormatting>
  <conditionalFormatting sqref="CY8">
    <cfRule type="cellIs" dxfId="3016" priority="1661" operator="equal">
      <formula>0</formula>
    </cfRule>
  </conditionalFormatting>
  <conditionalFormatting sqref="CW8:CX8">
    <cfRule type="cellIs" dxfId="3015" priority="1660" operator="equal">
      <formula>0</formula>
    </cfRule>
  </conditionalFormatting>
  <conditionalFormatting sqref="CY8">
    <cfRule type="cellIs" dxfId="3014" priority="1659" operator="equal">
      <formula>0</formula>
    </cfRule>
  </conditionalFormatting>
  <conditionalFormatting sqref="CW8:CX8">
    <cfRule type="cellIs" dxfId="3013" priority="1658" operator="equal">
      <formula>0</formula>
    </cfRule>
  </conditionalFormatting>
  <conditionalFormatting sqref="CW8:CX8">
    <cfRule type="cellIs" dxfId="3012" priority="1657" operator="equal">
      <formula>0</formula>
    </cfRule>
  </conditionalFormatting>
  <conditionalFormatting sqref="CY8">
    <cfRule type="cellIs" dxfId="3011" priority="1656" operator="equal">
      <formula>0</formula>
    </cfRule>
  </conditionalFormatting>
  <conditionalFormatting sqref="CY8">
    <cfRule type="cellIs" dxfId="3010" priority="1655" operator="equal">
      <formula>0</formula>
    </cfRule>
  </conditionalFormatting>
  <conditionalFormatting sqref="CW8:CX8">
    <cfRule type="cellIs" dxfId="3009" priority="1654" operator="equal">
      <formula>0</formula>
    </cfRule>
  </conditionalFormatting>
  <conditionalFormatting sqref="CW8:CX8">
    <cfRule type="cellIs" dxfId="3008" priority="1653" operator="equal">
      <formula>0</formula>
    </cfRule>
  </conditionalFormatting>
  <conditionalFormatting sqref="CY8">
    <cfRule type="cellIs" dxfId="3007" priority="1652" operator="equal">
      <formula>0</formula>
    </cfRule>
  </conditionalFormatting>
  <conditionalFormatting sqref="CY8">
    <cfRule type="cellIs" dxfId="3006" priority="1651" operator="equal">
      <formula>0</formula>
    </cfRule>
  </conditionalFormatting>
  <conditionalFormatting sqref="CW8:CX8">
    <cfRule type="cellIs" dxfId="3005" priority="1650" operator="equal">
      <formula>0</formula>
    </cfRule>
  </conditionalFormatting>
  <conditionalFormatting sqref="CW8:CX8">
    <cfRule type="cellIs" dxfId="3004" priority="1649" operator="equal">
      <formula>0</formula>
    </cfRule>
  </conditionalFormatting>
  <conditionalFormatting sqref="CY8">
    <cfRule type="cellIs" dxfId="3003" priority="1648" operator="equal">
      <formula>0</formula>
    </cfRule>
  </conditionalFormatting>
  <conditionalFormatting sqref="CY8">
    <cfRule type="cellIs" dxfId="3002" priority="1647" operator="equal">
      <formula>0</formula>
    </cfRule>
  </conditionalFormatting>
  <conditionalFormatting sqref="CW8:CX8">
    <cfRule type="cellIs" dxfId="3001" priority="1646" operator="equal">
      <formula>0</formula>
    </cfRule>
  </conditionalFormatting>
  <conditionalFormatting sqref="CY8">
    <cfRule type="cellIs" dxfId="3000" priority="1645" operator="equal">
      <formula>0</formula>
    </cfRule>
  </conditionalFormatting>
  <conditionalFormatting sqref="CY8">
    <cfRule type="cellIs" dxfId="2999" priority="1644" operator="equal">
      <formula>0</formula>
    </cfRule>
  </conditionalFormatting>
  <conditionalFormatting sqref="CW8:CX8">
    <cfRule type="cellIs" dxfId="2998" priority="1643" operator="equal">
      <formula>0</formula>
    </cfRule>
  </conditionalFormatting>
  <conditionalFormatting sqref="CY8">
    <cfRule type="cellIs" dxfId="2997" priority="1642" operator="equal">
      <formula>0</formula>
    </cfRule>
  </conditionalFormatting>
  <conditionalFormatting sqref="CW8:CX8">
    <cfRule type="cellIs" dxfId="2996" priority="1641" operator="equal">
      <formula>0</formula>
    </cfRule>
  </conditionalFormatting>
  <conditionalFormatting sqref="CW8:CX8">
    <cfRule type="cellIs" dxfId="2995" priority="1640" operator="equal">
      <formula>0</formula>
    </cfRule>
  </conditionalFormatting>
  <conditionalFormatting sqref="CY8">
    <cfRule type="cellIs" dxfId="2994" priority="1639" operator="equal">
      <formula>0</formula>
    </cfRule>
  </conditionalFormatting>
  <conditionalFormatting sqref="CY8">
    <cfRule type="cellIs" dxfId="2993" priority="1638" operator="equal">
      <formula>0</formula>
    </cfRule>
  </conditionalFormatting>
  <conditionalFormatting sqref="CW8:CX8">
    <cfRule type="cellIs" dxfId="2992" priority="1637" operator="equal">
      <formula>0</formula>
    </cfRule>
  </conditionalFormatting>
  <conditionalFormatting sqref="CW8:CX8">
    <cfRule type="cellIs" dxfId="2991" priority="1636" operator="equal">
      <formula>0</formula>
    </cfRule>
  </conditionalFormatting>
  <conditionalFormatting sqref="CY8">
    <cfRule type="cellIs" dxfId="2990" priority="1635" operator="equal">
      <formula>0</formula>
    </cfRule>
  </conditionalFormatting>
  <conditionalFormatting sqref="CY8">
    <cfRule type="cellIs" dxfId="2989" priority="1634" operator="equal">
      <formula>0</formula>
    </cfRule>
  </conditionalFormatting>
  <conditionalFormatting sqref="CR8:CV8">
    <cfRule type="cellIs" dxfId="2988" priority="1633" operator="equal">
      <formula>0</formula>
    </cfRule>
  </conditionalFormatting>
  <conditionalFormatting sqref="CW8:CX8">
    <cfRule type="cellIs" dxfId="2987" priority="1632" operator="equal">
      <formula>0</formula>
    </cfRule>
  </conditionalFormatting>
  <conditionalFormatting sqref="CW8:CX8">
    <cfRule type="cellIs" dxfId="2986" priority="1631" operator="equal">
      <formula>0</formula>
    </cfRule>
  </conditionalFormatting>
  <conditionalFormatting sqref="CY8">
    <cfRule type="cellIs" dxfId="2985" priority="1630" operator="equal">
      <formula>0</formula>
    </cfRule>
  </conditionalFormatting>
  <conditionalFormatting sqref="CY8">
    <cfRule type="cellIs" dxfId="2984" priority="1629" operator="equal">
      <formula>0</formula>
    </cfRule>
  </conditionalFormatting>
  <conditionalFormatting sqref="CY8">
    <cfRule type="cellIs" dxfId="2983" priority="1628" operator="equal">
      <formula>0</formula>
    </cfRule>
  </conditionalFormatting>
  <conditionalFormatting sqref="CW8:CX8">
    <cfRule type="cellIs" dxfId="2982" priority="1627" operator="equal">
      <formula>0</formula>
    </cfRule>
  </conditionalFormatting>
  <conditionalFormatting sqref="CY8">
    <cfRule type="cellIs" dxfId="2981" priority="1626" operator="equal">
      <formula>0</formula>
    </cfRule>
  </conditionalFormatting>
  <conditionalFormatting sqref="CW8:CX8">
    <cfRule type="cellIs" dxfId="2980" priority="1625" operator="equal">
      <formula>0</formula>
    </cfRule>
  </conditionalFormatting>
  <conditionalFormatting sqref="CW8:CX8">
    <cfRule type="cellIs" dxfId="2979" priority="1624" operator="equal">
      <formula>0</formula>
    </cfRule>
  </conditionalFormatting>
  <conditionalFormatting sqref="CY8">
    <cfRule type="cellIs" dxfId="2978" priority="1623" operator="equal">
      <formula>0</formula>
    </cfRule>
  </conditionalFormatting>
  <conditionalFormatting sqref="CY8">
    <cfRule type="cellIs" dxfId="2977" priority="1622" operator="equal">
      <formula>0</formula>
    </cfRule>
  </conditionalFormatting>
  <conditionalFormatting sqref="CW8:CX8">
    <cfRule type="cellIs" dxfId="2976" priority="1621" operator="equal">
      <formula>0</formula>
    </cfRule>
  </conditionalFormatting>
  <conditionalFormatting sqref="CY8">
    <cfRule type="cellIs" dxfId="2975" priority="1620" operator="equal">
      <formula>0</formula>
    </cfRule>
  </conditionalFormatting>
  <conditionalFormatting sqref="CW8:CX8">
    <cfRule type="cellIs" dxfId="2974" priority="1619" operator="equal">
      <formula>0</formula>
    </cfRule>
  </conditionalFormatting>
  <conditionalFormatting sqref="CW8:CX8">
    <cfRule type="cellIs" dxfId="2973" priority="1618" operator="equal">
      <formula>0</formula>
    </cfRule>
  </conditionalFormatting>
  <conditionalFormatting sqref="CY8">
    <cfRule type="cellIs" dxfId="2972" priority="1617" operator="equal">
      <formula>0</formula>
    </cfRule>
  </conditionalFormatting>
  <conditionalFormatting sqref="CY8">
    <cfRule type="cellIs" dxfId="2971" priority="1616" operator="equal">
      <formula>0</formula>
    </cfRule>
  </conditionalFormatting>
  <conditionalFormatting sqref="CW8:CX8">
    <cfRule type="cellIs" dxfId="2970" priority="1615" operator="equal">
      <formula>0</formula>
    </cfRule>
  </conditionalFormatting>
  <conditionalFormatting sqref="CW8:CX8">
    <cfRule type="cellIs" dxfId="2969" priority="1614" operator="equal">
      <formula>0</formula>
    </cfRule>
  </conditionalFormatting>
  <conditionalFormatting sqref="CW8:CX8">
    <cfRule type="cellIs" dxfId="2968" priority="1613" operator="equal">
      <formula>0</formula>
    </cfRule>
  </conditionalFormatting>
  <conditionalFormatting sqref="CY8">
    <cfRule type="cellIs" dxfId="2967" priority="1612" operator="equal">
      <formula>0</formula>
    </cfRule>
  </conditionalFormatting>
  <conditionalFormatting sqref="CY8">
    <cfRule type="cellIs" dxfId="2966" priority="1611" operator="equal">
      <formula>0</formula>
    </cfRule>
  </conditionalFormatting>
  <conditionalFormatting sqref="CY8">
    <cfRule type="cellIs" dxfId="2965" priority="1610" operator="equal">
      <formula>0</formula>
    </cfRule>
  </conditionalFormatting>
  <conditionalFormatting sqref="CW8:CX8">
    <cfRule type="cellIs" dxfId="2964" priority="1609" operator="equal">
      <formula>0</formula>
    </cfRule>
  </conditionalFormatting>
  <conditionalFormatting sqref="CY8">
    <cfRule type="cellIs" dxfId="2963" priority="1608" operator="equal">
      <formula>0</formula>
    </cfRule>
  </conditionalFormatting>
  <conditionalFormatting sqref="CW8:CX8">
    <cfRule type="cellIs" dxfId="2962" priority="1607" operator="equal">
      <formula>0</formula>
    </cfRule>
  </conditionalFormatting>
  <conditionalFormatting sqref="CW8:CX8">
    <cfRule type="cellIs" dxfId="2961" priority="1606" operator="equal">
      <formula>0</formula>
    </cfRule>
  </conditionalFormatting>
  <conditionalFormatting sqref="CY8">
    <cfRule type="cellIs" dxfId="2960" priority="1605" operator="equal">
      <formula>0</formula>
    </cfRule>
  </conditionalFormatting>
  <conditionalFormatting sqref="CY8">
    <cfRule type="cellIs" dxfId="2959" priority="1604" operator="equal">
      <formula>0</formula>
    </cfRule>
  </conditionalFormatting>
  <conditionalFormatting sqref="CW8:CX8">
    <cfRule type="cellIs" dxfId="2958" priority="1603" operator="equal">
      <formula>0</formula>
    </cfRule>
  </conditionalFormatting>
  <conditionalFormatting sqref="CY8">
    <cfRule type="cellIs" dxfId="2957" priority="1602" operator="equal">
      <formula>0</formula>
    </cfRule>
  </conditionalFormatting>
  <conditionalFormatting sqref="CW8:CX8">
    <cfRule type="cellIs" dxfId="2956" priority="1601" operator="equal">
      <formula>0</formula>
    </cfRule>
  </conditionalFormatting>
  <conditionalFormatting sqref="CY8">
    <cfRule type="cellIs" dxfId="2955" priority="1600" operator="equal">
      <formula>0</formula>
    </cfRule>
  </conditionalFormatting>
  <conditionalFormatting sqref="CW8:CX8">
    <cfRule type="cellIs" dxfId="2954" priority="1599" operator="equal">
      <formula>0</formula>
    </cfRule>
  </conditionalFormatting>
  <conditionalFormatting sqref="CW8:CX8">
    <cfRule type="cellIs" dxfId="2953" priority="1598" operator="equal">
      <formula>0</formula>
    </cfRule>
  </conditionalFormatting>
  <conditionalFormatting sqref="CY8">
    <cfRule type="cellIs" dxfId="2952" priority="1597" operator="equal">
      <formula>0</formula>
    </cfRule>
  </conditionalFormatting>
  <conditionalFormatting sqref="CY8">
    <cfRule type="cellIs" dxfId="2951" priority="1596" operator="equal">
      <formula>0</formula>
    </cfRule>
  </conditionalFormatting>
  <conditionalFormatting sqref="CW8:CX8">
    <cfRule type="cellIs" dxfId="2950" priority="1595" operator="equal">
      <formula>0</formula>
    </cfRule>
  </conditionalFormatting>
  <conditionalFormatting sqref="CW8:CX8">
    <cfRule type="cellIs" dxfId="2949" priority="1594" operator="equal">
      <formula>0</formula>
    </cfRule>
  </conditionalFormatting>
  <conditionalFormatting sqref="CY8">
    <cfRule type="cellIs" dxfId="2948" priority="1593" operator="equal">
      <formula>0</formula>
    </cfRule>
  </conditionalFormatting>
  <conditionalFormatting sqref="CY8">
    <cfRule type="cellIs" dxfId="2947" priority="1592" operator="equal">
      <formula>0</formula>
    </cfRule>
  </conditionalFormatting>
  <conditionalFormatting sqref="CW8:CX8">
    <cfRule type="cellIs" dxfId="2946" priority="1591" operator="equal">
      <formula>0</formula>
    </cfRule>
  </conditionalFormatting>
  <conditionalFormatting sqref="CY8">
    <cfRule type="cellIs" dxfId="2945" priority="1590" operator="equal">
      <formula>0</formula>
    </cfRule>
  </conditionalFormatting>
  <conditionalFormatting sqref="CW8:CX8">
    <cfRule type="cellIs" dxfId="2944" priority="1589" operator="equal">
      <formula>0</formula>
    </cfRule>
  </conditionalFormatting>
  <conditionalFormatting sqref="CW8:CX8">
    <cfRule type="cellIs" dxfId="2943" priority="1588" operator="equal">
      <formula>0</formula>
    </cfRule>
  </conditionalFormatting>
  <conditionalFormatting sqref="CW8:CX8">
    <cfRule type="cellIs" dxfId="2942" priority="1587" operator="equal">
      <formula>0</formula>
    </cfRule>
  </conditionalFormatting>
  <conditionalFormatting sqref="CY8">
    <cfRule type="cellIs" dxfId="2941" priority="1586" operator="equal">
      <formula>0</formula>
    </cfRule>
  </conditionalFormatting>
  <conditionalFormatting sqref="CY8">
    <cfRule type="cellIs" dxfId="2940" priority="1585" operator="equal">
      <formula>0</formula>
    </cfRule>
  </conditionalFormatting>
  <conditionalFormatting sqref="CY8">
    <cfRule type="cellIs" dxfId="2939" priority="1584" operator="equal">
      <formula>0</formula>
    </cfRule>
  </conditionalFormatting>
  <conditionalFormatting sqref="CW8:CX8">
    <cfRule type="cellIs" dxfId="2938" priority="1583" operator="equal">
      <formula>0</formula>
    </cfRule>
  </conditionalFormatting>
  <conditionalFormatting sqref="CY8">
    <cfRule type="cellIs" dxfId="2937" priority="1582" operator="equal">
      <formula>0</formula>
    </cfRule>
  </conditionalFormatting>
  <conditionalFormatting sqref="CW8:CX8">
    <cfRule type="cellIs" dxfId="2936" priority="1581" operator="equal">
      <formula>0</formula>
    </cfRule>
  </conditionalFormatting>
  <conditionalFormatting sqref="CW8:CX8">
    <cfRule type="cellIs" dxfId="2935" priority="1580" operator="equal">
      <formula>0</formula>
    </cfRule>
  </conditionalFormatting>
  <conditionalFormatting sqref="CY8">
    <cfRule type="cellIs" dxfId="2934" priority="1579" operator="equal">
      <formula>0</formula>
    </cfRule>
  </conditionalFormatting>
  <conditionalFormatting sqref="CY8">
    <cfRule type="cellIs" dxfId="2933" priority="1578" operator="equal">
      <formula>0</formula>
    </cfRule>
  </conditionalFormatting>
  <conditionalFormatting sqref="CW8:CX8">
    <cfRule type="cellIs" dxfId="2932" priority="1577" operator="equal">
      <formula>0</formula>
    </cfRule>
  </conditionalFormatting>
  <conditionalFormatting sqref="CW8:CX8">
    <cfRule type="cellIs" dxfId="2931" priority="1576" operator="equal">
      <formula>0</formula>
    </cfRule>
  </conditionalFormatting>
  <conditionalFormatting sqref="CW8:CX8">
    <cfRule type="cellIs" dxfId="2930" priority="1575" operator="equal">
      <formula>0</formula>
    </cfRule>
  </conditionalFormatting>
  <conditionalFormatting sqref="CY8">
    <cfRule type="cellIs" dxfId="2929" priority="1574" operator="equal">
      <formula>0</formula>
    </cfRule>
  </conditionalFormatting>
  <conditionalFormatting sqref="CY8">
    <cfRule type="cellIs" dxfId="2928" priority="1573" operator="equal">
      <formula>0</formula>
    </cfRule>
  </conditionalFormatting>
  <conditionalFormatting sqref="CY8">
    <cfRule type="cellIs" dxfId="2927" priority="1572" operator="equal">
      <formula>0</formula>
    </cfRule>
  </conditionalFormatting>
  <conditionalFormatting sqref="CW8:CX8">
    <cfRule type="cellIs" dxfId="2926" priority="1571" operator="equal">
      <formula>0</formula>
    </cfRule>
  </conditionalFormatting>
  <conditionalFormatting sqref="CW8:CX8">
    <cfRule type="cellIs" dxfId="2925" priority="1570" operator="equal">
      <formula>0</formula>
    </cfRule>
  </conditionalFormatting>
  <conditionalFormatting sqref="CY8">
    <cfRule type="cellIs" dxfId="2924" priority="1569" operator="equal">
      <formula>0</formula>
    </cfRule>
  </conditionalFormatting>
  <conditionalFormatting sqref="CY8">
    <cfRule type="cellIs" dxfId="2923" priority="1568" operator="equal">
      <formula>0</formula>
    </cfRule>
  </conditionalFormatting>
  <conditionalFormatting sqref="CW8:CX8">
    <cfRule type="cellIs" dxfId="2922" priority="1567" operator="equal">
      <formula>0</formula>
    </cfRule>
  </conditionalFormatting>
  <conditionalFormatting sqref="CW8:CX8">
    <cfRule type="cellIs" dxfId="2921" priority="1566" operator="equal">
      <formula>0</formula>
    </cfRule>
  </conditionalFormatting>
  <conditionalFormatting sqref="CY8">
    <cfRule type="cellIs" dxfId="2920" priority="1565" operator="equal">
      <formula>0</formula>
    </cfRule>
  </conditionalFormatting>
  <conditionalFormatting sqref="CY8">
    <cfRule type="cellIs" dxfId="2919" priority="1564" operator="equal">
      <formula>0</formula>
    </cfRule>
  </conditionalFormatting>
  <conditionalFormatting sqref="CW8:CX8">
    <cfRule type="cellIs" dxfId="2918" priority="1563" operator="equal">
      <formula>0</formula>
    </cfRule>
  </conditionalFormatting>
  <conditionalFormatting sqref="CY8">
    <cfRule type="cellIs" dxfId="2917" priority="1562" operator="equal">
      <formula>0</formula>
    </cfRule>
  </conditionalFormatting>
  <conditionalFormatting sqref="CW8:CX8">
    <cfRule type="cellIs" dxfId="2916" priority="1561" operator="equal">
      <formula>0</formula>
    </cfRule>
  </conditionalFormatting>
  <conditionalFormatting sqref="CW8:CX8">
    <cfRule type="cellIs" dxfId="2915" priority="1560" operator="equal">
      <formula>0</formula>
    </cfRule>
  </conditionalFormatting>
  <conditionalFormatting sqref="CY8">
    <cfRule type="cellIs" dxfId="2914" priority="1559" operator="equal">
      <formula>0</formula>
    </cfRule>
  </conditionalFormatting>
  <conditionalFormatting sqref="CY8">
    <cfRule type="cellIs" dxfId="2913" priority="1558" operator="equal">
      <formula>0</formula>
    </cfRule>
  </conditionalFormatting>
  <conditionalFormatting sqref="CW8:CX8">
    <cfRule type="cellIs" dxfId="2912" priority="1557" operator="equal">
      <formula>0</formula>
    </cfRule>
  </conditionalFormatting>
  <conditionalFormatting sqref="CW8:CX8">
    <cfRule type="cellIs" dxfId="2911" priority="1556" operator="equal">
      <formula>0</formula>
    </cfRule>
  </conditionalFormatting>
  <conditionalFormatting sqref="CW8:CX8">
    <cfRule type="cellIs" dxfId="2910" priority="1555" operator="equal">
      <formula>0</formula>
    </cfRule>
  </conditionalFormatting>
  <conditionalFormatting sqref="CY8">
    <cfRule type="cellIs" dxfId="2909" priority="1554" operator="equal">
      <formula>0</formula>
    </cfRule>
  </conditionalFormatting>
  <conditionalFormatting sqref="CY8">
    <cfRule type="cellIs" dxfId="2908" priority="1553" operator="equal">
      <formula>0</formula>
    </cfRule>
  </conditionalFormatting>
  <conditionalFormatting sqref="CY8">
    <cfRule type="cellIs" dxfId="2907" priority="1552" operator="equal">
      <formula>0</formula>
    </cfRule>
  </conditionalFormatting>
  <conditionalFormatting sqref="CW8:CX8">
    <cfRule type="cellIs" dxfId="2906" priority="1551" operator="equal">
      <formula>0</formula>
    </cfRule>
  </conditionalFormatting>
  <conditionalFormatting sqref="CW8:CX8">
    <cfRule type="cellIs" dxfId="2905" priority="1550" operator="equal">
      <formula>0</formula>
    </cfRule>
  </conditionalFormatting>
  <conditionalFormatting sqref="CY8">
    <cfRule type="cellIs" dxfId="2904" priority="1549" operator="equal">
      <formula>0</formula>
    </cfRule>
  </conditionalFormatting>
  <conditionalFormatting sqref="CY8">
    <cfRule type="cellIs" dxfId="2903" priority="1548" operator="equal">
      <formula>0</formula>
    </cfRule>
  </conditionalFormatting>
  <conditionalFormatting sqref="CW8:CX8">
    <cfRule type="cellIs" dxfId="2902" priority="1547" operator="equal">
      <formula>0</formula>
    </cfRule>
  </conditionalFormatting>
  <conditionalFormatting sqref="CY8">
    <cfRule type="cellIs" dxfId="2901" priority="1546" operator="equal">
      <formula>0</formula>
    </cfRule>
  </conditionalFormatting>
  <conditionalFormatting sqref="CW8:CX8">
    <cfRule type="cellIs" dxfId="2900" priority="1545" operator="equal">
      <formula>0</formula>
    </cfRule>
  </conditionalFormatting>
  <conditionalFormatting sqref="CW8:CX8">
    <cfRule type="cellIs" dxfId="2899" priority="1544" operator="equal">
      <formula>0</formula>
    </cfRule>
  </conditionalFormatting>
  <conditionalFormatting sqref="CW8:CX8">
    <cfRule type="cellIs" dxfId="2898" priority="1543" operator="equal">
      <formula>0</formula>
    </cfRule>
  </conditionalFormatting>
  <conditionalFormatting sqref="CY8">
    <cfRule type="cellIs" dxfId="2897" priority="1542" operator="equal">
      <formula>0</formula>
    </cfRule>
  </conditionalFormatting>
  <conditionalFormatting sqref="CY8">
    <cfRule type="cellIs" dxfId="2896" priority="1541" operator="equal">
      <formula>0</formula>
    </cfRule>
  </conditionalFormatting>
  <conditionalFormatting sqref="CY8">
    <cfRule type="cellIs" dxfId="2895" priority="1540" operator="equal">
      <formula>0</formula>
    </cfRule>
  </conditionalFormatting>
  <conditionalFormatting sqref="CW8:CX8">
    <cfRule type="cellIs" dxfId="2894" priority="1539" operator="equal">
      <formula>0</formula>
    </cfRule>
  </conditionalFormatting>
  <conditionalFormatting sqref="CY8">
    <cfRule type="cellIs" dxfId="2893" priority="1538" operator="equal">
      <formula>0</formula>
    </cfRule>
  </conditionalFormatting>
  <conditionalFormatting sqref="CW8:CX8">
    <cfRule type="cellIs" dxfId="2892" priority="1537" operator="equal">
      <formula>0</formula>
    </cfRule>
  </conditionalFormatting>
  <conditionalFormatting sqref="CW8:CX8">
    <cfRule type="cellIs" dxfId="2891" priority="1536" operator="equal">
      <formula>0</formula>
    </cfRule>
  </conditionalFormatting>
  <conditionalFormatting sqref="CY8">
    <cfRule type="cellIs" dxfId="2890" priority="1535" operator="equal">
      <formula>0</formula>
    </cfRule>
  </conditionalFormatting>
  <conditionalFormatting sqref="CY8">
    <cfRule type="cellIs" dxfId="2889" priority="1534" operator="equal">
      <formula>0</formula>
    </cfRule>
  </conditionalFormatting>
  <conditionalFormatting sqref="CW8:CX8">
    <cfRule type="cellIs" dxfId="2888" priority="1533" operator="equal">
      <formula>0</formula>
    </cfRule>
  </conditionalFormatting>
  <conditionalFormatting sqref="CW8:CX8">
    <cfRule type="cellIs" dxfId="2887" priority="1532" operator="equal">
      <formula>0</formula>
    </cfRule>
  </conditionalFormatting>
  <conditionalFormatting sqref="CY8">
    <cfRule type="cellIs" dxfId="2886" priority="1531" operator="equal">
      <formula>0</formula>
    </cfRule>
  </conditionalFormatting>
  <conditionalFormatting sqref="CY8">
    <cfRule type="cellIs" dxfId="2885" priority="1530" operator="equal">
      <formula>0</formula>
    </cfRule>
  </conditionalFormatting>
  <conditionalFormatting sqref="CW8:CX8">
    <cfRule type="cellIs" dxfId="2884" priority="1529" operator="equal">
      <formula>0</formula>
    </cfRule>
  </conditionalFormatting>
  <conditionalFormatting sqref="CW8:CX8">
    <cfRule type="cellIs" dxfId="2883" priority="1528" operator="equal">
      <formula>0</formula>
    </cfRule>
  </conditionalFormatting>
  <conditionalFormatting sqref="CY8">
    <cfRule type="cellIs" dxfId="2882" priority="1527" operator="equal">
      <formula>0</formula>
    </cfRule>
  </conditionalFormatting>
  <conditionalFormatting sqref="CY8">
    <cfRule type="cellIs" dxfId="2881" priority="1526" operator="equal">
      <formula>0</formula>
    </cfRule>
  </conditionalFormatting>
  <conditionalFormatting sqref="CW8:CX8">
    <cfRule type="cellIs" dxfId="2880" priority="1525" operator="equal">
      <formula>0</formula>
    </cfRule>
  </conditionalFormatting>
  <conditionalFormatting sqref="CY8">
    <cfRule type="cellIs" dxfId="2879" priority="1524" operator="equal">
      <formula>0</formula>
    </cfRule>
  </conditionalFormatting>
  <conditionalFormatting sqref="CW8:CX8">
    <cfRule type="cellIs" dxfId="2878" priority="1523" operator="equal">
      <formula>0</formula>
    </cfRule>
  </conditionalFormatting>
  <conditionalFormatting sqref="CW8:CX8">
    <cfRule type="cellIs" dxfId="2877" priority="1522" operator="equal">
      <formula>0</formula>
    </cfRule>
  </conditionalFormatting>
  <conditionalFormatting sqref="CY8">
    <cfRule type="cellIs" dxfId="2876" priority="1521" operator="equal">
      <formula>0</formula>
    </cfRule>
  </conditionalFormatting>
  <conditionalFormatting sqref="CY8">
    <cfRule type="cellIs" dxfId="2875" priority="1520" operator="equal">
      <formula>0</formula>
    </cfRule>
  </conditionalFormatting>
  <conditionalFormatting sqref="CW8:CX8">
    <cfRule type="cellIs" dxfId="2874" priority="1519" operator="equal">
      <formula>0</formula>
    </cfRule>
  </conditionalFormatting>
  <conditionalFormatting sqref="CW8:CX8">
    <cfRule type="cellIs" dxfId="2873" priority="1518" operator="equal">
      <formula>0</formula>
    </cfRule>
  </conditionalFormatting>
  <conditionalFormatting sqref="CY8">
    <cfRule type="cellIs" dxfId="2872" priority="1517" operator="equal">
      <formula>0</formula>
    </cfRule>
  </conditionalFormatting>
  <conditionalFormatting sqref="CY8">
    <cfRule type="cellIs" dxfId="2871" priority="1516" operator="equal">
      <formula>0</formula>
    </cfRule>
  </conditionalFormatting>
  <conditionalFormatting sqref="CW8:CX8">
    <cfRule type="cellIs" dxfId="2870" priority="1515" operator="equal">
      <formula>0</formula>
    </cfRule>
  </conditionalFormatting>
  <conditionalFormatting sqref="CW8:CX8">
    <cfRule type="cellIs" dxfId="2869" priority="1514" operator="equal">
      <formula>0</formula>
    </cfRule>
  </conditionalFormatting>
  <conditionalFormatting sqref="CY8">
    <cfRule type="cellIs" dxfId="2868" priority="1513" operator="equal">
      <formula>0</formula>
    </cfRule>
  </conditionalFormatting>
  <conditionalFormatting sqref="CY8">
    <cfRule type="cellIs" dxfId="2867" priority="1512" operator="equal">
      <formula>0</formula>
    </cfRule>
  </conditionalFormatting>
  <conditionalFormatting sqref="CW8:CX8">
    <cfRule type="cellIs" dxfId="2866" priority="1511" operator="equal">
      <formula>0</formula>
    </cfRule>
  </conditionalFormatting>
  <conditionalFormatting sqref="CW8:CX8">
    <cfRule type="cellIs" dxfId="2865" priority="1510" operator="equal">
      <formula>0</formula>
    </cfRule>
  </conditionalFormatting>
  <conditionalFormatting sqref="CY8">
    <cfRule type="cellIs" dxfId="2864" priority="1509" operator="equal">
      <formula>0</formula>
    </cfRule>
  </conditionalFormatting>
  <conditionalFormatting sqref="CY8">
    <cfRule type="cellIs" dxfId="2863" priority="1508" operator="equal">
      <formula>0</formula>
    </cfRule>
  </conditionalFormatting>
  <conditionalFormatting sqref="CW8:CX8">
    <cfRule type="cellIs" dxfId="2862" priority="1507" operator="equal">
      <formula>0</formula>
    </cfRule>
  </conditionalFormatting>
  <conditionalFormatting sqref="CW8:CX8">
    <cfRule type="cellIs" dxfId="2861" priority="1506" operator="equal">
      <formula>0</formula>
    </cfRule>
  </conditionalFormatting>
  <conditionalFormatting sqref="CY8">
    <cfRule type="cellIs" dxfId="2860" priority="1505" operator="equal">
      <formula>0</formula>
    </cfRule>
  </conditionalFormatting>
  <conditionalFormatting sqref="CY8">
    <cfRule type="cellIs" dxfId="2859" priority="1504" operator="equal">
      <formula>0</formula>
    </cfRule>
  </conditionalFormatting>
  <conditionalFormatting sqref="CW8:CX8">
    <cfRule type="cellIs" dxfId="2858" priority="1503" operator="equal">
      <formula>0</formula>
    </cfRule>
  </conditionalFormatting>
  <conditionalFormatting sqref="CW8:CX8">
    <cfRule type="cellIs" dxfId="2857" priority="1502" operator="equal">
      <formula>0</formula>
    </cfRule>
  </conditionalFormatting>
  <conditionalFormatting sqref="CY8">
    <cfRule type="cellIs" dxfId="2856" priority="1501" operator="equal">
      <formula>0</formula>
    </cfRule>
  </conditionalFormatting>
  <conditionalFormatting sqref="CY8">
    <cfRule type="cellIs" dxfId="2855" priority="1500" operator="equal">
      <formula>0</formula>
    </cfRule>
  </conditionalFormatting>
  <conditionalFormatting sqref="CW8:CX8">
    <cfRule type="cellIs" dxfId="2854" priority="1499" operator="equal">
      <formula>0</formula>
    </cfRule>
  </conditionalFormatting>
  <conditionalFormatting sqref="CY8">
    <cfRule type="cellIs" dxfId="2853" priority="1498" operator="equal">
      <formula>0</formula>
    </cfRule>
  </conditionalFormatting>
  <conditionalFormatting sqref="CW8:CX8">
    <cfRule type="cellIs" dxfId="2852" priority="1497" operator="equal">
      <formula>0</formula>
    </cfRule>
  </conditionalFormatting>
  <conditionalFormatting sqref="CW8:CX8">
    <cfRule type="cellIs" dxfId="2851" priority="1496" operator="equal">
      <formula>0</formula>
    </cfRule>
  </conditionalFormatting>
  <conditionalFormatting sqref="CW8:CX8">
    <cfRule type="cellIs" dxfId="2850" priority="1495" operator="equal">
      <formula>0</formula>
    </cfRule>
  </conditionalFormatting>
  <conditionalFormatting sqref="CY8">
    <cfRule type="cellIs" dxfId="2849" priority="1494" operator="equal">
      <formula>0</formula>
    </cfRule>
  </conditionalFormatting>
  <conditionalFormatting sqref="CY8">
    <cfRule type="cellIs" dxfId="2848" priority="1493" operator="equal">
      <formula>0</formula>
    </cfRule>
  </conditionalFormatting>
  <conditionalFormatting sqref="CY8">
    <cfRule type="cellIs" dxfId="2847" priority="1492" operator="equal">
      <formula>0</formula>
    </cfRule>
  </conditionalFormatting>
  <conditionalFormatting sqref="CW8:CX8">
    <cfRule type="cellIs" dxfId="2846" priority="1491" operator="equal">
      <formula>0</formula>
    </cfRule>
  </conditionalFormatting>
  <conditionalFormatting sqref="CW8:CX8">
    <cfRule type="cellIs" dxfId="2845" priority="1490" operator="equal">
      <formula>0</formula>
    </cfRule>
  </conditionalFormatting>
  <conditionalFormatting sqref="CY8">
    <cfRule type="cellIs" dxfId="2844" priority="1489" operator="equal">
      <formula>0</formula>
    </cfRule>
  </conditionalFormatting>
  <conditionalFormatting sqref="CY8">
    <cfRule type="cellIs" dxfId="2843" priority="1488" operator="equal">
      <formula>0</formula>
    </cfRule>
  </conditionalFormatting>
  <conditionalFormatting sqref="CW8:CX8">
    <cfRule type="cellIs" dxfId="2842" priority="1487" operator="equal">
      <formula>0</formula>
    </cfRule>
  </conditionalFormatting>
  <conditionalFormatting sqref="CW8:CX8">
    <cfRule type="cellIs" dxfId="2841" priority="1486" operator="equal">
      <formula>0</formula>
    </cfRule>
  </conditionalFormatting>
  <conditionalFormatting sqref="CY8">
    <cfRule type="cellIs" dxfId="2840" priority="1485" operator="equal">
      <formula>0</formula>
    </cfRule>
  </conditionalFormatting>
  <conditionalFormatting sqref="CY8">
    <cfRule type="cellIs" dxfId="2839" priority="1484" operator="equal">
      <formula>0</formula>
    </cfRule>
  </conditionalFormatting>
  <conditionalFormatting sqref="CW8:CX8">
    <cfRule type="cellIs" dxfId="2838" priority="1483" operator="equal">
      <formula>0</formula>
    </cfRule>
  </conditionalFormatting>
  <conditionalFormatting sqref="CW8:CX8">
    <cfRule type="cellIs" dxfId="2837" priority="1482" operator="equal">
      <formula>0</formula>
    </cfRule>
  </conditionalFormatting>
  <conditionalFormatting sqref="CY8">
    <cfRule type="cellIs" dxfId="2836" priority="1481" operator="equal">
      <formula>0</formula>
    </cfRule>
  </conditionalFormatting>
  <conditionalFormatting sqref="CY8">
    <cfRule type="cellIs" dxfId="2835" priority="1480" operator="equal">
      <formula>0</formula>
    </cfRule>
  </conditionalFormatting>
  <conditionalFormatting sqref="CW8:CX8">
    <cfRule type="cellIs" dxfId="2834" priority="1479" operator="equal">
      <formula>0</formula>
    </cfRule>
  </conditionalFormatting>
  <conditionalFormatting sqref="CW8:CX8">
    <cfRule type="cellIs" dxfId="2833" priority="1478" operator="equal">
      <formula>0</formula>
    </cfRule>
  </conditionalFormatting>
  <conditionalFormatting sqref="CY8">
    <cfRule type="cellIs" dxfId="2832" priority="1477" operator="equal">
      <formula>0</formula>
    </cfRule>
  </conditionalFormatting>
  <conditionalFormatting sqref="CY8">
    <cfRule type="cellIs" dxfId="2831" priority="1476" operator="equal">
      <formula>0</formula>
    </cfRule>
  </conditionalFormatting>
  <conditionalFormatting sqref="CW8:CX8">
    <cfRule type="cellIs" dxfId="2830" priority="1475" operator="equal">
      <formula>0</formula>
    </cfRule>
  </conditionalFormatting>
  <conditionalFormatting sqref="CW8:CX8">
    <cfRule type="cellIs" dxfId="2829" priority="1474" operator="equal">
      <formula>0</formula>
    </cfRule>
  </conditionalFormatting>
  <conditionalFormatting sqref="CW8:CX8">
    <cfRule type="cellIs" dxfId="2828" priority="1473" operator="equal">
      <formula>0</formula>
    </cfRule>
  </conditionalFormatting>
  <conditionalFormatting sqref="CY8">
    <cfRule type="cellIs" dxfId="2827" priority="1472" operator="equal">
      <formula>0</formula>
    </cfRule>
  </conditionalFormatting>
  <conditionalFormatting sqref="CY8">
    <cfRule type="cellIs" dxfId="2826" priority="1471" operator="equal">
      <formula>0</formula>
    </cfRule>
  </conditionalFormatting>
  <conditionalFormatting sqref="CY8">
    <cfRule type="cellIs" dxfId="2825" priority="1470" operator="equal">
      <formula>0</formula>
    </cfRule>
  </conditionalFormatting>
  <conditionalFormatting sqref="CW8:CX8">
    <cfRule type="cellIs" dxfId="2824" priority="1469" operator="equal">
      <formula>0</formula>
    </cfRule>
  </conditionalFormatting>
  <conditionalFormatting sqref="CW8:CX8">
    <cfRule type="cellIs" dxfId="2823" priority="1468" operator="equal">
      <formula>0</formula>
    </cfRule>
  </conditionalFormatting>
  <conditionalFormatting sqref="CY8">
    <cfRule type="cellIs" dxfId="2822" priority="1467" operator="equal">
      <formula>0</formula>
    </cfRule>
  </conditionalFormatting>
  <conditionalFormatting sqref="CY8">
    <cfRule type="cellIs" dxfId="2821" priority="1466" operator="equal">
      <formula>0</formula>
    </cfRule>
  </conditionalFormatting>
  <conditionalFormatting sqref="CW8:CX8">
    <cfRule type="cellIs" dxfId="2820" priority="1465" operator="equal">
      <formula>0</formula>
    </cfRule>
  </conditionalFormatting>
  <conditionalFormatting sqref="CW8:CX8">
    <cfRule type="cellIs" dxfId="2819" priority="1464" operator="equal">
      <formula>0</formula>
    </cfRule>
  </conditionalFormatting>
  <conditionalFormatting sqref="CY8">
    <cfRule type="cellIs" dxfId="2818" priority="1463" operator="equal">
      <formula>0</formula>
    </cfRule>
  </conditionalFormatting>
  <conditionalFormatting sqref="CY8">
    <cfRule type="cellIs" dxfId="2817" priority="1462" operator="equal">
      <formula>0</formula>
    </cfRule>
  </conditionalFormatting>
  <conditionalFormatting sqref="CW8:CX8">
    <cfRule type="cellIs" dxfId="2816" priority="1461" operator="equal">
      <formula>0</formula>
    </cfRule>
  </conditionalFormatting>
  <conditionalFormatting sqref="CW8:CX8">
    <cfRule type="cellIs" dxfId="2815" priority="1460" operator="equal">
      <formula>0</formula>
    </cfRule>
  </conditionalFormatting>
  <conditionalFormatting sqref="CW8:CX8">
    <cfRule type="cellIs" dxfId="2814" priority="1459" operator="equal">
      <formula>0</formula>
    </cfRule>
  </conditionalFormatting>
  <conditionalFormatting sqref="CY8">
    <cfRule type="cellIs" dxfId="2813" priority="1458" operator="equal">
      <formula>0</formula>
    </cfRule>
  </conditionalFormatting>
  <conditionalFormatting sqref="CY8">
    <cfRule type="cellIs" dxfId="2812" priority="1457" operator="equal">
      <formula>0</formula>
    </cfRule>
  </conditionalFormatting>
  <conditionalFormatting sqref="CY8">
    <cfRule type="cellIs" dxfId="2811" priority="1456" operator="equal">
      <formula>0</formula>
    </cfRule>
  </conditionalFormatting>
  <conditionalFormatting sqref="CW8:CX8">
    <cfRule type="cellIs" dxfId="2810" priority="1455" operator="equal">
      <formula>0</formula>
    </cfRule>
  </conditionalFormatting>
  <conditionalFormatting sqref="CW8:CX8">
    <cfRule type="cellIs" dxfId="2809" priority="1454" operator="equal">
      <formula>0</formula>
    </cfRule>
  </conditionalFormatting>
  <conditionalFormatting sqref="CY8">
    <cfRule type="cellIs" dxfId="2808" priority="1453" operator="equal">
      <formula>0</formula>
    </cfRule>
  </conditionalFormatting>
  <conditionalFormatting sqref="CY8">
    <cfRule type="cellIs" dxfId="2807" priority="1452" operator="equal">
      <formula>0</formula>
    </cfRule>
  </conditionalFormatting>
  <conditionalFormatting sqref="CW8:CX8">
    <cfRule type="cellIs" dxfId="2806" priority="1451" operator="equal">
      <formula>0</formula>
    </cfRule>
  </conditionalFormatting>
  <conditionalFormatting sqref="CW8:CX8">
    <cfRule type="cellIs" dxfId="2805" priority="1450" operator="equal">
      <formula>0</formula>
    </cfRule>
  </conditionalFormatting>
  <conditionalFormatting sqref="CY8">
    <cfRule type="cellIs" dxfId="2804" priority="1449" operator="equal">
      <formula>0</formula>
    </cfRule>
  </conditionalFormatting>
  <conditionalFormatting sqref="CY8">
    <cfRule type="cellIs" dxfId="2803" priority="1448" operator="equal">
      <formula>0</formula>
    </cfRule>
  </conditionalFormatting>
  <conditionalFormatting sqref="CW8:CX8">
    <cfRule type="cellIs" dxfId="2802" priority="1447" operator="equal">
      <formula>0</formula>
    </cfRule>
  </conditionalFormatting>
  <conditionalFormatting sqref="CY8">
    <cfRule type="cellIs" dxfId="2801" priority="1446" operator="equal">
      <formula>0</formula>
    </cfRule>
  </conditionalFormatting>
  <conditionalFormatting sqref="CY8">
    <cfRule type="cellIs" dxfId="2800" priority="1445" operator="equal">
      <formula>0</formula>
    </cfRule>
  </conditionalFormatting>
  <conditionalFormatting sqref="CY8">
    <cfRule type="cellIs" dxfId="2799" priority="1444" operator="equal">
      <formula>0</formula>
    </cfRule>
  </conditionalFormatting>
  <conditionalFormatting sqref="CW8:CX8">
    <cfRule type="cellIs" dxfId="2798" priority="1443" operator="equal">
      <formula>0</formula>
    </cfRule>
  </conditionalFormatting>
  <conditionalFormatting sqref="CY8">
    <cfRule type="cellIs" dxfId="2797" priority="1442" operator="equal">
      <formula>0</formula>
    </cfRule>
  </conditionalFormatting>
  <conditionalFormatting sqref="CW8:CX8">
    <cfRule type="cellIs" dxfId="2796" priority="1441" operator="equal">
      <formula>0</formula>
    </cfRule>
  </conditionalFormatting>
  <conditionalFormatting sqref="CW8:CX8">
    <cfRule type="cellIs" dxfId="2795" priority="1440" operator="equal">
      <formula>0</formula>
    </cfRule>
  </conditionalFormatting>
  <conditionalFormatting sqref="CY8">
    <cfRule type="cellIs" dxfId="2794" priority="1439" operator="equal">
      <formula>0</formula>
    </cfRule>
  </conditionalFormatting>
  <conditionalFormatting sqref="CY8">
    <cfRule type="cellIs" dxfId="2793" priority="1438" operator="equal">
      <formula>0</formula>
    </cfRule>
  </conditionalFormatting>
  <conditionalFormatting sqref="CW8:CX8">
    <cfRule type="cellIs" dxfId="2792" priority="1437" operator="equal">
      <formula>0</formula>
    </cfRule>
  </conditionalFormatting>
  <conditionalFormatting sqref="CW8:CX8">
    <cfRule type="cellIs" dxfId="2791" priority="1436" operator="equal">
      <formula>0</formula>
    </cfRule>
  </conditionalFormatting>
  <conditionalFormatting sqref="CY8">
    <cfRule type="cellIs" dxfId="2790" priority="1435" operator="equal">
      <formula>0</formula>
    </cfRule>
  </conditionalFormatting>
  <conditionalFormatting sqref="CY8">
    <cfRule type="cellIs" dxfId="2789" priority="1434" operator="equal">
      <formula>0</formula>
    </cfRule>
  </conditionalFormatting>
  <conditionalFormatting sqref="CW8:CX8">
    <cfRule type="cellIs" dxfId="2788" priority="1433" operator="equal">
      <formula>0</formula>
    </cfRule>
  </conditionalFormatting>
  <conditionalFormatting sqref="CW8:CX8">
    <cfRule type="cellIs" dxfId="2787" priority="1432" operator="equal">
      <formula>0</formula>
    </cfRule>
  </conditionalFormatting>
  <conditionalFormatting sqref="CW8:CX8">
    <cfRule type="cellIs" dxfId="2786" priority="1431" operator="equal">
      <formula>0</formula>
    </cfRule>
  </conditionalFormatting>
  <conditionalFormatting sqref="CY8">
    <cfRule type="cellIs" dxfId="2785" priority="1430" operator="equal">
      <formula>0</formula>
    </cfRule>
  </conditionalFormatting>
  <conditionalFormatting sqref="CY8">
    <cfRule type="cellIs" dxfId="2784" priority="1429" operator="equal">
      <formula>0</formula>
    </cfRule>
  </conditionalFormatting>
  <conditionalFormatting sqref="CY8">
    <cfRule type="cellIs" dxfId="2783" priority="1428" operator="equal">
      <formula>0</formula>
    </cfRule>
  </conditionalFormatting>
  <conditionalFormatting sqref="CW8:CX8">
    <cfRule type="cellIs" dxfId="2782" priority="1427" operator="equal">
      <formula>0</formula>
    </cfRule>
  </conditionalFormatting>
  <conditionalFormatting sqref="CW8:CX8">
    <cfRule type="cellIs" dxfId="2781" priority="1426" operator="equal">
      <formula>0</formula>
    </cfRule>
  </conditionalFormatting>
  <conditionalFormatting sqref="CY8">
    <cfRule type="cellIs" dxfId="2780" priority="1425" operator="equal">
      <formula>0</formula>
    </cfRule>
  </conditionalFormatting>
  <conditionalFormatting sqref="CY8">
    <cfRule type="cellIs" dxfId="2779" priority="1424" operator="equal">
      <formula>0</formula>
    </cfRule>
  </conditionalFormatting>
  <conditionalFormatting sqref="CW8:CX8">
    <cfRule type="cellIs" dxfId="2778" priority="1423" operator="equal">
      <formula>0</formula>
    </cfRule>
  </conditionalFormatting>
  <conditionalFormatting sqref="CW8:CX8">
    <cfRule type="cellIs" dxfId="2777" priority="1422" operator="equal">
      <formula>0</formula>
    </cfRule>
  </conditionalFormatting>
  <conditionalFormatting sqref="CY8">
    <cfRule type="cellIs" dxfId="2776" priority="1421" operator="equal">
      <formula>0</formula>
    </cfRule>
  </conditionalFormatting>
  <conditionalFormatting sqref="CY8">
    <cfRule type="cellIs" dxfId="2775" priority="1420" operator="equal">
      <formula>0</formula>
    </cfRule>
  </conditionalFormatting>
  <conditionalFormatting sqref="CW8:CX8">
    <cfRule type="cellIs" dxfId="2774" priority="1419" operator="equal">
      <formula>0</formula>
    </cfRule>
  </conditionalFormatting>
  <conditionalFormatting sqref="CY8">
    <cfRule type="cellIs" dxfId="2773" priority="1418" operator="equal">
      <formula>0</formula>
    </cfRule>
  </conditionalFormatting>
  <conditionalFormatting sqref="CW8:CX8">
    <cfRule type="cellIs" dxfId="2772" priority="1417" operator="equal">
      <formula>0</formula>
    </cfRule>
  </conditionalFormatting>
  <conditionalFormatting sqref="CW8:CX8">
    <cfRule type="cellIs" dxfId="2771" priority="1416" operator="equal">
      <formula>0</formula>
    </cfRule>
  </conditionalFormatting>
  <conditionalFormatting sqref="CY8">
    <cfRule type="cellIs" dxfId="2770" priority="1415" operator="equal">
      <formula>0</formula>
    </cfRule>
  </conditionalFormatting>
  <conditionalFormatting sqref="CY8">
    <cfRule type="cellIs" dxfId="2769" priority="1414" operator="equal">
      <formula>0</formula>
    </cfRule>
  </conditionalFormatting>
  <conditionalFormatting sqref="CW8:CX8">
    <cfRule type="cellIs" dxfId="2768" priority="1413" operator="equal">
      <formula>0</formula>
    </cfRule>
  </conditionalFormatting>
  <conditionalFormatting sqref="CW8:CX8">
    <cfRule type="cellIs" dxfId="2767" priority="1412" operator="equal">
      <formula>0</formula>
    </cfRule>
  </conditionalFormatting>
  <conditionalFormatting sqref="CY8">
    <cfRule type="cellIs" dxfId="2766" priority="1411" operator="equal">
      <formula>0</formula>
    </cfRule>
  </conditionalFormatting>
  <conditionalFormatting sqref="CY8">
    <cfRule type="cellIs" dxfId="2765" priority="1410" operator="equal">
      <formula>0</formula>
    </cfRule>
  </conditionalFormatting>
  <conditionalFormatting sqref="CW8:CX8">
    <cfRule type="cellIs" dxfId="2764" priority="1409" operator="equal">
      <formula>0</formula>
    </cfRule>
  </conditionalFormatting>
  <conditionalFormatting sqref="CY8">
    <cfRule type="cellIs" dxfId="2763" priority="1408" operator="equal">
      <formula>0</formula>
    </cfRule>
  </conditionalFormatting>
  <conditionalFormatting sqref="CW8:CX8">
    <cfRule type="cellIs" dxfId="2762" priority="1407" operator="equal">
      <formula>0</formula>
    </cfRule>
  </conditionalFormatting>
  <conditionalFormatting sqref="CW8:CX8">
    <cfRule type="cellIs" dxfId="2761" priority="1406" operator="equal">
      <formula>0</formula>
    </cfRule>
  </conditionalFormatting>
  <conditionalFormatting sqref="CY8">
    <cfRule type="cellIs" dxfId="2760" priority="1405" operator="equal">
      <formula>0</formula>
    </cfRule>
  </conditionalFormatting>
  <conditionalFormatting sqref="CY8">
    <cfRule type="cellIs" dxfId="2759" priority="1404" operator="equal">
      <formula>0</formula>
    </cfRule>
  </conditionalFormatting>
  <conditionalFormatting sqref="CY8">
    <cfRule type="cellIs" dxfId="2758" priority="1403" operator="equal">
      <formula>0</formula>
    </cfRule>
  </conditionalFormatting>
  <conditionalFormatting sqref="CW8:CX8">
    <cfRule type="cellIs" dxfId="2757" priority="1402" operator="equal">
      <formula>0</formula>
    </cfRule>
  </conditionalFormatting>
  <conditionalFormatting sqref="CW8:CX8">
    <cfRule type="cellIs" dxfId="2756" priority="1401" operator="equal">
      <formula>0</formula>
    </cfRule>
  </conditionalFormatting>
  <conditionalFormatting sqref="CY8">
    <cfRule type="cellIs" dxfId="2755" priority="1400" operator="equal">
      <formula>0</formula>
    </cfRule>
  </conditionalFormatting>
  <conditionalFormatting sqref="CY8">
    <cfRule type="cellIs" dxfId="2754" priority="1399" operator="equal">
      <formula>0</formula>
    </cfRule>
  </conditionalFormatting>
  <conditionalFormatting sqref="CW8:CX8">
    <cfRule type="cellIs" dxfId="2753" priority="1398" operator="equal">
      <formula>0</formula>
    </cfRule>
  </conditionalFormatting>
  <conditionalFormatting sqref="CW8:CX8">
    <cfRule type="cellIs" dxfId="2752" priority="1397" operator="equal">
      <formula>0</formula>
    </cfRule>
  </conditionalFormatting>
  <conditionalFormatting sqref="CY8">
    <cfRule type="cellIs" dxfId="2751" priority="1396" operator="equal">
      <formula>0</formula>
    </cfRule>
  </conditionalFormatting>
  <conditionalFormatting sqref="CY8">
    <cfRule type="cellIs" dxfId="2750" priority="1395" operator="equal">
      <formula>0</formula>
    </cfRule>
  </conditionalFormatting>
  <conditionalFormatting sqref="CW8:CX8">
    <cfRule type="cellIs" dxfId="2749" priority="1394" operator="equal">
      <formula>0</formula>
    </cfRule>
  </conditionalFormatting>
  <conditionalFormatting sqref="CW8:CX8">
    <cfRule type="cellIs" dxfId="2748" priority="1393" operator="equal">
      <formula>0</formula>
    </cfRule>
  </conditionalFormatting>
  <conditionalFormatting sqref="CW8:CX8">
    <cfRule type="cellIs" dxfId="2747" priority="1392" operator="equal">
      <formula>0</formula>
    </cfRule>
  </conditionalFormatting>
  <conditionalFormatting sqref="CY8">
    <cfRule type="cellIs" dxfId="2746" priority="1391" operator="equal">
      <formula>0</formula>
    </cfRule>
  </conditionalFormatting>
  <conditionalFormatting sqref="CY8">
    <cfRule type="cellIs" dxfId="2745" priority="1390" operator="equal">
      <formula>0</formula>
    </cfRule>
  </conditionalFormatting>
  <conditionalFormatting sqref="CY8">
    <cfRule type="cellIs" dxfId="2744" priority="1389" operator="equal">
      <formula>0</formula>
    </cfRule>
  </conditionalFormatting>
  <conditionalFormatting sqref="CW8:CX8">
    <cfRule type="cellIs" dxfId="2743" priority="1388" operator="equal">
      <formula>0</formula>
    </cfRule>
  </conditionalFormatting>
  <conditionalFormatting sqref="CW8:CX8">
    <cfRule type="cellIs" dxfId="2742" priority="1387" operator="equal">
      <formula>0</formula>
    </cfRule>
  </conditionalFormatting>
  <conditionalFormatting sqref="CY8">
    <cfRule type="cellIs" dxfId="2741" priority="1386" operator="equal">
      <formula>0</formula>
    </cfRule>
  </conditionalFormatting>
  <conditionalFormatting sqref="CY8">
    <cfRule type="cellIs" dxfId="2740" priority="1385" operator="equal">
      <formula>0</formula>
    </cfRule>
  </conditionalFormatting>
  <conditionalFormatting sqref="CW8:CX8">
    <cfRule type="cellIs" dxfId="2739" priority="1384" operator="equal">
      <formula>0</formula>
    </cfRule>
  </conditionalFormatting>
  <conditionalFormatting sqref="CW8:CX8">
    <cfRule type="cellIs" dxfId="2738" priority="1383" operator="equal">
      <formula>0</formula>
    </cfRule>
  </conditionalFormatting>
  <conditionalFormatting sqref="CY8">
    <cfRule type="cellIs" dxfId="2737" priority="1382" operator="equal">
      <formula>0</formula>
    </cfRule>
  </conditionalFormatting>
  <conditionalFormatting sqref="CY8">
    <cfRule type="cellIs" dxfId="2736" priority="1381" operator="equal">
      <formula>0</formula>
    </cfRule>
  </conditionalFormatting>
  <conditionalFormatting sqref="CW8:CX8">
    <cfRule type="cellIs" dxfId="2735" priority="1380" operator="equal">
      <formula>0</formula>
    </cfRule>
  </conditionalFormatting>
  <conditionalFormatting sqref="CW8:CX8">
    <cfRule type="cellIs" dxfId="2734" priority="1379" operator="equal">
      <formula>0</formula>
    </cfRule>
  </conditionalFormatting>
  <conditionalFormatting sqref="CW8:CX8">
    <cfRule type="cellIs" dxfId="2733" priority="1378" operator="equal">
      <formula>0</formula>
    </cfRule>
  </conditionalFormatting>
  <conditionalFormatting sqref="CY8">
    <cfRule type="cellIs" dxfId="2732" priority="1377" operator="equal">
      <formula>0</formula>
    </cfRule>
  </conditionalFormatting>
  <conditionalFormatting sqref="CY8">
    <cfRule type="cellIs" dxfId="2731" priority="1376" operator="equal">
      <formula>0</formula>
    </cfRule>
  </conditionalFormatting>
  <conditionalFormatting sqref="CY8">
    <cfRule type="cellIs" dxfId="2730" priority="1375" operator="equal">
      <formula>0</formula>
    </cfRule>
  </conditionalFormatting>
  <conditionalFormatting sqref="CW8:CX8">
    <cfRule type="cellIs" dxfId="2729" priority="1374" operator="equal">
      <formula>0</formula>
    </cfRule>
  </conditionalFormatting>
  <conditionalFormatting sqref="CW8:CX8">
    <cfRule type="cellIs" dxfId="2728" priority="1373" operator="equal">
      <formula>0</formula>
    </cfRule>
  </conditionalFormatting>
  <conditionalFormatting sqref="CY8">
    <cfRule type="cellIs" dxfId="2727" priority="1372" operator="equal">
      <formula>0</formula>
    </cfRule>
  </conditionalFormatting>
  <conditionalFormatting sqref="CY8">
    <cfRule type="cellIs" dxfId="2726" priority="1371" operator="equal">
      <formula>0</formula>
    </cfRule>
  </conditionalFormatting>
  <conditionalFormatting sqref="CW8:CX8">
    <cfRule type="cellIs" dxfId="2725" priority="1370" operator="equal">
      <formula>0</formula>
    </cfRule>
  </conditionalFormatting>
  <conditionalFormatting sqref="CW8:CX8">
    <cfRule type="cellIs" dxfId="2724" priority="1369" operator="equal">
      <formula>0</formula>
    </cfRule>
  </conditionalFormatting>
  <conditionalFormatting sqref="CY8">
    <cfRule type="cellIs" dxfId="2723" priority="1368" operator="equal">
      <formula>0</formula>
    </cfRule>
  </conditionalFormatting>
  <conditionalFormatting sqref="CY8">
    <cfRule type="cellIs" dxfId="2722" priority="1367" operator="equal">
      <formula>0</formula>
    </cfRule>
  </conditionalFormatting>
  <conditionalFormatting sqref="CW8:CX8">
    <cfRule type="cellIs" dxfId="2721" priority="1366" operator="equal">
      <formula>0</formula>
    </cfRule>
  </conditionalFormatting>
  <conditionalFormatting sqref="CY8">
    <cfRule type="cellIs" dxfId="2720" priority="1365" operator="equal">
      <formula>0</formula>
    </cfRule>
  </conditionalFormatting>
  <conditionalFormatting sqref="CW8:CX8">
    <cfRule type="cellIs" dxfId="2719" priority="1364" operator="equal">
      <formula>0</formula>
    </cfRule>
  </conditionalFormatting>
  <conditionalFormatting sqref="CY8">
    <cfRule type="cellIs" dxfId="2718" priority="1363" operator="equal">
      <formula>0</formula>
    </cfRule>
  </conditionalFormatting>
  <conditionalFormatting sqref="CW8:CX8">
    <cfRule type="cellIs" dxfId="2717" priority="1362" operator="equal">
      <formula>0</formula>
    </cfRule>
  </conditionalFormatting>
  <conditionalFormatting sqref="CW8:CX8">
    <cfRule type="cellIs" dxfId="2716" priority="1361" operator="equal">
      <formula>0</formula>
    </cfRule>
  </conditionalFormatting>
  <conditionalFormatting sqref="CW8:CX8">
    <cfRule type="cellIs" dxfId="2715" priority="1360" operator="equal">
      <formula>0</formula>
    </cfRule>
  </conditionalFormatting>
  <conditionalFormatting sqref="CY8">
    <cfRule type="cellIs" dxfId="2714" priority="1359" operator="equal">
      <formula>0</formula>
    </cfRule>
  </conditionalFormatting>
  <conditionalFormatting sqref="CY8">
    <cfRule type="cellIs" dxfId="2713" priority="1358" operator="equal">
      <formula>0</formula>
    </cfRule>
  </conditionalFormatting>
  <conditionalFormatting sqref="CY8">
    <cfRule type="cellIs" dxfId="2712" priority="1357" operator="equal">
      <formula>0</formula>
    </cfRule>
  </conditionalFormatting>
  <conditionalFormatting sqref="CW8:CX8">
    <cfRule type="cellIs" dxfId="2711" priority="1356" operator="equal">
      <formula>0</formula>
    </cfRule>
  </conditionalFormatting>
  <conditionalFormatting sqref="CW8:CX8">
    <cfRule type="cellIs" dxfId="2710" priority="1355" operator="equal">
      <formula>0</formula>
    </cfRule>
  </conditionalFormatting>
  <conditionalFormatting sqref="CW8:CX8">
    <cfRule type="cellIs" dxfId="2709" priority="1354" operator="equal">
      <formula>0</formula>
    </cfRule>
  </conditionalFormatting>
  <conditionalFormatting sqref="CY8">
    <cfRule type="cellIs" dxfId="2708" priority="1353" operator="equal">
      <formula>0</formula>
    </cfRule>
  </conditionalFormatting>
  <conditionalFormatting sqref="CY8">
    <cfRule type="cellIs" dxfId="2707" priority="1352" operator="equal">
      <formula>0</formula>
    </cfRule>
  </conditionalFormatting>
  <conditionalFormatting sqref="CY8">
    <cfRule type="cellIs" dxfId="2706" priority="1351" operator="equal">
      <formula>0</formula>
    </cfRule>
  </conditionalFormatting>
  <conditionalFormatting sqref="CW8:CX8">
    <cfRule type="cellIs" dxfId="2705" priority="1350" operator="equal">
      <formula>0</formula>
    </cfRule>
  </conditionalFormatting>
  <conditionalFormatting sqref="CW8:CX8">
    <cfRule type="cellIs" dxfId="2704" priority="1349" operator="equal">
      <formula>0</formula>
    </cfRule>
  </conditionalFormatting>
  <conditionalFormatting sqref="CY8">
    <cfRule type="cellIs" dxfId="2703" priority="1348" operator="equal">
      <formula>0</formula>
    </cfRule>
  </conditionalFormatting>
  <conditionalFormatting sqref="CY8">
    <cfRule type="cellIs" dxfId="2702" priority="1347" operator="equal">
      <formula>0</formula>
    </cfRule>
  </conditionalFormatting>
  <conditionalFormatting sqref="CW8:CX8">
    <cfRule type="cellIs" dxfId="2701" priority="1346" operator="equal">
      <formula>0</formula>
    </cfRule>
  </conditionalFormatting>
  <conditionalFormatting sqref="CW8:CX8">
    <cfRule type="cellIs" dxfId="2700" priority="1345" operator="equal">
      <formula>0</formula>
    </cfRule>
  </conditionalFormatting>
  <conditionalFormatting sqref="CY8">
    <cfRule type="cellIs" dxfId="2699" priority="1344" operator="equal">
      <formula>0</formula>
    </cfRule>
  </conditionalFormatting>
  <conditionalFormatting sqref="CY8">
    <cfRule type="cellIs" dxfId="2698" priority="1343" operator="equal">
      <formula>0</formula>
    </cfRule>
  </conditionalFormatting>
  <conditionalFormatting sqref="CW8:CX8">
    <cfRule type="cellIs" dxfId="2697" priority="1342" operator="equal">
      <formula>0</formula>
    </cfRule>
  </conditionalFormatting>
  <conditionalFormatting sqref="CW8:CX8">
    <cfRule type="cellIs" dxfId="2696" priority="1341" operator="equal">
      <formula>0</formula>
    </cfRule>
  </conditionalFormatting>
  <conditionalFormatting sqref="CW8:CX8">
    <cfRule type="cellIs" dxfId="2695" priority="1340" operator="equal">
      <formula>0</formula>
    </cfRule>
  </conditionalFormatting>
  <conditionalFormatting sqref="CY8">
    <cfRule type="cellIs" dxfId="2694" priority="1339" operator="equal">
      <formula>0</formula>
    </cfRule>
  </conditionalFormatting>
  <conditionalFormatting sqref="CY8">
    <cfRule type="cellIs" dxfId="2693" priority="1338" operator="equal">
      <formula>0</formula>
    </cfRule>
  </conditionalFormatting>
  <conditionalFormatting sqref="CY8">
    <cfRule type="cellIs" dxfId="2692" priority="1337" operator="equal">
      <formula>0</formula>
    </cfRule>
  </conditionalFormatting>
  <conditionalFormatting sqref="CW8:CX8">
    <cfRule type="cellIs" dxfId="2691" priority="1336" operator="equal">
      <formula>0</formula>
    </cfRule>
  </conditionalFormatting>
  <conditionalFormatting sqref="CW8:CX8">
    <cfRule type="cellIs" dxfId="2690" priority="1335" operator="equal">
      <formula>0</formula>
    </cfRule>
  </conditionalFormatting>
  <conditionalFormatting sqref="CY8">
    <cfRule type="cellIs" dxfId="2689" priority="1334" operator="equal">
      <formula>0</formula>
    </cfRule>
  </conditionalFormatting>
  <conditionalFormatting sqref="CY8">
    <cfRule type="cellIs" dxfId="2688" priority="1333" operator="equal">
      <formula>0</formula>
    </cfRule>
  </conditionalFormatting>
  <conditionalFormatting sqref="CW8:CX8">
    <cfRule type="cellIs" dxfId="2687" priority="1332" operator="equal">
      <formula>0</formula>
    </cfRule>
  </conditionalFormatting>
  <conditionalFormatting sqref="CW8:CX8">
    <cfRule type="cellIs" dxfId="2686" priority="1331" operator="equal">
      <formula>0</formula>
    </cfRule>
  </conditionalFormatting>
  <conditionalFormatting sqref="CY8">
    <cfRule type="cellIs" dxfId="2685" priority="1330" operator="equal">
      <formula>0</formula>
    </cfRule>
  </conditionalFormatting>
  <conditionalFormatting sqref="CY8">
    <cfRule type="cellIs" dxfId="2684" priority="1329" operator="equal">
      <formula>0</formula>
    </cfRule>
  </conditionalFormatting>
  <conditionalFormatting sqref="DV8">
    <cfRule type="cellIs" dxfId="2683" priority="1328" operator="equal">
      <formula>0</formula>
    </cfRule>
  </conditionalFormatting>
  <conditionalFormatting sqref="CW8:CX8">
    <cfRule type="cellIs" dxfId="2682" priority="1327" operator="equal">
      <formula>0</formula>
    </cfRule>
  </conditionalFormatting>
  <conditionalFormatting sqref="CY8">
    <cfRule type="cellIs" dxfId="2681" priority="1326" operator="equal">
      <formula>0</formula>
    </cfRule>
  </conditionalFormatting>
  <conditionalFormatting sqref="CY8">
    <cfRule type="cellIs" dxfId="2680" priority="1325" operator="equal">
      <formula>0</formula>
    </cfRule>
  </conditionalFormatting>
  <conditionalFormatting sqref="CY8">
    <cfRule type="cellIs" dxfId="2679" priority="1324" operator="equal">
      <formula>0</formula>
    </cfRule>
  </conditionalFormatting>
  <conditionalFormatting sqref="CW8:CX8">
    <cfRule type="cellIs" dxfId="2678" priority="1323" operator="equal">
      <formula>0</formula>
    </cfRule>
  </conditionalFormatting>
  <conditionalFormatting sqref="CY8">
    <cfRule type="cellIs" dxfId="2677" priority="1322" operator="equal">
      <formula>0</formula>
    </cfRule>
  </conditionalFormatting>
  <conditionalFormatting sqref="CW8:CX8">
    <cfRule type="cellIs" dxfId="2676" priority="1321" operator="equal">
      <formula>0</formula>
    </cfRule>
  </conditionalFormatting>
  <conditionalFormatting sqref="CW8:CX8">
    <cfRule type="cellIs" dxfId="2675" priority="1320" operator="equal">
      <formula>0</formula>
    </cfRule>
  </conditionalFormatting>
  <conditionalFormatting sqref="CY8">
    <cfRule type="cellIs" dxfId="2674" priority="1319" operator="equal">
      <formula>0</formula>
    </cfRule>
  </conditionalFormatting>
  <conditionalFormatting sqref="CY8">
    <cfRule type="cellIs" dxfId="2673" priority="1318" operator="equal">
      <formula>0</formula>
    </cfRule>
  </conditionalFormatting>
  <conditionalFormatting sqref="CW8:CX8">
    <cfRule type="cellIs" dxfId="2672" priority="1317" operator="equal">
      <formula>0</formula>
    </cfRule>
  </conditionalFormatting>
  <conditionalFormatting sqref="CW8:CX8">
    <cfRule type="cellIs" dxfId="2671" priority="1316" operator="equal">
      <formula>0</formula>
    </cfRule>
  </conditionalFormatting>
  <conditionalFormatting sqref="CW8:CX8">
    <cfRule type="cellIs" dxfId="2670" priority="1315" operator="equal">
      <formula>0</formula>
    </cfRule>
  </conditionalFormatting>
  <conditionalFormatting sqref="CY8">
    <cfRule type="cellIs" dxfId="2669" priority="1314" operator="equal">
      <formula>0</formula>
    </cfRule>
  </conditionalFormatting>
  <conditionalFormatting sqref="CY8">
    <cfRule type="cellIs" dxfId="2668" priority="1313" operator="equal">
      <formula>0</formula>
    </cfRule>
  </conditionalFormatting>
  <conditionalFormatting sqref="CY8">
    <cfRule type="cellIs" dxfId="2667" priority="1312" operator="equal">
      <formula>0</formula>
    </cfRule>
  </conditionalFormatting>
  <conditionalFormatting sqref="CW8:CX8">
    <cfRule type="cellIs" dxfId="2666" priority="1311" operator="equal">
      <formula>0</formula>
    </cfRule>
  </conditionalFormatting>
  <conditionalFormatting sqref="CW8:CX8">
    <cfRule type="cellIs" dxfId="2665" priority="1310" operator="equal">
      <formula>0</formula>
    </cfRule>
  </conditionalFormatting>
  <conditionalFormatting sqref="CW8:CX8">
    <cfRule type="cellIs" dxfId="2664" priority="1309" operator="equal">
      <formula>0</formula>
    </cfRule>
  </conditionalFormatting>
  <conditionalFormatting sqref="CY8">
    <cfRule type="cellIs" dxfId="2663" priority="1308" operator="equal">
      <formula>0</formula>
    </cfRule>
  </conditionalFormatting>
  <conditionalFormatting sqref="CY8">
    <cfRule type="cellIs" dxfId="2662" priority="1307" operator="equal">
      <formula>0</formula>
    </cfRule>
  </conditionalFormatting>
  <conditionalFormatting sqref="CY8">
    <cfRule type="cellIs" dxfId="2661" priority="1306" operator="equal">
      <formula>0</formula>
    </cfRule>
  </conditionalFormatting>
  <conditionalFormatting sqref="CW8:CX8">
    <cfRule type="cellIs" dxfId="2660" priority="1305" operator="equal">
      <formula>0</formula>
    </cfRule>
  </conditionalFormatting>
  <conditionalFormatting sqref="CY8">
    <cfRule type="cellIs" dxfId="2659" priority="1304" operator="equal">
      <formula>0</formula>
    </cfRule>
  </conditionalFormatting>
  <conditionalFormatting sqref="CW8:CX8">
    <cfRule type="cellIs" dxfId="2658" priority="1303" operator="equal">
      <formula>0</formula>
    </cfRule>
  </conditionalFormatting>
  <conditionalFormatting sqref="CY8">
    <cfRule type="cellIs" dxfId="2657" priority="1302" operator="equal">
      <formula>0</formula>
    </cfRule>
  </conditionalFormatting>
  <conditionalFormatting sqref="CW8:CX8">
    <cfRule type="cellIs" dxfId="2656" priority="1301" operator="equal">
      <formula>0</formula>
    </cfRule>
  </conditionalFormatting>
  <conditionalFormatting sqref="CW8:CX8">
    <cfRule type="cellIs" dxfId="2655" priority="1300" operator="equal">
      <formula>0</formula>
    </cfRule>
  </conditionalFormatting>
  <conditionalFormatting sqref="CW8:CX8">
    <cfRule type="cellIs" dxfId="2654" priority="1299" operator="equal">
      <formula>0</formula>
    </cfRule>
  </conditionalFormatting>
  <conditionalFormatting sqref="CY8">
    <cfRule type="cellIs" dxfId="2653" priority="1298" operator="equal">
      <formula>0</formula>
    </cfRule>
  </conditionalFormatting>
  <conditionalFormatting sqref="CY8">
    <cfRule type="cellIs" dxfId="2652" priority="1297" operator="equal">
      <formula>0</formula>
    </cfRule>
  </conditionalFormatting>
  <conditionalFormatting sqref="CY8">
    <cfRule type="cellIs" dxfId="2651" priority="1296" operator="equal">
      <formula>0</formula>
    </cfRule>
  </conditionalFormatting>
  <conditionalFormatting sqref="CW8:CX8">
    <cfRule type="cellIs" dxfId="2650" priority="1295" operator="equal">
      <formula>0</formula>
    </cfRule>
  </conditionalFormatting>
  <conditionalFormatting sqref="CW8:CX8">
    <cfRule type="cellIs" dxfId="2649" priority="1294" operator="equal">
      <formula>0</formula>
    </cfRule>
  </conditionalFormatting>
  <conditionalFormatting sqref="CW8:CX8">
    <cfRule type="cellIs" dxfId="2648" priority="1293" operator="equal">
      <formula>0</formula>
    </cfRule>
  </conditionalFormatting>
  <conditionalFormatting sqref="CY8">
    <cfRule type="cellIs" dxfId="2647" priority="1292" operator="equal">
      <formula>0</formula>
    </cfRule>
  </conditionalFormatting>
  <conditionalFormatting sqref="CY8">
    <cfRule type="cellIs" dxfId="2646" priority="1291" operator="equal">
      <formula>0</formula>
    </cfRule>
  </conditionalFormatting>
  <conditionalFormatting sqref="CY8">
    <cfRule type="cellIs" dxfId="2645" priority="1290" operator="equal">
      <formula>0</formula>
    </cfRule>
  </conditionalFormatting>
  <conditionalFormatting sqref="CW8:CX8">
    <cfRule type="cellIs" dxfId="2644" priority="1289" operator="equal">
      <formula>0</formula>
    </cfRule>
  </conditionalFormatting>
  <conditionalFormatting sqref="CY8">
    <cfRule type="cellIs" dxfId="2643" priority="1288" operator="equal">
      <formula>0</formula>
    </cfRule>
  </conditionalFormatting>
  <conditionalFormatting sqref="CW8:CX8">
    <cfRule type="cellIs" dxfId="2642" priority="1287" operator="equal">
      <formula>0</formula>
    </cfRule>
  </conditionalFormatting>
  <conditionalFormatting sqref="CY8">
    <cfRule type="cellIs" dxfId="2641" priority="1286" operator="equal">
      <formula>0</formula>
    </cfRule>
  </conditionalFormatting>
  <conditionalFormatting sqref="CW8:CX8">
    <cfRule type="cellIs" dxfId="2640" priority="1285" operator="equal">
      <formula>0</formula>
    </cfRule>
  </conditionalFormatting>
  <conditionalFormatting sqref="CW8:CX8">
    <cfRule type="cellIs" dxfId="2639" priority="1284" operator="equal">
      <formula>0</formula>
    </cfRule>
  </conditionalFormatting>
  <conditionalFormatting sqref="CY8">
    <cfRule type="cellIs" dxfId="2638" priority="1283" operator="equal">
      <formula>0</formula>
    </cfRule>
  </conditionalFormatting>
  <conditionalFormatting sqref="CY8">
    <cfRule type="cellIs" dxfId="2637" priority="1282" operator="equal">
      <formula>0</formula>
    </cfRule>
  </conditionalFormatting>
  <conditionalFormatting sqref="CW8:CX8">
    <cfRule type="cellIs" dxfId="2636" priority="1281" operator="equal">
      <formula>0</formula>
    </cfRule>
  </conditionalFormatting>
  <conditionalFormatting sqref="CW8:CX8">
    <cfRule type="cellIs" dxfId="2635" priority="1280" operator="equal">
      <formula>0</formula>
    </cfRule>
  </conditionalFormatting>
  <conditionalFormatting sqref="CY8">
    <cfRule type="cellIs" dxfId="2634" priority="1279" operator="equal">
      <formula>0</formula>
    </cfRule>
  </conditionalFormatting>
  <conditionalFormatting sqref="CY8">
    <cfRule type="cellIs" dxfId="2633" priority="1278" operator="equal">
      <formula>0</formula>
    </cfRule>
  </conditionalFormatting>
  <conditionalFormatting sqref="DV8">
    <cfRule type="cellIs" dxfId="2632" priority="1277" operator="equal">
      <formula>0</formula>
    </cfRule>
  </conditionalFormatting>
  <conditionalFormatting sqref="CW8:CX8">
    <cfRule type="cellIs" dxfId="2631" priority="1276" operator="equal">
      <formula>0</formula>
    </cfRule>
  </conditionalFormatting>
  <conditionalFormatting sqref="CY8">
    <cfRule type="cellIs" dxfId="2630" priority="1275" operator="equal">
      <formula>0</formula>
    </cfRule>
  </conditionalFormatting>
  <conditionalFormatting sqref="CY8">
    <cfRule type="cellIs" dxfId="2629" priority="1274" operator="equal">
      <formula>0</formula>
    </cfRule>
  </conditionalFormatting>
  <conditionalFormatting sqref="CW8:CX8">
    <cfRule type="cellIs" dxfId="2628" priority="1273" operator="equal">
      <formula>0</formula>
    </cfRule>
  </conditionalFormatting>
  <conditionalFormatting sqref="CW8:CX8">
    <cfRule type="cellIs" dxfId="2627" priority="1272" operator="equal">
      <formula>0</formula>
    </cfRule>
  </conditionalFormatting>
  <conditionalFormatting sqref="CY8">
    <cfRule type="cellIs" dxfId="2626" priority="1271" operator="equal">
      <formula>0</formula>
    </cfRule>
  </conditionalFormatting>
  <conditionalFormatting sqref="CY8">
    <cfRule type="cellIs" dxfId="2625" priority="1270" operator="equal">
      <formula>0</formula>
    </cfRule>
  </conditionalFormatting>
  <conditionalFormatting sqref="CW8:CX8">
    <cfRule type="cellIs" dxfId="2624" priority="1269" operator="equal">
      <formula>0</formula>
    </cfRule>
  </conditionalFormatting>
  <conditionalFormatting sqref="CW8:CX8">
    <cfRule type="cellIs" dxfId="2623" priority="1268" operator="equal">
      <formula>0</formula>
    </cfRule>
  </conditionalFormatting>
  <conditionalFormatting sqref="CY8">
    <cfRule type="cellIs" dxfId="2622" priority="1267" operator="equal">
      <formula>0</formula>
    </cfRule>
  </conditionalFormatting>
  <conditionalFormatting sqref="CY8">
    <cfRule type="cellIs" dxfId="2621" priority="1266" operator="equal">
      <formula>0</formula>
    </cfRule>
  </conditionalFormatting>
  <conditionalFormatting sqref="CW8:CX8">
    <cfRule type="cellIs" dxfId="2620" priority="1265" operator="equal">
      <formula>0</formula>
    </cfRule>
  </conditionalFormatting>
  <conditionalFormatting sqref="CW8:CX8">
    <cfRule type="cellIs" dxfId="2619" priority="1264" operator="equal">
      <formula>0</formula>
    </cfRule>
  </conditionalFormatting>
  <conditionalFormatting sqref="CW8:CX8">
    <cfRule type="cellIs" dxfId="2618" priority="1263" operator="equal">
      <formula>0</formula>
    </cfRule>
  </conditionalFormatting>
  <conditionalFormatting sqref="CY8">
    <cfRule type="cellIs" dxfId="2617" priority="1262" operator="equal">
      <formula>0</formula>
    </cfRule>
  </conditionalFormatting>
  <conditionalFormatting sqref="CY8">
    <cfRule type="cellIs" dxfId="2616" priority="1261" operator="equal">
      <formula>0</formula>
    </cfRule>
  </conditionalFormatting>
  <conditionalFormatting sqref="CY8">
    <cfRule type="cellIs" dxfId="2615" priority="1260" operator="equal">
      <formula>0</formula>
    </cfRule>
  </conditionalFormatting>
  <conditionalFormatting sqref="CW8:CX8">
    <cfRule type="cellIs" dxfId="2614" priority="1259" operator="equal">
      <formula>0</formula>
    </cfRule>
  </conditionalFormatting>
  <conditionalFormatting sqref="CY8">
    <cfRule type="cellIs" dxfId="2613" priority="1258" operator="equal">
      <formula>0</formula>
    </cfRule>
  </conditionalFormatting>
  <conditionalFormatting sqref="CW8:CX8">
    <cfRule type="cellIs" dxfId="2612" priority="1257" operator="equal">
      <formula>0</formula>
    </cfRule>
  </conditionalFormatting>
  <conditionalFormatting sqref="CW8:CX8">
    <cfRule type="cellIs" dxfId="2611" priority="1256" operator="equal">
      <formula>0</formula>
    </cfRule>
  </conditionalFormatting>
  <conditionalFormatting sqref="CY8">
    <cfRule type="cellIs" dxfId="2610" priority="1255" operator="equal">
      <formula>0</formula>
    </cfRule>
  </conditionalFormatting>
  <conditionalFormatting sqref="CY8">
    <cfRule type="cellIs" dxfId="2609" priority="1254" operator="equal">
      <formula>0</formula>
    </cfRule>
  </conditionalFormatting>
  <conditionalFormatting sqref="CW8:CX8">
    <cfRule type="cellIs" dxfId="2608" priority="1253" operator="equal">
      <formula>0</formula>
    </cfRule>
  </conditionalFormatting>
  <conditionalFormatting sqref="CW8:CX8">
    <cfRule type="cellIs" dxfId="2607" priority="1252" operator="equal">
      <formula>0</formula>
    </cfRule>
  </conditionalFormatting>
  <conditionalFormatting sqref="CY8">
    <cfRule type="cellIs" dxfId="2606" priority="1251" operator="equal">
      <formula>0</formula>
    </cfRule>
  </conditionalFormatting>
  <conditionalFormatting sqref="CY8">
    <cfRule type="cellIs" dxfId="2605" priority="1250" operator="equal">
      <formula>0</formula>
    </cfRule>
  </conditionalFormatting>
  <conditionalFormatting sqref="CW8:CX8">
    <cfRule type="cellIs" dxfId="2604" priority="1249" operator="equal">
      <formula>0</formula>
    </cfRule>
  </conditionalFormatting>
  <conditionalFormatting sqref="CW8:CX8">
    <cfRule type="cellIs" dxfId="2603" priority="1248" operator="equal">
      <formula>0</formula>
    </cfRule>
  </conditionalFormatting>
  <conditionalFormatting sqref="CW8:CX8">
    <cfRule type="cellIs" dxfId="2602" priority="1247" operator="equal">
      <formula>0</formula>
    </cfRule>
  </conditionalFormatting>
  <conditionalFormatting sqref="CY8">
    <cfRule type="cellIs" dxfId="2601" priority="1246" operator="equal">
      <formula>0</formula>
    </cfRule>
  </conditionalFormatting>
  <conditionalFormatting sqref="CY8">
    <cfRule type="cellIs" dxfId="2600" priority="1245" operator="equal">
      <formula>0</formula>
    </cfRule>
  </conditionalFormatting>
  <conditionalFormatting sqref="CY8">
    <cfRule type="cellIs" dxfId="2599" priority="1244" operator="equal">
      <formula>0</formula>
    </cfRule>
  </conditionalFormatting>
  <conditionalFormatting sqref="CW8:CX8">
    <cfRule type="cellIs" dxfId="2598" priority="1243" operator="equal">
      <formula>0</formula>
    </cfRule>
  </conditionalFormatting>
  <conditionalFormatting sqref="CW8:CX8">
    <cfRule type="cellIs" dxfId="2597" priority="1242" operator="equal">
      <formula>0</formula>
    </cfRule>
  </conditionalFormatting>
  <conditionalFormatting sqref="CY8">
    <cfRule type="cellIs" dxfId="2596" priority="1241" operator="equal">
      <formula>0</formula>
    </cfRule>
  </conditionalFormatting>
  <conditionalFormatting sqref="CY8">
    <cfRule type="cellIs" dxfId="2595" priority="1240" operator="equal">
      <formula>0</formula>
    </cfRule>
  </conditionalFormatting>
  <conditionalFormatting sqref="CW8:CX8">
    <cfRule type="cellIs" dxfId="2594" priority="1239" operator="equal">
      <formula>0</formula>
    </cfRule>
  </conditionalFormatting>
  <conditionalFormatting sqref="CW8:CX8">
    <cfRule type="cellIs" dxfId="2593" priority="1238" operator="equal">
      <formula>0</formula>
    </cfRule>
  </conditionalFormatting>
  <conditionalFormatting sqref="CY8">
    <cfRule type="cellIs" dxfId="2592" priority="1237" operator="equal">
      <formula>0</formula>
    </cfRule>
  </conditionalFormatting>
  <conditionalFormatting sqref="CY8">
    <cfRule type="cellIs" dxfId="2591" priority="1236" operator="equal">
      <formula>0</formula>
    </cfRule>
  </conditionalFormatting>
  <conditionalFormatting sqref="CW8:CX8">
    <cfRule type="cellIs" dxfId="2590" priority="1235" operator="equal">
      <formula>0</formula>
    </cfRule>
  </conditionalFormatting>
  <conditionalFormatting sqref="CW8:CX8">
    <cfRule type="cellIs" dxfId="2589" priority="1234" operator="equal">
      <formula>0</formula>
    </cfRule>
  </conditionalFormatting>
  <conditionalFormatting sqref="CY8">
    <cfRule type="cellIs" dxfId="2588" priority="1233" operator="equal">
      <formula>0</formula>
    </cfRule>
  </conditionalFormatting>
  <conditionalFormatting sqref="CY8">
    <cfRule type="cellIs" dxfId="2587" priority="1232" operator="equal">
      <formula>0</formula>
    </cfRule>
  </conditionalFormatting>
  <conditionalFormatting sqref="CW8:CX8">
    <cfRule type="cellIs" dxfId="2586" priority="1231" operator="equal">
      <formula>0</formula>
    </cfRule>
  </conditionalFormatting>
  <conditionalFormatting sqref="CW8:CX8">
    <cfRule type="cellIs" dxfId="2585" priority="1230" operator="equal">
      <formula>0</formula>
    </cfRule>
  </conditionalFormatting>
  <conditionalFormatting sqref="CY8">
    <cfRule type="cellIs" dxfId="2584" priority="1229" operator="equal">
      <formula>0</formula>
    </cfRule>
  </conditionalFormatting>
  <conditionalFormatting sqref="CY8">
    <cfRule type="cellIs" dxfId="2583" priority="1228" operator="equal">
      <formula>0</formula>
    </cfRule>
  </conditionalFormatting>
  <conditionalFormatting sqref="CW8:CX8">
    <cfRule type="cellIs" dxfId="2582" priority="1227" operator="equal">
      <formula>0</formula>
    </cfRule>
  </conditionalFormatting>
  <conditionalFormatting sqref="CY8">
    <cfRule type="cellIs" dxfId="2581" priority="1226" operator="equal">
      <formula>0</formula>
    </cfRule>
  </conditionalFormatting>
  <conditionalFormatting sqref="CZ120">
    <cfRule type="cellIs" dxfId="2580" priority="1201" operator="equal">
      <formula>0</formula>
    </cfRule>
  </conditionalFormatting>
  <conditionalFormatting sqref="DP8">
    <cfRule type="cellIs" dxfId="2579" priority="1223" operator="equal">
      <formula>0</formula>
    </cfRule>
  </conditionalFormatting>
  <conditionalFormatting sqref="CY120">
    <cfRule type="cellIs" dxfId="2578" priority="1199" operator="equal">
      <formula>0</formula>
    </cfRule>
  </conditionalFormatting>
  <conditionalFormatting sqref="CZ120">
    <cfRule type="cellIs" dxfId="2577" priority="1198" operator="equal">
      <formula>0</formula>
    </cfRule>
  </conditionalFormatting>
  <conditionalFormatting sqref="DP8">
    <cfRule type="cellIs" dxfId="2576" priority="1220" operator="equal">
      <formula>0</formula>
    </cfRule>
  </conditionalFormatting>
  <conditionalFormatting sqref="CY120">
    <cfRule type="cellIs" dxfId="2575" priority="1196" operator="equal">
      <formula>0</formula>
    </cfRule>
  </conditionalFormatting>
  <conditionalFormatting sqref="CZ120">
    <cfRule type="cellIs" dxfId="2574" priority="1195" operator="equal">
      <formula>0</formula>
    </cfRule>
  </conditionalFormatting>
  <conditionalFormatting sqref="DP8">
    <cfRule type="cellIs" dxfId="2573" priority="1217" operator="equal">
      <formula>0</formula>
    </cfRule>
  </conditionalFormatting>
  <conditionalFormatting sqref="DP8">
    <cfRule type="cellIs" dxfId="2572" priority="1216" operator="equal">
      <formula>0</formula>
    </cfRule>
  </conditionalFormatting>
  <conditionalFormatting sqref="DP8">
    <cfRule type="cellIs" dxfId="2571" priority="1215" operator="equal">
      <formula>0</formula>
    </cfRule>
  </conditionalFormatting>
  <conditionalFormatting sqref="DP8">
    <cfRule type="cellIs" dxfId="2570" priority="1214" operator="equal">
      <formula>0</formula>
    </cfRule>
  </conditionalFormatting>
  <conditionalFormatting sqref="DP8">
    <cfRule type="cellIs" dxfId="2569" priority="1213" operator="equal">
      <formula>0</formula>
    </cfRule>
  </conditionalFormatting>
  <conditionalFormatting sqref="DP8">
    <cfRule type="cellIs" dxfId="2568" priority="1212" operator="equal">
      <formula>0</formula>
    </cfRule>
  </conditionalFormatting>
  <conditionalFormatting sqref="CP117:CQ117">
    <cfRule type="cellIs" dxfId="2567" priority="1188" operator="equal">
      <formula>0</formula>
    </cfRule>
  </conditionalFormatting>
  <conditionalFormatting sqref="DP8">
    <cfRule type="cellIs" dxfId="2566" priority="1210" operator="equal">
      <formula>0</formula>
    </cfRule>
  </conditionalFormatting>
  <conditionalFormatting sqref="N8">
    <cfRule type="cellIs" dxfId="2565" priority="1209" operator="equal">
      <formula>0</formula>
    </cfRule>
  </conditionalFormatting>
  <conditionalFormatting sqref="N8">
    <cfRule type="cellIs" dxfId="2564" priority="1208" operator="equal">
      <formula>0</formula>
    </cfRule>
  </conditionalFormatting>
  <conditionalFormatting sqref="AX120">
    <cfRule type="cellIs" dxfId="2563" priority="1207" operator="equal">
      <formula>0</formula>
    </cfRule>
  </conditionalFormatting>
  <conditionalFormatting sqref="DJ120:DN120">
    <cfRule type="cellIs" dxfId="2562" priority="1206" operator="equal">
      <formula>0</formula>
    </cfRule>
  </conditionalFormatting>
  <conditionalFormatting sqref="DJ120:DN120">
    <cfRule type="cellIs" dxfId="2561" priority="1205" operator="equal">
      <formula>0</formula>
    </cfRule>
  </conditionalFormatting>
  <conditionalFormatting sqref="CP124:CQ124">
    <cfRule type="cellIs" dxfId="2560" priority="1181" operator="equal">
      <formula>0</formula>
    </cfRule>
  </conditionalFormatting>
  <conditionalFormatting sqref="CP124:CQ124">
    <cfRule type="cellIs" dxfId="2559" priority="1180" operator="equal">
      <formula>0</formula>
    </cfRule>
  </conditionalFormatting>
  <conditionalFormatting sqref="CP124:CQ124">
    <cfRule type="cellIs" dxfId="2558" priority="1179" operator="equal">
      <formula>0</formula>
    </cfRule>
  </conditionalFormatting>
  <conditionalFormatting sqref="BC120">
    <cfRule type="cellIs" dxfId="2557" priority="1200" operator="equal">
      <formula>0</formula>
    </cfRule>
  </conditionalFormatting>
  <conditionalFormatting sqref="BC120">
    <cfRule type="cellIs" dxfId="2556" priority="1197" operator="equal">
      <formula>0</formula>
    </cfRule>
  </conditionalFormatting>
  <conditionalFormatting sqref="N120">
    <cfRule type="cellIs" dxfId="2555" priority="1194" operator="equal">
      <formula>0</formula>
    </cfRule>
  </conditionalFormatting>
  <conditionalFormatting sqref="N120">
    <cfRule type="cellIs" dxfId="2554" priority="1193" operator="equal">
      <formula>0</formula>
    </cfRule>
  </conditionalFormatting>
  <conditionalFormatting sqref="N120">
    <cfRule type="cellIs" dxfId="2553" priority="1192" operator="equal">
      <formula>0</formula>
    </cfRule>
  </conditionalFormatting>
  <conditionalFormatting sqref="DP120">
    <cfRule type="cellIs" dxfId="2552" priority="1191" operator="equal">
      <formula>0</formula>
    </cfRule>
  </conditionalFormatting>
  <conditionalFormatting sqref="CP157:CQ165 CP139:CQ144 CP149:CQ155 CP201:CQ202 CP128:CQ129 CP125:CQ126 CP80:CQ80 CP113:CQ116">
    <cfRule type="cellIs" dxfId="2551" priority="1190" operator="equal">
      <formula>0</formula>
    </cfRule>
  </conditionalFormatting>
  <conditionalFormatting sqref="CP203:CQ206">
    <cfRule type="cellIs" dxfId="2550" priority="1189" operator="equal">
      <formula>0</formula>
    </cfRule>
  </conditionalFormatting>
  <conditionalFormatting sqref="CP156:CQ156">
    <cfRule type="cellIs" dxfId="2549" priority="1187" operator="equal">
      <formula>0</formula>
    </cfRule>
  </conditionalFormatting>
  <conditionalFormatting sqref="CP3:CQ4">
    <cfRule type="cellIs" dxfId="2548" priority="1186" operator="equal">
      <formula>0</formula>
    </cfRule>
  </conditionalFormatting>
  <conditionalFormatting sqref="CP5:CQ5">
    <cfRule type="cellIs" dxfId="2547" priority="1185" operator="equal">
      <formula>0</formula>
    </cfRule>
  </conditionalFormatting>
  <conditionalFormatting sqref="CP2:CQ2">
    <cfRule type="cellIs" dxfId="2546" priority="1184" operator="equal">
      <formula>0</formula>
    </cfRule>
  </conditionalFormatting>
  <conditionalFormatting sqref="CP6:CQ6">
    <cfRule type="cellIs" dxfId="2545" priority="1183" operator="equal">
      <formula>0</formula>
    </cfRule>
  </conditionalFormatting>
  <conditionalFormatting sqref="CP222:CQ229">
    <cfRule type="cellIs" dxfId="2544" priority="1182" operator="equal">
      <formula>0</formula>
    </cfRule>
  </conditionalFormatting>
  <conditionalFormatting sqref="CP145:CQ148">
    <cfRule type="cellIs" dxfId="2543" priority="1178" operator="equal">
      <formula>0</formula>
    </cfRule>
  </conditionalFormatting>
  <conditionalFormatting sqref="CP8:CQ8">
    <cfRule type="cellIs" dxfId="2542" priority="1177" operator="equal">
      <formula>0</formula>
    </cfRule>
  </conditionalFormatting>
  <conditionalFormatting sqref="CP8:CQ8">
    <cfRule type="cellIs" dxfId="2541" priority="1176" operator="equal">
      <formula>0</formula>
    </cfRule>
  </conditionalFormatting>
  <conditionalFormatting sqref="CP8:CQ8">
    <cfRule type="cellIs" dxfId="2540" priority="1175" operator="equal">
      <formula>0</formula>
    </cfRule>
  </conditionalFormatting>
  <conditionalFormatting sqref="CP8:CQ8">
    <cfRule type="cellIs" dxfId="2539" priority="1174" operator="equal">
      <formula>0</formula>
    </cfRule>
  </conditionalFormatting>
  <conditionalFormatting sqref="CP8:CQ8">
    <cfRule type="cellIs" dxfId="2538" priority="1173" operator="equal">
      <formula>0</formula>
    </cfRule>
  </conditionalFormatting>
  <conditionalFormatting sqref="CP8:CQ8">
    <cfRule type="cellIs" dxfId="2537" priority="1172" operator="equal">
      <formula>0</formula>
    </cfRule>
  </conditionalFormatting>
  <conditionalFormatting sqref="CP8:CQ8">
    <cfRule type="cellIs" dxfId="2536" priority="1171" operator="equal">
      <formula>0</formula>
    </cfRule>
  </conditionalFormatting>
  <conditionalFormatting sqref="CP8:CQ8">
    <cfRule type="cellIs" dxfId="2535" priority="1170" operator="equal">
      <formula>0</formula>
    </cfRule>
  </conditionalFormatting>
  <conditionalFormatting sqref="CP8:CQ8">
    <cfRule type="cellIs" dxfId="2534" priority="1169" operator="equal">
      <formula>0</formula>
    </cfRule>
  </conditionalFormatting>
  <conditionalFormatting sqref="CP8:CQ8">
    <cfRule type="cellIs" dxfId="2533" priority="1168" operator="equal">
      <formula>0</formula>
    </cfRule>
  </conditionalFormatting>
  <conditionalFormatting sqref="CP8:CQ8">
    <cfRule type="cellIs" dxfId="2532" priority="1167" operator="equal">
      <formula>0</formula>
    </cfRule>
  </conditionalFormatting>
  <conditionalFormatting sqref="CP8:CQ8">
    <cfRule type="cellIs" dxfId="2531" priority="1166" operator="equal">
      <formula>0</formula>
    </cfRule>
  </conditionalFormatting>
  <conditionalFormatting sqref="CP8:CQ8">
    <cfRule type="cellIs" dxfId="2530" priority="1165" operator="equal">
      <formula>0</formula>
    </cfRule>
  </conditionalFormatting>
  <conditionalFormatting sqref="CP8:CQ8">
    <cfRule type="cellIs" dxfId="2529" priority="1164" operator="equal">
      <formula>0</formula>
    </cfRule>
  </conditionalFormatting>
  <conditionalFormatting sqref="CP8:CQ8">
    <cfRule type="cellIs" dxfId="2528" priority="1163" operator="equal">
      <formula>0</formula>
    </cfRule>
  </conditionalFormatting>
  <conditionalFormatting sqref="CP8:CQ8">
    <cfRule type="cellIs" dxfId="2527" priority="1162" operator="equal">
      <formula>0</formula>
    </cfRule>
  </conditionalFormatting>
  <conditionalFormatting sqref="CP8:CQ8">
    <cfRule type="cellIs" dxfId="2526" priority="1161" operator="equal">
      <formula>0</formula>
    </cfRule>
  </conditionalFormatting>
  <conditionalFormatting sqref="CP8:CQ8">
    <cfRule type="cellIs" dxfId="2525" priority="1160" operator="equal">
      <formula>0</formula>
    </cfRule>
  </conditionalFormatting>
  <conditionalFormatting sqref="CP8:CQ8">
    <cfRule type="cellIs" dxfId="2524" priority="1159" operator="equal">
      <formula>0</formula>
    </cfRule>
  </conditionalFormatting>
  <conditionalFormatting sqref="CP8:CQ8">
    <cfRule type="cellIs" dxfId="2523" priority="1158" operator="equal">
      <formula>0</formula>
    </cfRule>
  </conditionalFormatting>
  <conditionalFormatting sqref="CP8:CQ8">
    <cfRule type="cellIs" dxfId="2522" priority="1157" operator="equal">
      <formula>0</formula>
    </cfRule>
  </conditionalFormatting>
  <conditionalFormatting sqref="CP8:CQ8">
    <cfRule type="cellIs" dxfId="2521" priority="1156" operator="equal">
      <formula>0</formula>
    </cfRule>
  </conditionalFormatting>
  <conditionalFormatting sqref="CP8:CQ8">
    <cfRule type="cellIs" dxfId="2520" priority="1155" operator="equal">
      <formula>0</formula>
    </cfRule>
  </conditionalFormatting>
  <conditionalFormatting sqref="CP8:CQ8">
    <cfRule type="cellIs" dxfId="2519" priority="1154" operator="equal">
      <formula>0</formula>
    </cfRule>
  </conditionalFormatting>
  <conditionalFormatting sqref="CP8:CQ8">
    <cfRule type="cellIs" dxfId="2518" priority="1153" operator="equal">
      <formula>0</formula>
    </cfRule>
  </conditionalFormatting>
  <conditionalFormatting sqref="CP8:CQ8">
    <cfRule type="cellIs" dxfId="2517" priority="1152" operator="equal">
      <formula>0</formula>
    </cfRule>
  </conditionalFormatting>
  <conditionalFormatting sqref="CP8:CQ8">
    <cfRule type="cellIs" dxfId="2516" priority="1151" operator="equal">
      <formula>0</formula>
    </cfRule>
  </conditionalFormatting>
  <conditionalFormatting sqref="CP8:CQ8">
    <cfRule type="cellIs" dxfId="2515" priority="1150" operator="equal">
      <formula>0</formula>
    </cfRule>
  </conditionalFormatting>
  <conditionalFormatting sqref="CP8:CQ8">
    <cfRule type="cellIs" dxfId="2514" priority="1149" operator="equal">
      <formula>0</formula>
    </cfRule>
  </conditionalFormatting>
  <conditionalFormatting sqref="CP8:CQ8">
    <cfRule type="cellIs" dxfId="2513" priority="1148" operator="equal">
      <formula>0</formula>
    </cfRule>
  </conditionalFormatting>
  <conditionalFormatting sqref="CP8:CQ8">
    <cfRule type="cellIs" dxfId="2512" priority="1147" operator="equal">
      <formula>0</formula>
    </cfRule>
  </conditionalFormatting>
  <conditionalFormatting sqref="CP8:CQ8">
    <cfRule type="cellIs" dxfId="2511" priority="1146" operator="equal">
      <formula>0</formula>
    </cfRule>
  </conditionalFormatting>
  <conditionalFormatting sqref="CP8:CQ8">
    <cfRule type="cellIs" dxfId="2510" priority="1145" operator="equal">
      <formula>0</formula>
    </cfRule>
  </conditionalFormatting>
  <conditionalFormatting sqref="CP8:CQ8">
    <cfRule type="cellIs" dxfId="2509" priority="1144" operator="equal">
      <formula>0</formula>
    </cfRule>
  </conditionalFormatting>
  <conditionalFormatting sqref="CP8:CQ8">
    <cfRule type="cellIs" dxfId="2508" priority="1143" operator="equal">
      <formula>0</formula>
    </cfRule>
  </conditionalFormatting>
  <conditionalFormatting sqref="CP8:CQ8">
    <cfRule type="cellIs" dxfId="2507" priority="1142" operator="equal">
      <formula>0</formula>
    </cfRule>
  </conditionalFormatting>
  <conditionalFormatting sqref="CP8:CQ8">
    <cfRule type="cellIs" dxfId="2506" priority="1141" operator="equal">
      <formula>0</formula>
    </cfRule>
  </conditionalFormatting>
  <conditionalFormatting sqref="CP8:CQ8">
    <cfRule type="cellIs" dxfId="2505" priority="1140" operator="equal">
      <formula>0</formula>
    </cfRule>
  </conditionalFormatting>
  <conditionalFormatting sqref="CP8:CQ8">
    <cfRule type="cellIs" dxfId="2504" priority="1139" operator="equal">
      <formula>0</formula>
    </cfRule>
  </conditionalFormatting>
  <conditionalFormatting sqref="CP8:CQ8">
    <cfRule type="cellIs" dxfId="2503" priority="1138" operator="equal">
      <formula>0</formula>
    </cfRule>
  </conditionalFormatting>
  <conditionalFormatting sqref="CP8:CQ8">
    <cfRule type="cellIs" dxfId="2502" priority="1137" operator="equal">
      <formula>0</formula>
    </cfRule>
  </conditionalFormatting>
  <conditionalFormatting sqref="CP8:CQ8">
    <cfRule type="cellIs" dxfId="2501" priority="1136" operator="equal">
      <formula>0</formula>
    </cfRule>
  </conditionalFormatting>
  <conditionalFormatting sqref="CP8:CQ8">
    <cfRule type="cellIs" dxfId="2500" priority="1135" operator="equal">
      <formula>0</formula>
    </cfRule>
  </conditionalFormatting>
  <conditionalFormatting sqref="CP8:CQ8">
    <cfRule type="cellIs" dxfId="2499" priority="1134" operator="equal">
      <formula>0</formula>
    </cfRule>
  </conditionalFormatting>
  <conditionalFormatting sqref="CP8:CQ8">
    <cfRule type="cellIs" dxfId="2498" priority="1133" operator="equal">
      <formula>0</formula>
    </cfRule>
  </conditionalFormatting>
  <conditionalFormatting sqref="CP8:CQ8">
    <cfRule type="cellIs" dxfId="2497" priority="1132" operator="equal">
      <formula>0</formula>
    </cfRule>
  </conditionalFormatting>
  <conditionalFormatting sqref="CP8:CQ8">
    <cfRule type="cellIs" dxfId="2496" priority="1131" operator="equal">
      <formula>0</formula>
    </cfRule>
  </conditionalFormatting>
  <conditionalFormatting sqref="CP8:CQ8">
    <cfRule type="cellIs" dxfId="2495" priority="1130" operator="equal">
      <formula>0</formula>
    </cfRule>
  </conditionalFormatting>
  <conditionalFormatting sqref="CP8:CQ8">
    <cfRule type="cellIs" dxfId="2494" priority="1129" operator="equal">
      <formula>0</formula>
    </cfRule>
  </conditionalFormatting>
  <conditionalFormatting sqref="CP8:CQ8">
    <cfRule type="cellIs" dxfId="2493" priority="1128" operator="equal">
      <formula>0</formula>
    </cfRule>
  </conditionalFormatting>
  <conditionalFormatting sqref="CP8:CQ8">
    <cfRule type="cellIs" dxfId="2492" priority="1127" operator="equal">
      <formula>0</formula>
    </cfRule>
  </conditionalFormatting>
  <conditionalFormatting sqref="CP8:CQ8">
    <cfRule type="cellIs" dxfId="2491" priority="1126" operator="equal">
      <formula>0</formula>
    </cfRule>
  </conditionalFormatting>
  <conditionalFormatting sqref="CP8:CQ8">
    <cfRule type="cellIs" dxfId="2490" priority="1125" operator="equal">
      <formula>0</formula>
    </cfRule>
  </conditionalFormatting>
  <conditionalFormatting sqref="CP8:CQ8">
    <cfRule type="cellIs" dxfId="2489" priority="1124" operator="equal">
      <formula>0</formula>
    </cfRule>
  </conditionalFormatting>
  <conditionalFormatting sqref="CP8:CQ8">
    <cfRule type="cellIs" dxfId="2488" priority="1123" operator="equal">
      <formula>0</formula>
    </cfRule>
  </conditionalFormatting>
  <conditionalFormatting sqref="CP8:CQ8">
    <cfRule type="cellIs" dxfId="2487" priority="1122" operator="equal">
      <formula>0</formula>
    </cfRule>
  </conditionalFormatting>
  <conditionalFormatting sqref="CP8:CQ8">
    <cfRule type="cellIs" dxfId="2486" priority="1121" operator="equal">
      <formula>0</formula>
    </cfRule>
  </conditionalFormatting>
  <conditionalFormatting sqref="CP8:CQ8">
    <cfRule type="cellIs" dxfId="2485" priority="1120" operator="equal">
      <formula>0</formula>
    </cfRule>
  </conditionalFormatting>
  <conditionalFormatting sqref="CP8:CQ8">
    <cfRule type="cellIs" dxfId="2484" priority="1119" operator="equal">
      <formula>0</formula>
    </cfRule>
  </conditionalFormatting>
  <conditionalFormatting sqref="CP8:CQ8">
    <cfRule type="cellIs" dxfId="2483" priority="1118" operator="equal">
      <formula>0</formula>
    </cfRule>
  </conditionalFormatting>
  <conditionalFormatting sqref="CP8:CQ8">
    <cfRule type="cellIs" dxfId="2482" priority="1117" operator="equal">
      <formula>0</formula>
    </cfRule>
  </conditionalFormatting>
  <conditionalFormatting sqref="CP8:CQ8">
    <cfRule type="cellIs" dxfId="2481" priority="1116" operator="equal">
      <formula>0</formula>
    </cfRule>
  </conditionalFormatting>
  <conditionalFormatting sqref="CP8:CQ8">
    <cfRule type="cellIs" dxfId="2480" priority="1115" operator="equal">
      <formula>0</formula>
    </cfRule>
  </conditionalFormatting>
  <conditionalFormatting sqref="CP8:CQ8">
    <cfRule type="cellIs" dxfId="2479" priority="1114" operator="equal">
      <formula>0</formula>
    </cfRule>
  </conditionalFormatting>
  <conditionalFormatting sqref="CP8:CQ8">
    <cfRule type="cellIs" dxfId="2478" priority="1113" operator="equal">
      <formula>0</formula>
    </cfRule>
  </conditionalFormatting>
  <conditionalFormatting sqref="CP8:CQ8">
    <cfRule type="cellIs" dxfId="2477" priority="1112" operator="equal">
      <formula>0</formula>
    </cfRule>
  </conditionalFormatting>
  <conditionalFormatting sqref="CP8:CQ8">
    <cfRule type="cellIs" dxfId="2476" priority="1111" operator="equal">
      <formula>0</formula>
    </cfRule>
  </conditionalFormatting>
  <conditionalFormatting sqref="CP8:CQ8">
    <cfRule type="cellIs" dxfId="2475" priority="1110" operator="equal">
      <formula>0</formula>
    </cfRule>
  </conditionalFormatting>
  <conditionalFormatting sqref="CP8:CQ8">
    <cfRule type="cellIs" dxfId="2474" priority="1109" operator="equal">
      <formula>0</formula>
    </cfRule>
  </conditionalFormatting>
  <conditionalFormatting sqref="CP8:CQ8">
    <cfRule type="cellIs" dxfId="2473" priority="1108" operator="equal">
      <formula>0</formula>
    </cfRule>
  </conditionalFormatting>
  <conditionalFormatting sqref="CP8:CQ8">
    <cfRule type="cellIs" dxfId="2472" priority="1107" operator="equal">
      <formula>0</formula>
    </cfRule>
  </conditionalFormatting>
  <conditionalFormatting sqref="CP8:CQ8">
    <cfRule type="cellIs" dxfId="2471" priority="1106" operator="equal">
      <formula>0</formula>
    </cfRule>
  </conditionalFormatting>
  <conditionalFormatting sqref="CP8:CQ8">
    <cfRule type="cellIs" dxfId="2470" priority="1105" operator="equal">
      <formula>0</formula>
    </cfRule>
  </conditionalFormatting>
  <conditionalFormatting sqref="CP8:CQ8">
    <cfRule type="cellIs" dxfId="2469" priority="1104" operator="equal">
      <formula>0</formula>
    </cfRule>
  </conditionalFormatting>
  <conditionalFormatting sqref="CP8:CQ8">
    <cfRule type="cellIs" dxfId="2468" priority="1103" operator="equal">
      <formula>0</formula>
    </cfRule>
  </conditionalFormatting>
  <conditionalFormatting sqref="CP8:CQ8">
    <cfRule type="cellIs" dxfId="2467" priority="1102" operator="equal">
      <formula>0</formula>
    </cfRule>
  </conditionalFormatting>
  <conditionalFormatting sqref="CP8:CQ8">
    <cfRule type="cellIs" dxfId="2466" priority="1101" operator="equal">
      <formula>0</formula>
    </cfRule>
  </conditionalFormatting>
  <conditionalFormatting sqref="CP8:CQ8">
    <cfRule type="cellIs" dxfId="2465" priority="1100" operator="equal">
      <formula>0</formula>
    </cfRule>
  </conditionalFormatting>
  <conditionalFormatting sqref="CP8:CQ8">
    <cfRule type="cellIs" dxfId="2464" priority="1099" operator="equal">
      <formula>0</formula>
    </cfRule>
  </conditionalFormatting>
  <conditionalFormatting sqref="CP8:CQ8">
    <cfRule type="cellIs" dxfId="2463" priority="1098" operator="equal">
      <formula>0</formula>
    </cfRule>
  </conditionalFormatting>
  <conditionalFormatting sqref="CP8:CQ8">
    <cfRule type="cellIs" dxfId="2462" priority="1097" operator="equal">
      <formula>0</formula>
    </cfRule>
  </conditionalFormatting>
  <conditionalFormatting sqref="CP8:CQ8">
    <cfRule type="cellIs" dxfId="2461" priority="1096" operator="equal">
      <formula>0</formula>
    </cfRule>
  </conditionalFormatting>
  <conditionalFormatting sqref="CP8:CQ8">
    <cfRule type="cellIs" dxfId="2460" priority="1095" operator="equal">
      <formula>0</formula>
    </cfRule>
  </conditionalFormatting>
  <conditionalFormatting sqref="CP8:CQ8">
    <cfRule type="cellIs" dxfId="2459" priority="1094" operator="equal">
      <formula>0</formula>
    </cfRule>
  </conditionalFormatting>
  <conditionalFormatting sqref="CP8:CQ8">
    <cfRule type="cellIs" dxfId="2458" priority="1093" operator="equal">
      <formula>0</formula>
    </cfRule>
  </conditionalFormatting>
  <conditionalFormatting sqref="CP8:CQ8">
    <cfRule type="cellIs" dxfId="2457" priority="1092" operator="equal">
      <formula>0</formula>
    </cfRule>
  </conditionalFormatting>
  <conditionalFormatting sqref="CP8:CQ8">
    <cfRule type="cellIs" dxfId="2456" priority="1091" operator="equal">
      <formula>0</formula>
    </cfRule>
  </conditionalFormatting>
  <conditionalFormatting sqref="CP8:CQ8">
    <cfRule type="cellIs" dxfId="2455" priority="1090" operator="equal">
      <formula>0</formula>
    </cfRule>
  </conditionalFormatting>
  <conditionalFormatting sqref="CP8:CQ8">
    <cfRule type="cellIs" dxfId="2454" priority="1089" operator="equal">
      <formula>0</formula>
    </cfRule>
  </conditionalFormatting>
  <conditionalFormatting sqref="CP8:CQ8">
    <cfRule type="cellIs" dxfId="2453" priority="1088" operator="equal">
      <formula>0</formula>
    </cfRule>
  </conditionalFormatting>
  <conditionalFormatting sqref="CP8:CQ8">
    <cfRule type="cellIs" dxfId="2452" priority="1087" operator="equal">
      <formula>0</formula>
    </cfRule>
  </conditionalFormatting>
  <conditionalFormatting sqref="CP8:CQ8">
    <cfRule type="cellIs" dxfId="2451" priority="1086" operator="equal">
      <formula>0</formula>
    </cfRule>
  </conditionalFormatting>
  <conditionalFormatting sqref="CP8:CQ8">
    <cfRule type="cellIs" dxfId="2450" priority="1085" operator="equal">
      <formula>0</formula>
    </cfRule>
  </conditionalFormatting>
  <conditionalFormatting sqref="CP8:CQ8">
    <cfRule type="cellIs" dxfId="2449" priority="1084" operator="equal">
      <formula>0</formula>
    </cfRule>
  </conditionalFormatting>
  <conditionalFormatting sqref="CP8:CQ8">
    <cfRule type="cellIs" dxfId="2448" priority="1083" operator="equal">
      <formula>0</formula>
    </cfRule>
  </conditionalFormatting>
  <conditionalFormatting sqref="CP8:CQ8">
    <cfRule type="cellIs" dxfId="2447" priority="1082" operator="equal">
      <formula>0</formula>
    </cfRule>
  </conditionalFormatting>
  <conditionalFormatting sqref="CP8:CQ8">
    <cfRule type="cellIs" dxfId="2446" priority="1081" operator="equal">
      <formula>0</formula>
    </cfRule>
  </conditionalFormatting>
  <conditionalFormatting sqref="CP8:CQ8">
    <cfRule type="cellIs" dxfId="2445" priority="1080" operator="equal">
      <formula>0</formula>
    </cfRule>
  </conditionalFormatting>
  <conditionalFormatting sqref="CP8:CQ8">
    <cfRule type="cellIs" dxfId="2444" priority="1079" operator="equal">
      <formula>0</formula>
    </cfRule>
  </conditionalFormatting>
  <conditionalFormatting sqref="CP8:CQ8">
    <cfRule type="cellIs" dxfId="2443" priority="1078" operator="equal">
      <formula>0</formula>
    </cfRule>
  </conditionalFormatting>
  <conditionalFormatting sqref="CP8:CQ8">
    <cfRule type="cellIs" dxfId="2442" priority="1077" operator="equal">
      <formula>0</formula>
    </cfRule>
  </conditionalFormatting>
  <conditionalFormatting sqref="CP8:CQ8">
    <cfRule type="cellIs" dxfId="2441" priority="1076" operator="equal">
      <formula>0</formula>
    </cfRule>
  </conditionalFormatting>
  <conditionalFormatting sqref="CP8:CQ8">
    <cfRule type="cellIs" dxfId="2440" priority="1075" operator="equal">
      <formula>0</formula>
    </cfRule>
  </conditionalFormatting>
  <conditionalFormatting sqref="CP8:CQ8">
    <cfRule type="cellIs" dxfId="2439" priority="1074" operator="equal">
      <formula>0</formula>
    </cfRule>
  </conditionalFormatting>
  <conditionalFormatting sqref="CP8:CQ8">
    <cfRule type="cellIs" dxfId="2438" priority="1073" operator="equal">
      <formula>0</formula>
    </cfRule>
  </conditionalFormatting>
  <conditionalFormatting sqref="CP8:CQ8">
    <cfRule type="cellIs" dxfId="2437" priority="1072" operator="equal">
      <formula>0</formula>
    </cfRule>
  </conditionalFormatting>
  <conditionalFormatting sqref="CP8:CQ8">
    <cfRule type="cellIs" dxfId="2436" priority="1071" operator="equal">
      <formula>0</formula>
    </cfRule>
  </conditionalFormatting>
  <conditionalFormatting sqref="CP8:CQ8">
    <cfRule type="cellIs" dxfId="2435" priority="1070" operator="equal">
      <formula>0</formula>
    </cfRule>
  </conditionalFormatting>
  <conditionalFormatting sqref="CP8:CQ8">
    <cfRule type="cellIs" dxfId="2434" priority="1069" operator="equal">
      <formula>0</formula>
    </cfRule>
  </conditionalFormatting>
  <conditionalFormatting sqref="CP8:CQ8">
    <cfRule type="cellIs" dxfId="2433" priority="1068" operator="equal">
      <formula>0</formula>
    </cfRule>
  </conditionalFormatting>
  <conditionalFormatting sqref="CP8:CQ8">
    <cfRule type="cellIs" dxfId="2432" priority="1067" operator="equal">
      <formula>0</formula>
    </cfRule>
  </conditionalFormatting>
  <conditionalFormatting sqref="CP8:CQ8">
    <cfRule type="cellIs" dxfId="2431" priority="1066" operator="equal">
      <formula>0</formula>
    </cfRule>
  </conditionalFormatting>
  <conditionalFormatting sqref="CP8:CQ8">
    <cfRule type="cellIs" dxfId="2430" priority="1065" operator="equal">
      <formula>0</formula>
    </cfRule>
  </conditionalFormatting>
  <conditionalFormatting sqref="CP8:CQ8">
    <cfRule type="cellIs" dxfId="2429" priority="1064" operator="equal">
      <formula>0</formula>
    </cfRule>
  </conditionalFormatting>
  <conditionalFormatting sqref="CP8:CQ8">
    <cfRule type="cellIs" dxfId="2428" priority="1063" operator="equal">
      <formula>0</formula>
    </cfRule>
  </conditionalFormatting>
  <conditionalFormatting sqref="CP8:CQ8">
    <cfRule type="cellIs" dxfId="2427" priority="1062" operator="equal">
      <formula>0</formula>
    </cfRule>
  </conditionalFormatting>
  <conditionalFormatting sqref="CP8:CQ8">
    <cfRule type="cellIs" dxfId="2426" priority="1061" operator="equal">
      <formula>0</formula>
    </cfRule>
  </conditionalFormatting>
  <conditionalFormatting sqref="CP8:CQ8">
    <cfRule type="cellIs" dxfId="2425" priority="1060" operator="equal">
      <formula>0</formula>
    </cfRule>
  </conditionalFormatting>
  <conditionalFormatting sqref="CP8:CQ8">
    <cfRule type="cellIs" dxfId="2424" priority="1059" operator="equal">
      <formula>0</formula>
    </cfRule>
  </conditionalFormatting>
  <conditionalFormatting sqref="CP8:CQ8">
    <cfRule type="cellIs" dxfId="2423" priority="1058" operator="equal">
      <formula>0</formula>
    </cfRule>
  </conditionalFormatting>
  <conditionalFormatting sqref="CP8:CQ8">
    <cfRule type="cellIs" dxfId="2422" priority="1057" operator="equal">
      <formula>0</formula>
    </cfRule>
  </conditionalFormatting>
  <conditionalFormatting sqref="CP8:CQ8">
    <cfRule type="cellIs" dxfId="2421" priority="1056" operator="equal">
      <formula>0</formula>
    </cfRule>
  </conditionalFormatting>
  <conditionalFormatting sqref="CP8:CQ8">
    <cfRule type="cellIs" dxfId="2420" priority="1055" operator="equal">
      <formula>0</formula>
    </cfRule>
  </conditionalFormatting>
  <conditionalFormatting sqref="CP8:CQ8">
    <cfRule type="cellIs" dxfId="2419" priority="1054" operator="equal">
      <formula>0</formula>
    </cfRule>
  </conditionalFormatting>
  <conditionalFormatting sqref="CP8:CQ8">
    <cfRule type="cellIs" dxfId="2418" priority="1053" operator="equal">
      <formula>0</formula>
    </cfRule>
  </conditionalFormatting>
  <conditionalFormatting sqref="CP8:CQ8">
    <cfRule type="cellIs" dxfId="2417" priority="1052" operator="equal">
      <formula>0</formula>
    </cfRule>
  </conditionalFormatting>
  <conditionalFormatting sqref="CP8:CQ8">
    <cfRule type="cellIs" dxfId="2416" priority="1051" operator="equal">
      <formula>0</formula>
    </cfRule>
  </conditionalFormatting>
  <conditionalFormatting sqref="CP8:CQ8">
    <cfRule type="cellIs" dxfId="2415" priority="1050" operator="equal">
      <formula>0</formula>
    </cfRule>
  </conditionalFormatting>
  <conditionalFormatting sqref="CP8:CQ8">
    <cfRule type="cellIs" dxfId="2414" priority="1049" operator="equal">
      <formula>0</formula>
    </cfRule>
  </conditionalFormatting>
  <conditionalFormatting sqref="CP8:CQ8">
    <cfRule type="cellIs" dxfId="2413" priority="1048" operator="equal">
      <formula>0</formula>
    </cfRule>
  </conditionalFormatting>
  <conditionalFormatting sqref="CP8:CQ8">
    <cfRule type="cellIs" dxfId="2412" priority="1047" operator="equal">
      <formula>0</formula>
    </cfRule>
  </conditionalFormatting>
  <conditionalFormatting sqref="CP8:CQ8">
    <cfRule type="cellIs" dxfId="2411" priority="1046" operator="equal">
      <formula>0</formula>
    </cfRule>
  </conditionalFormatting>
  <conditionalFormatting sqref="CP8:CQ8">
    <cfRule type="cellIs" dxfId="2410" priority="1045" operator="equal">
      <formula>0</formula>
    </cfRule>
  </conditionalFormatting>
  <conditionalFormatting sqref="CP8:CQ8">
    <cfRule type="cellIs" dxfId="2409" priority="1044" operator="equal">
      <formula>0</formula>
    </cfRule>
  </conditionalFormatting>
  <conditionalFormatting sqref="CP8:CQ8">
    <cfRule type="cellIs" dxfId="2408" priority="1043" operator="equal">
      <formula>0</formula>
    </cfRule>
  </conditionalFormatting>
  <conditionalFormatting sqref="CP8:CQ8">
    <cfRule type="cellIs" dxfId="2407" priority="1042" operator="equal">
      <formula>0</formula>
    </cfRule>
  </conditionalFormatting>
  <conditionalFormatting sqref="CP8:CQ8">
    <cfRule type="cellIs" dxfId="2406" priority="1041" operator="equal">
      <formula>0</formula>
    </cfRule>
  </conditionalFormatting>
  <conditionalFormatting sqref="CP8:CQ8">
    <cfRule type="cellIs" dxfId="2405" priority="1040" operator="equal">
      <formula>0</formula>
    </cfRule>
  </conditionalFormatting>
  <conditionalFormatting sqref="CP8:CQ8">
    <cfRule type="cellIs" dxfId="2404" priority="1039" operator="equal">
      <formula>0</formula>
    </cfRule>
  </conditionalFormatting>
  <conditionalFormatting sqref="CP8:CQ8">
    <cfRule type="cellIs" dxfId="2403" priority="1038" operator="equal">
      <formula>0</formula>
    </cfRule>
  </conditionalFormatting>
  <conditionalFormatting sqref="CP8:CQ8">
    <cfRule type="cellIs" dxfId="2402" priority="1037" operator="equal">
      <formula>0</formula>
    </cfRule>
  </conditionalFormatting>
  <conditionalFormatting sqref="CP8:CQ8">
    <cfRule type="cellIs" dxfId="2401" priority="1036" operator="equal">
      <formula>0</formula>
    </cfRule>
  </conditionalFormatting>
  <conditionalFormatting sqref="CP8:CQ8">
    <cfRule type="cellIs" dxfId="2400" priority="1035" operator="equal">
      <formula>0</formula>
    </cfRule>
  </conditionalFormatting>
  <conditionalFormatting sqref="CP8:CQ8">
    <cfRule type="cellIs" dxfId="2399" priority="1034" operator="equal">
      <formula>0</formula>
    </cfRule>
  </conditionalFormatting>
  <conditionalFormatting sqref="CP8:CQ8">
    <cfRule type="cellIs" dxfId="2398" priority="1033" operator="equal">
      <formula>0</formula>
    </cfRule>
  </conditionalFormatting>
  <conditionalFormatting sqref="CP8:CQ8">
    <cfRule type="cellIs" dxfId="2397" priority="1032" operator="equal">
      <formula>0</formula>
    </cfRule>
  </conditionalFormatting>
  <conditionalFormatting sqref="CP8:CQ8">
    <cfRule type="cellIs" dxfId="2396" priority="1031" operator="equal">
      <formula>0</formula>
    </cfRule>
  </conditionalFormatting>
  <conditionalFormatting sqref="CP8:CQ8">
    <cfRule type="cellIs" dxfId="2395" priority="1030" operator="equal">
      <formula>0</formula>
    </cfRule>
  </conditionalFormatting>
  <conditionalFormatting sqref="CP8:CQ8">
    <cfRule type="cellIs" dxfId="2394" priority="1029" operator="equal">
      <formula>0</formula>
    </cfRule>
  </conditionalFormatting>
  <conditionalFormatting sqref="CP8:CQ8">
    <cfRule type="cellIs" dxfId="2393" priority="1028" operator="equal">
      <formula>0</formula>
    </cfRule>
  </conditionalFormatting>
  <conditionalFormatting sqref="CP8:CQ8">
    <cfRule type="cellIs" dxfId="2392" priority="1027" operator="equal">
      <formula>0</formula>
    </cfRule>
  </conditionalFormatting>
  <conditionalFormatting sqref="CP8:CQ8">
    <cfRule type="cellIs" dxfId="2391" priority="1026" operator="equal">
      <formula>0</formula>
    </cfRule>
  </conditionalFormatting>
  <conditionalFormatting sqref="CP8:CQ8">
    <cfRule type="cellIs" dxfId="2390" priority="1025" operator="equal">
      <formula>0</formula>
    </cfRule>
  </conditionalFormatting>
  <conditionalFormatting sqref="CP8:CQ8">
    <cfRule type="cellIs" dxfId="2389" priority="1024" operator="equal">
      <formula>0</formula>
    </cfRule>
  </conditionalFormatting>
  <conditionalFormatting sqref="CP8:CQ8">
    <cfRule type="cellIs" dxfId="2388" priority="1023" operator="equal">
      <formula>0</formula>
    </cfRule>
  </conditionalFormatting>
  <conditionalFormatting sqref="CP8:CQ8">
    <cfRule type="cellIs" dxfId="2387" priority="1022" operator="equal">
      <formula>0</formula>
    </cfRule>
  </conditionalFormatting>
  <conditionalFormatting sqref="CP8:CQ8">
    <cfRule type="cellIs" dxfId="2386" priority="1021" operator="equal">
      <formula>0</formula>
    </cfRule>
  </conditionalFormatting>
  <conditionalFormatting sqref="CP8:CQ8">
    <cfRule type="cellIs" dxfId="2385" priority="1020" operator="equal">
      <formula>0</formula>
    </cfRule>
  </conditionalFormatting>
  <conditionalFormatting sqref="CP8:CQ8">
    <cfRule type="cellIs" dxfId="2384" priority="1019" operator="equal">
      <formula>0</formula>
    </cfRule>
  </conditionalFormatting>
  <conditionalFormatting sqref="CP8:CQ8">
    <cfRule type="cellIs" dxfId="2383" priority="1018" operator="equal">
      <formula>0</formula>
    </cfRule>
  </conditionalFormatting>
  <conditionalFormatting sqref="CP8:CQ8">
    <cfRule type="cellIs" dxfId="2382" priority="1017" operator="equal">
      <formula>0</formula>
    </cfRule>
  </conditionalFormatting>
  <conditionalFormatting sqref="CP8:CQ8">
    <cfRule type="cellIs" dxfId="2381" priority="1016" operator="equal">
      <formula>0</formula>
    </cfRule>
  </conditionalFormatting>
  <conditionalFormatting sqref="CP8:CQ8">
    <cfRule type="cellIs" dxfId="2380" priority="1015" operator="equal">
      <formula>0</formula>
    </cfRule>
  </conditionalFormatting>
  <conditionalFormatting sqref="CP8:CQ8">
    <cfRule type="cellIs" dxfId="2379" priority="1014" operator="equal">
      <formula>0</formula>
    </cfRule>
  </conditionalFormatting>
  <conditionalFormatting sqref="CP8:CQ8">
    <cfRule type="cellIs" dxfId="2378" priority="1013" operator="equal">
      <formula>0</formula>
    </cfRule>
  </conditionalFormatting>
  <conditionalFormatting sqref="CP8:CQ8">
    <cfRule type="cellIs" dxfId="2377" priority="1012" operator="equal">
      <formula>0</formula>
    </cfRule>
  </conditionalFormatting>
  <conditionalFormatting sqref="CP8:CQ8">
    <cfRule type="cellIs" dxfId="2376" priority="1011" operator="equal">
      <formula>0</formula>
    </cfRule>
  </conditionalFormatting>
  <conditionalFormatting sqref="CP8:CQ8">
    <cfRule type="cellIs" dxfId="2375" priority="1010" operator="equal">
      <formula>0</formula>
    </cfRule>
  </conditionalFormatting>
  <conditionalFormatting sqref="CP8:CQ8">
    <cfRule type="cellIs" dxfId="2374" priority="1009" operator="equal">
      <formula>0</formula>
    </cfRule>
  </conditionalFormatting>
  <conditionalFormatting sqref="CP8:CQ8">
    <cfRule type="cellIs" dxfId="2373" priority="1008" operator="equal">
      <formula>0</formula>
    </cfRule>
  </conditionalFormatting>
  <conditionalFormatting sqref="CP8:CQ8">
    <cfRule type="cellIs" dxfId="2372" priority="1007" operator="equal">
      <formula>0</formula>
    </cfRule>
  </conditionalFormatting>
  <conditionalFormatting sqref="CP8:CQ8">
    <cfRule type="cellIs" dxfId="2371" priority="1006" operator="equal">
      <formula>0</formula>
    </cfRule>
  </conditionalFormatting>
  <conditionalFormatting sqref="CP8:CQ8">
    <cfRule type="cellIs" dxfId="2370" priority="1005" operator="equal">
      <formula>0</formula>
    </cfRule>
  </conditionalFormatting>
  <conditionalFormatting sqref="CP8:CQ8">
    <cfRule type="cellIs" dxfId="2369" priority="1004" operator="equal">
      <formula>0</formula>
    </cfRule>
  </conditionalFormatting>
  <conditionalFormatting sqref="CP8:CQ8">
    <cfRule type="cellIs" dxfId="2368" priority="1003" operator="equal">
      <formula>0</formula>
    </cfRule>
  </conditionalFormatting>
  <conditionalFormatting sqref="CP8:CQ8">
    <cfRule type="cellIs" dxfId="2367" priority="1002" operator="equal">
      <formula>0</formula>
    </cfRule>
  </conditionalFormatting>
  <conditionalFormatting sqref="CP8:CQ8">
    <cfRule type="cellIs" dxfId="2366" priority="1001" operator="equal">
      <formula>0</formula>
    </cfRule>
  </conditionalFormatting>
  <conditionalFormatting sqref="CP8:CQ8">
    <cfRule type="cellIs" dxfId="2365" priority="1000" operator="equal">
      <formula>0</formula>
    </cfRule>
  </conditionalFormatting>
  <conditionalFormatting sqref="CP8:CQ8">
    <cfRule type="cellIs" dxfId="2364" priority="999" operator="equal">
      <formula>0</formula>
    </cfRule>
  </conditionalFormatting>
  <conditionalFormatting sqref="CP8:CQ8">
    <cfRule type="cellIs" dxfId="2363" priority="998" operator="equal">
      <formula>0</formula>
    </cfRule>
  </conditionalFormatting>
  <conditionalFormatting sqref="CP8:CQ8">
    <cfRule type="cellIs" dxfId="2362" priority="997" operator="equal">
      <formula>0</formula>
    </cfRule>
  </conditionalFormatting>
  <conditionalFormatting sqref="CP8:CQ8">
    <cfRule type="cellIs" dxfId="2361" priority="996" operator="equal">
      <formula>0</formula>
    </cfRule>
  </conditionalFormatting>
  <conditionalFormatting sqref="CP8:CQ8">
    <cfRule type="cellIs" dxfId="2360" priority="995" operator="equal">
      <formula>0</formula>
    </cfRule>
  </conditionalFormatting>
  <conditionalFormatting sqref="CP8:CQ8">
    <cfRule type="cellIs" dxfId="2359" priority="994" operator="equal">
      <formula>0</formula>
    </cfRule>
  </conditionalFormatting>
  <conditionalFormatting sqref="CP8:CQ8">
    <cfRule type="cellIs" dxfId="2358" priority="993" operator="equal">
      <formula>0</formula>
    </cfRule>
  </conditionalFormatting>
  <conditionalFormatting sqref="CP8:CQ8">
    <cfRule type="cellIs" dxfId="2357" priority="992" operator="equal">
      <formula>0</formula>
    </cfRule>
  </conditionalFormatting>
  <conditionalFormatting sqref="CP8:CQ8">
    <cfRule type="cellIs" dxfId="2356" priority="991" operator="equal">
      <formula>0</formula>
    </cfRule>
  </conditionalFormatting>
  <conditionalFormatting sqref="CP8:CQ8">
    <cfRule type="cellIs" dxfId="2355" priority="990" operator="equal">
      <formula>0</formula>
    </cfRule>
  </conditionalFormatting>
  <conditionalFormatting sqref="CP8:CQ8">
    <cfRule type="cellIs" dxfId="2354" priority="989" operator="equal">
      <formula>0</formula>
    </cfRule>
  </conditionalFormatting>
  <conditionalFormatting sqref="CP8:CQ8">
    <cfRule type="cellIs" dxfId="2353" priority="988" operator="equal">
      <formula>0</formula>
    </cfRule>
  </conditionalFormatting>
  <conditionalFormatting sqref="CP8:CQ8">
    <cfRule type="cellIs" dxfId="2352" priority="987" operator="equal">
      <formula>0</formula>
    </cfRule>
  </conditionalFormatting>
  <conditionalFormatting sqref="CP8:CQ8">
    <cfRule type="cellIs" dxfId="2351" priority="986" operator="equal">
      <formula>0</formula>
    </cfRule>
  </conditionalFormatting>
  <conditionalFormatting sqref="CP8:CQ8">
    <cfRule type="cellIs" dxfId="2350" priority="985" operator="equal">
      <formula>0</formula>
    </cfRule>
  </conditionalFormatting>
  <conditionalFormatting sqref="CP8:CQ8">
    <cfRule type="cellIs" dxfId="2349" priority="984" operator="equal">
      <formula>0</formula>
    </cfRule>
  </conditionalFormatting>
  <conditionalFormatting sqref="CP8:CQ8">
    <cfRule type="cellIs" dxfId="2348" priority="983" operator="equal">
      <formula>0</formula>
    </cfRule>
  </conditionalFormatting>
  <conditionalFormatting sqref="CP8:CQ8">
    <cfRule type="cellIs" dxfId="2347" priority="982" operator="equal">
      <formula>0</formula>
    </cfRule>
  </conditionalFormatting>
  <conditionalFormatting sqref="CP8:CQ8">
    <cfRule type="cellIs" dxfId="2346" priority="981" operator="equal">
      <formula>0</formula>
    </cfRule>
  </conditionalFormatting>
  <conditionalFormatting sqref="CP8:CQ8">
    <cfRule type="cellIs" dxfId="2345" priority="980" operator="equal">
      <formula>0</formula>
    </cfRule>
  </conditionalFormatting>
  <conditionalFormatting sqref="CP8:CQ8">
    <cfRule type="cellIs" dxfId="2344" priority="979" operator="equal">
      <formula>0</formula>
    </cfRule>
  </conditionalFormatting>
  <conditionalFormatting sqref="CP8:CQ8">
    <cfRule type="cellIs" dxfId="2343" priority="978" operator="equal">
      <formula>0</formula>
    </cfRule>
  </conditionalFormatting>
  <conditionalFormatting sqref="CP8:CQ8">
    <cfRule type="cellIs" dxfId="2342" priority="977" operator="equal">
      <formula>0</formula>
    </cfRule>
  </conditionalFormatting>
  <conditionalFormatting sqref="CP8:CQ8">
    <cfRule type="cellIs" dxfId="2341" priority="976" operator="equal">
      <formula>0</formula>
    </cfRule>
  </conditionalFormatting>
  <conditionalFormatting sqref="CP8:CQ8">
    <cfRule type="cellIs" dxfId="2340" priority="975" operator="equal">
      <formula>0</formula>
    </cfRule>
  </conditionalFormatting>
  <conditionalFormatting sqref="CP8:CQ8">
    <cfRule type="cellIs" dxfId="2339" priority="974" operator="equal">
      <formula>0</formula>
    </cfRule>
  </conditionalFormatting>
  <conditionalFormatting sqref="CP8:CQ8">
    <cfRule type="cellIs" dxfId="2338" priority="973" operator="equal">
      <formula>0</formula>
    </cfRule>
  </conditionalFormatting>
  <conditionalFormatting sqref="CP8:CQ8">
    <cfRule type="cellIs" dxfId="2337" priority="972" operator="equal">
      <formula>0</formula>
    </cfRule>
  </conditionalFormatting>
  <conditionalFormatting sqref="CP8:CQ8">
    <cfRule type="cellIs" dxfId="2336" priority="971" operator="equal">
      <formula>0</formula>
    </cfRule>
  </conditionalFormatting>
  <conditionalFormatting sqref="CP8:CQ8">
    <cfRule type="cellIs" dxfId="2335" priority="970" operator="equal">
      <formula>0</formula>
    </cfRule>
  </conditionalFormatting>
  <conditionalFormatting sqref="CP8:CQ8">
    <cfRule type="cellIs" dxfId="2334" priority="969" operator="equal">
      <formula>0</formula>
    </cfRule>
  </conditionalFormatting>
  <conditionalFormatting sqref="CP8:CQ8">
    <cfRule type="cellIs" dxfId="2333" priority="968" operator="equal">
      <formula>0</formula>
    </cfRule>
  </conditionalFormatting>
  <conditionalFormatting sqref="CP8:CQ8">
    <cfRule type="cellIs" dxfId="2332" priority="967" operator="equal">
      <formula>0</formula>
    </cfRule>
  </conditionalFormatting>
  <conditionalFormatting sqref="CP8:CQ8">
    <cfRule type="cellIs" dxfId="2331" priority="966" operator="equal">
      <formula>0</formula>
    </cfRule>
  </conditionalFormatting>
  <conditionalFormatting sqref="CP8:CQ8">
    <cfRule type="cellIs" dxfId="2330" priority="965" operator="equal">
      <formula>0</formula>
    </cfRule>
  </conditionalFormatting>
  <conditionalFormatting sqref="CP8:CQ8">
    <cfRule type="cellIs" dxfId="2329" priority="964" operator="equal">
      <formula>0</formula>
    </cfRule>
  </conditionalFormatting>
  <conditionalFormatting sqref="CP8:CQ8">
    <cfRule type="cellIs" dxfId="2328" priority="963" operator="equal">
      <formula>0</formula>
    </cfRule>
  </conditionalFormatting>
  <conditionalFormatting sqref="CP8:CQ8">
    <cfRule type="cellIs" dxfId="2327" priority="962" operator="equal">
      <formula>0</formula>
    </cfRule>
  </conditionalFormatting>
  <conditionalFormatting sqref="CP8:CQ8">
    <cfRule type="cellIs" dxfId="2326" priority="961" operator="equal">
      <formula>0</formula>
    </cfRule>
  </conditionalFormatting>
  <conditionalFormatting sqref="CP8:CQ8">
    <cfRule type="cellIs" dxfId="2325" priority="960" operator="equal">
      <formula>0</formula>
    </cfRule>
  </conditionalFormatting>
  <conditionalFormatting sqref="CP8:CQ8">
    <cfRule type="cellIs" dxfId="2324" priority="959" operator="equal">
      <formula>0</formula>
    </cfRule>
  </conditionalFormatting>
  <conditionalFormatting sqref="CP8:CQ8">
    <cfRule type="cellIs" dxfId="2323" priority="958" operator="equal">
      <formula>0</formula>
    </cfRule>
  </conditionalFormatting>
  <conditionalFormatting sqref="CP8:CQ8">
    <cfRule type="cellIs" dxfId="2322" priority="957" operator="equal">
      <formula>0</formula>
    </cfRule>
  </conditionalFormatting>
  <conditionalFormatting sqref="CP8:CQ8">
    <cfRule type="cellIs" dxfId="2321" priority="956" operator="equal">
      <formula>0</formula>
    </cfRule>
  </conditionalFormatting>
  <conditionalFormatting sqref="CP8:CQ8">
    <cfRule type="cellIs" dxfId="2320" priority="955" operator="equal">
      <formula>0</formula>
    </cfRule>
  </conditionalFormatting>
  <conditionalFormatting sqref="CP8:CQ8">
    <cfRule type="cellIs" dxfId="2319" priority="954" operator="equal">
      <formula>0</formula>
    </cfRule>
  </conditionalFormatting>
  <conditionalFormatting sqref="CP8:CQ8">
    <cfRule type="cellIs" dxfId="2318" priority="953" operator="equal">
      <formula>0</formula>
    </cfRule>
  </conditionalFormatting>
  <conditionalFormatting sqref="CP8:CQ8">
    <cfRule type="cellIs" dxfId="2317" priority="952" operator="equal">
      <formula>0</formula>
    </cfRule>
  </conditionalFormatting>
  <conditionalFormatting sqref="CP8:CQ8">
    <cfRule type="cellIs" dxfId="2316" priority="951" operator="equal">
      <formula>0</formula>
    </cfRule>
  </conditionalFormatting>
  <conditionalFormatting sqref="CP8:CQ8">
    <cfRule type="cellIs" dxfId="2315" priority="950" operator="equal">
      <formula>0</formula>
    </cfRule>
  </conditionalFormatting>
  <conditionalFormatting sqref="CP8:CQ8">
    <cfRule type="cellIs" dxfId="2314" priority="949" operator="equal">
      <formula>0</formula>
    </cfRule>
  </conditionalFormatting>
  <conditionalFormatting sqref="CP8:CQ8">
    <cfRule type="cellIs" dxfId="2313" priority="948" operator="equal">
      <formula>0</formula>
    </cfRule>
  </conditionalFormatting>
  <conditionalFormatting sqref="CP8:CQ8">
    <cfRule type="cellIs" dxfId="2312" priority="947" operator="equal">
      <formula>0</formula>
    </cfRule>
  </conditionalFormatting>
  <conditionalFormatting sqref="CP8:CQ8">
    <cfRule type="cellIs" dxfId="2311" priority="946" operator="equal">
      <formula>0</formula>
    </cfRule>
  </conditionalFormatting>
  <conditionalFormatting sqref="CP8:CQ8">
    <cfRule type="cellIs" dxfId="2310" priority="945" operator="equal">
      <formula>0</formula>
    </cfRule>
  </conditionalFormatting>
  <conditionalFormatting sqref="CP8:CQ8">
    <cfRule type="cellIs" dxfId="2309" priority="944" operator="equal">
      <formula>0</formula>
    </cfRule>
  </conditionalFormatting>
  <conditionalFormatting sqref="CP8:CQ8">
    <cfRule type="cellIs" dxfId="2308" priority="943" operator="equal">
      <formula>0</formula>
    </cfRule>
  </conditionalFormatting>
  <conditionalFormatting sqref="CP8:CQ8">
    <cfRule type="cellIs" dxfId="2307" priority="942" operator="equal">
      <formula>0</formula>
    </cfRule>
  </conditionalFormatting>
  <conditionalFormatting sqref="CP8:CQ8">
    <cfRule type="cellIs" dxfId="2306" priority="941" operator="equal">
      <formula>0</formula>
    </cfRule>
  </conditionalFormatting>
  <conditionalFormatting sqref="CP8:CQ8">
    <cfRule type="cellIs" dxfId="2305" priority="940" operator="equal">
      <formula>0</formula>
    </cfRule>
  </conditionalFormatting>
  <conditionalFormatting sqref="CP8:CQ8">
    <cfRule type="cellIs" dxfId="2304" priority="939" operator="equal">
      <formula>0</formula>
    </cfRule>
  </conditionalFormatting>
  <conditionalFormatting sqref="CP8:CQ8">
    <cfRule type="cellIs" dxfId="2303" priority="938" operator="equal">
      <formula>0</formula>
    </cfRule>
  </conditionalFormatting>
  <conditionalFormatting sqref="CP8:CQ8">
    <cfRule type="cellIs" dxfId="2302" priority="937" operator="equal">
      <formula>0</formula>
    </cfRule>
  </conditionalFormatting>
  <conditionalFormatting sqref="CP8:CQ8">
    <cfRule type="cellIs" dxfId="2301" priority="936" operator="equal">
      <formula>0</formula>
    </cfRule>
  </conditionalFormatting>
  <conditionalFormatting sqref="CP8:CQ8">
    <cfRule type="cellIs" dxfId="2300" priority="935" operator="equal">
      <formula>0</formula>
    </cfRule>
  </conditionalFormatting>
  <conditionalFormatting sqref="CP8:CQ8">
    <cfRule type="cellIs" dxfId="2299" priority="934" operator="equal">
      <formula>0</formula>
    </cfRule>
  </conditionalFormatting>
  <conditionalFormatting sqref="CP8:CQ8">
    <cfRule type="cellIs" dxfId="2298" priority="933" operator="equal">
      <formula>0</formula>
    </cfRule>
  </conditionalFormatting>
  <conditionalFormatting sqref="CP8:CQ8">
    <cfRule type="cellIs" dxfId="2297" priority="932" operator="equal">
      <formula>0</formula>
    </cfRule>
  </conditionalFormatting>
  <conditionalFormatting sqref="CP8:CQ8">
    <cfRule type="cellIs" dxfId="2296" priority="931" operator="equal">
      <formula>0</formula>
    </cfRule>
  </conditionalFormatting>
  <conditionalFormatting sqref="CP8:CQ8">
    <cfRule type="cellIs" dxfId="2295" priority="930" operator="equal">
      <formula>0</formula>
    </cfRule>
  </conditionalFormatting>
  <conditionalFormatting sqref="CP8:CQ8">
    <cfRule type="cellIs" dxfId="2294" priority="929" operator="equal">
      <formula>0</formula>
    </cfRule>
  </conditionalFormatting>
  <conditionalFormatting sqref="CP8:CQ8">
    <cfRule type="cellIs" dxfId="2293" priority="928" operator="equal">
      <formula>0</formula>
    </cfRule>
  </conditionalFormatting>
  <conditionalFormatting sqref="CP8:CQ8">
    <cfRule type="cellIs" dxfId="2292" priority="927" operator="equal">
      <formula>0</formula>
    </cfRule>
  </conditionalFormatting>
  <conditionalFormatting sqref="CP8:CQ8">
    <cfRule type="cellIs" dxfId="2291" priority="926" operator="equal">
      <formula>0</formula>
    </cfRule>
  </conditionalFormatting>
  <conditionalFormatting sqref="CP8:CQ8">
    <cfRule type="cellIs" dxfId="2290" priority="925" operator="equal">
      <formula>0</formula>
    </cfRule>
  </conditionalFormatting>
  <conditionalFormatting sqref="CP8:CQ8">
    <cfRule type="cellIs" dxfId="2289" priority="924" operator="equal">
      <formula>0</formula>
    </cfRule>
  </conditionalFormatting>
  <conditionalFormatting sqref="CP8:CQ8">
    <cfRule type="cellIs" dxfId="2288" priority="923" operator="equal">
      <formula>0</formula>
    </cfRule>
  </conditionalFormatting>
  <conditionalFormatting sqref="CP8:CQ8">
    <cfRule type="cellIs" dxfId="2287" priority="922" operator="equal">
      <formula>0</formula>
    </cfRule>
  </conditionalFormatting>
  <conditionalFormatting sqref="CP8:CQ8">
    <cfRule type="cellIs" dxfId="2286" priority="921" operator="equal">
      <formula>0</formula>
    </cfRule>
  </conditionalFormatting>
  <conditionalFormatting sqref="CP8:CQ8">
    <cfRule type="cellIs" dxfId="2285" priority="920" operator="equal">
      <formula>0</formula>
    </cfRule>
  </conditionalFormatting>
  <conditionalFormatting sqref="CP8:CQ8">
    <cfRule type="cellIs" dxfId="2284" priority="919" operator="equal">
      <formula>0</formula>
    </cfRule>
  </conditionalFormatting>
  <conditionalFormatting sqref="CP8:CQ8">
    <cfRule type="cellIs" dxfId="2283" priority="918" operator="equal">
      <formula>0</formula>
    </cfRule>
  </conditionalFormatting>
  <conditionalFormatting sqref="CP8:CQ8">
    <cfRule type="cellIs" dxfId="2282" priority="917" operator="equal">
      <formula>0</formula>
    </cfRule>
  </conditionalFormatting>
  <conditionalFormatting sqref="CP8:CQ8">
    <cfRule type="cellIs" dxfId="2281" priority="916" operator="equal">
      <formula>0</formula>
    </cfRule>
  </conditionalFormatting>
  <conditionalFormatting sqref="CP8:CQ8">
    <cfRule type="cellIs" dxfId="2280" priority="915" operator="equal">
      <formula>0</formula>
    </cfRule>
  </conditionalFormatting>
  <conditionalFormatting sqref="CP8:CQ8">
    <cfRule type="cellIs" dxfId="2279" priority="914" operator="equal">
      <formula>0</formula>
    </cfRule>
  </conditionalFormatting>
  <conditionalFormatting sqref="CP8:CQ8">
    <cfRule type="cellIs" dxfId="2278" priority="913" operator="equal">
      <formula>0</formula>
    </cfRule>
  </conditionalFormatting>
  <conditionalFormatting sqref="CP8:CQ8">
    <cfRule type="cellIs" dxfId="2277" priority="912" operator="equal">
      <formula>0</formula>
    </cfRule>
  </conditionalFormatting>
  <conditionalFormatting sqref="CP8:CQ8">
    <cfRule type="cellIs" dxfId="2276" priority="911" operator="equal">
      <formula>0</formula>
    </cfRule>
  </conditionalFormatting>
  <conditionalFormatting sqref="CP8:CQ8">
    <cfRule type="cellIs" dxfId="2275" priority="910" operator="equal">
      <formula>0</formula>
    </cfRule>
  </conditionalFormatting>
  <conditionalFormatting sqref="CP8:CQ8">
    <cfRule type="cellIs" dxfId="2274" priority="909" operator="equal">
      <formula>0</formula>
    </cfRule>
  </conditionalFormatting>
  <conditionalFormatting sqref="CP8:CQ8">
    <cfRule type="cellIs" dxfId="2273" priority="908" operator="equal">
      <formula>0</formula>
    </cfRule>
  </conditionalFormatting>
  <conditionalFormatting sqref="CP8:CQ8">
    <cfRule type="cellIs" dxfId="2272" priority="907" operator="equal">
      <formula>0</formula>
    </cfRule>
  </conditionalFormatting>
  <conditionalFormatting sqref="CP8:CQ8">
    <cfRule type="cellIs" dxfId="2271" priority="906" operator="equal">
      <formula>0</formula>
    </cfRule>
  </conditionalFormatting>
  <conditionalFormatting sqref="CP8:CQ8">
    <cfRule type="cellIs" dxfId="2270" priority="905" operator="equal">
      <formula>0</formula>
    </cfRule>
  </conditionalFormatting>
  <conditionalFormatting sqref="CP8:CQ8">
    <cfRule type="cellIs" dxfId="2269" priority="904" operator="equal">
      <formula>0</formula>
    </cfRule>
  </conditionalFormatting>
  <conditionalFormatting sqref="CP8:CQ8">
    <cfRule type="cellIs" dxfId="2268" priority="903" operator="equal">
      <formula>0</formula>
    </cfRule>
  </conditionalFormatting>
  <conditionalFormatting sqref="CP8:CQ8">
    <cfRule type="cellIs" dxfId="2267" priority="902" operator="equal">
      <formula>0</formula>
    </cfRule>
  </conditionalFormatting>
  <conditionalFormatting sqref="CP8:CQ8">
    <cfRule type="cellIs" dxfId="2266" priority="901" operator="equal">
      <formula>0</formula>
    </cfRule>
  </conditionalFormatting>
  <conditionalFormatting sqref="CP8:CQ8">
    <cfRule type="cellIs" dxfId="2265" priority="900" operator="equal">
      <formula>0</formula>
    </cfRule>
  </conditionalFormatting>
  <conditionalFormatting sqref="CP8:CQ8">
    <cfRule type="cellIs" dxfId="2264" priority="899" operator="equal">
      <formula>0</formula>
    </cfRule>
  </conditionalFormatting>
  <conditionalFormatting sqref="CP8:CQ8">
    <cfRule type="cellIs" dxfId="2263" priority="898" operator="equal">
      <formula>0</formula>
    </cfRule>
  </conditionalFormatting>
  <conditionalFormatting sqref="CP8:CQ8">
    <cfRule type="cellIs" dxfId="2262" priority="897" operator="equal">
      <formula>0</formula>
    </cfRule>
  </conditionalFormatting>
  <conditionalFormatting sqref="CP8:CQ8">
    <cfRule type="cellIs" dxfId="2261" priority="896" operator="equal">
      <formula>0</formula>
    </cfRule>
  </conditionalFormatting>
  <conditionalFormatting sqref="CP8:CQ8">
    <cfRule type="cellIs" dxfId="2260" priority="895" operator="equal">
      <formula>0</formula>
    </cfRule>
  </conditionalFormatting>
  <conditionalFormatting sqref="CP8:CQ8">
    <cfRule type="cellIs" dxfId="2259" priority="894" operator="equal">
      <formula>0</formula>
    </cfRule>
  </conditionalFormatting>
  <conditionalFormatting sqref="CP8:CQ8">
    <cfRule type="cellIs" dxfId="2258" priority="893" operator="equal">
      <formula>0</formula>
    </cfRule>
  </conditionalFormatting>
  <conditionalFormatting sqref="CP8:CQ8">
    <cfRule type="cellIs" dxfId="2257" priority="892" operator="equal">
      <formula>0</formula>
    </cfRule>
  </conditionalFormatting>
  <conditionalFormatting sqref="CP8:CQ8">
    <cfRule type="cellIs" dxfId="2256" priority="891" operator="equal">
      <formula>0</formula>
    </cfRule>
  </conditionalFormatting>
  <conditionalFormatting sqref="CP8:CQ8">
    <cfRule type="cellIs" dxfId="2255" priority="890" operator="equal">
      <formula>0</formula>
    </cfRule>
  </conditionalFormatting>
  <conditionalFormatting sqref="CP8:CQ8">
    <cfRule type="cellIs" dxfId="2254" priority="889" operator="equal">
      <formula>0</formula>
    </cfRule>
  </conditionalFormatting>
  <conditionalFormatting sqref="CP8:CQ8">
    <cfRule type="cellIs" dxfId="2253" priority="888" operator="equal">
      <formula>0</formula>
    </cfRule>
  </conditionalFormatting>
  <conditionalFormatting sqref="CP8:CQ8">
    <cfRule type="cellIs" dxfId="2252" priority="887" operator="equal">
      <formula>0</formula>
    </cfRule>
  </conditionalFormatting>
  <conditionalFormatting sqref="CP8:CQ8">
    <cfRule type="cellIs" dxfId="2251" priority="886" operator="equal">
      <formula>0</formula>
    </cfRule>
  </conditionalFormatting>
  <conditionalFormatting sqref="CP8:CQ8">
    <cfRule type="cellIs" dxfId="2250" priority="885" operator="equal">
      <formula>0</formula>
    </cfRule>
  </conditionalFormatting>
  <conditionalFormatting sqref="CP8:CQ8">
    <cfRule type="cellIs" dxfId="2249" priority="884" operator="equal">
      <formula>0</formula>
    </cfRule>
  </conditionalFormatting>
  <conditionalFormatting sqref="CP8:CQ8">
    <cfRule type="cellIs" dxfId="2248" priority="883" operator="equal">
      <formula>0</formula>
    </cfRule>
  </conditionalFormatting>
  <conditionalFormatting sqref="CP8:CQ8">
    <cfRule type="cellIs" dxfId="2247" priority="882" operator="equal">
      <formula>0</formula>
    </cfRule>
  </conditionalFormatting>
  <conditionalFormatting sqref="CP8:CQ8">
    <cfRule type="cellIs" dxfId="2246" priority="881" operator="equal">
      <formula>0</formula>
    </cfRule>
  </conditionalFormatting>
  <conditionalFormatting sqref="CP8:CQ8">
    <cfRule type="cellIs" dxfId="2245" priority="880" operator="equal">
      <formula>0</formula>
    </cfRule>
  </conditionalFormatting>
  <conditionalFormatting sqref="CP8:CQ8">
    <cfRule type="cellIs" dxfId="2244" priority="879" operator="equal">
      <formula>0</formula>
    </cfRule>
  </conditionalFormatting>
  <conditionalFormatting sqref="CP8:CQ8">
    <cfRule type="cellIs" dxfId="2243" priority="878" operator="equal">
      <formula>0</formula>
    </cfRule>
  </conditionalFormatting>
  <conditionalFormatting sqref="CP8:CQ8">
    <cfRule type="cellIs" dxfId="2242" priority="877" operator="equal">
      <formula>0</formula>
    </cfRule>
  </conditionalFormatting>
  <conditionalFormatting sqref="CP8:CQ8">
    <cfRule type="cellIs" dxfId="2241" priority="876" operator="equal">
      <formula>0</formula>
    </cfRule>
  </conditionalFormatting>
  <conditionalFormatting sqref="CP8:CQ8">
    <cfRule type="cellIs" dxfId="2240" priority="875" operator="equal">
      <formula>0</formula>
    </cfRule>
  </conditionalFormatting>
  <conditionalFormatting sqref="CP8:CQ8">
    <cfRule type="cellIs" dxfId="2239" priority="874" operator="equal">
      <formula>0</formula>
    </cfRule>
  </conditionalFormatting>
  <conditionalFormatting sqref="CP8:CQ8">
    <cfRule type="cellIs" dxfId="2238" priority="873" operator="equal">
      <formula>0</formula>
    </cfRule>
  </conditionalFormatting>
  <conditionalFormatting sqref="CP8:CQ8">
    <cfRule type="cellIs" dxfId="2237" priority="872" operator="equal">
      <formula>0</formula>
    </cfRule>
  </conditionalFormatting>
  <conditionalFormatting sqref="CP8:CQ8">
    <cfRule type="cellIs" dxfId="2236" priority="871" operator="equal">
      <formula>0</formula>
    </cfRule>
  </conditionalFormatting>
  <conditionalFormatting sqref="CP8:CQ8">
    <cfRule type="cellIs" dxfId="2235" priority="870" operator="equal">
      <formula>0</formula>
    </cfRule>
  </conditionalFormatting>
  <conditionalFormatting sqref="CP8:CQ8">
    <cfRule type="cellIs" dxfId="2234" priority="869" operator="equal">
      <formula>0</formula>
    </cfRule>
  </conditionalFormatting>
  <conditionalFormatting sqref="CP8:CQ8">
    <cfRule type="cellIs" dxfId="2233" priority="868" operator="equal">
      <formula>0</formula>
    </cfRule>
  </conditionalFormatting>
  <conditionalFormatting sqref="CP8:CQ8">
    <cfRule type="cellIs" dxfId="2232" priority="867" operator="equal">
      <formula>0</formula>
    </cfRule>
  </conditionalFormatting>
  <conditionalFormatting sqref="CP8:CQ8">
    <cfRule type="cellIs" dxfId="2231" priority="866" operator="equal">
      <formula>0</formula>
    </cfRule>
  </conditionalFormatting>
  <conditionalFormatting sqref="CP8:CQ8">
    <cfRule type="cellIs" dxfId="2230" priority="865" operator="equal">
      <formula>0</formula>
    </cfRule>
  </conditionalFormatting>
  <conditionalFormatting sqref="CP8:CQ8">
    <cfRule type="cellIs" dxfId="2229" priority="864" operator="equal">
      <formula>0</formula>
    </cfRule>
  </conditionalFormatting>
  <conditionalFormatting sqref="CP8:CQ8">
    <cfRule type="cellIs" dxfId="2228" priority="863" operator="equal">
      <formula>0</formula>
    </cfRule>
  </conditionalFormatting>
  <conditionalFormatting sqref="CP8:CQ8">
    <cfRule type="cellIs" dxfId="2227" priority="862" operator="equal">
      <formula>0</formula>
    </cfRule>
  </conditionalFormatting>
  <conditionalFormatting sqref="CP8:CQ8">
    <cfRule type="cellIs" dxfId="2226" priority="861" operator="equal">
      <formula>0</formula>
    </cfRule>
  </conditionalFormatting>
  <conditionalFormatting sqref="CP8:CQ8">
    <cfRule type="cellIs" dxfId="2225" priority="860" operator="equal">
      <formula>0</formula>
    </cfRule>
  </conditionalFormatting>
  <conditionalFormatting sqref="CP8:CQ8">
    <cfRule type="cellIs" dxfId="2224" priority="859" operator="equal">
      <formula>0</formula>
    </cfRule>
  </conditionalFormatting>
  <conditionalFormatting sqref="CP8:CQ8">
    <cfRule type="cellIs" dxfId="2223" priority="858" operator="equal">
      <formula>0</formula>
    </cfRule>
  </conditionalFormatting>
  <conditionalFormatting sqref="CP8:CQ8">
    <cfRule type="cellIs" dxfId="2222" priority="857" operator="equal">
      <formula>0</formula>
    </cfRule>
  </conditionalFormatting>
  <conditionalFormatting sqref="CP8:CQ8">
    <cfRule type="cellIs" dxfId="2221" priority="856" operator="equal">
      <formula>0</formula>
    </cfRule>
  </conditionalFormatting>
  <conditionalFormatting sqref="CP8:CQ8">
    <cfRule type="cellIs" dxfId="2220" priority="855" operator="equal">
      <formula>0</formula>
    </cfRule>
  </conditionalFormatting>
  <conditionalFormatting sqref="CP8:CQ8">
    <cfRule type="cellIs" dxfId="2219" priority="854" operator="equal">
      <formula>0</formula>
    </cfRule>
  </conditionalFormatting>
  <conditionalFormatting sqref="CP8:CQ8">
    <cfRule type="cellIs" dxfId="2218" priority="853" operator="equal">
      <formula>0</formula>
    </cfRule>
  </conditionalFormatting>
  <conditionalFormatting sqref="CP8:CQ8">
    <cfRule type="cellIs" dxfId="2217" priority="852" operator="equal">
      <formula>0</formula>
    </cfRule>
  </conditionalFormatting>
  <conditionalFormatting sqref="CP8:CQ8">
    <cfRule type="cellIs" dxfId="2216" priority="851" operator="equal">
      <formula>0</formula>
    </cfRule>
  </conditionalFormatting>
  <conditionalFormatting sqref="CP8:CQ8">
    <cfRule type="cellIs" dxfId="2215" priority="850" operator="equal">
      <formula>0</formula>
    </cfRule>
  </conditionalFormatting>
  <conditionalFormatting sqref="CP8:CQ8">
    <cfRule type="cellIs" dxfId="2214" priority="849" operator="equal">
      <formula>0</formula>
    </cfRule>
  </conditionalFormatting>
  <conditionalFormatting sqref="CP8:CQ8">
    <cfRule type="cellIs" dxfId="2213" priority="848" operator="equal">
      <formula>0</formula>
    </cfRule>
  </conditionalFormatting>
  <conditionalFormatting sqref="CP8:CQ8">
    <cfRule type="cellIs" dxfId="2212" priority="847" operator="equal">
      <formula>0</formula>
    </cfRule>
  </conditionalFormatting>
  <conditionalFormatting sqref="CP8:CQ8">
    <cfRule type="cellIs" dxfId="2211" priority="846" operator="equal">
      <formula>0</formula>
    </cfRule>
  </conditionalFormatting>
  <conditionalFormatting sqref="CP8:CQ8">
    <cfRule type="cellIs" dxfId="2210" priority="845" operator="equal">
      <formula>0</formula>
    </cfRule>
  </conditionalFormatting>
  <conditionalFormatting sqref="CP8:CQ8">
    <cfRule type="cellIs" dxfId="2209" priority="844" operator="equal">
      <formula>0</formula>
    </cfRule>
  </conditionalFormatting>
  <conditionalFormatting sqref="CP8:CQ8">
    <cfRule type="cellIs" dxfId="2208" priority="843" operator="equal">
      <formula>0</formula>
    </cfRule>
  </conditionalFormatting>
  <conditionalFormatting sqref="CP8:CQ8">
    <cfRule type="cellIs" dxfId="2207" priority="842" operator="equal">
      <formula>0</formula>
    </cfRule>
  </conditionalFormatting>
  <conditionalFormatting sqref="CP8:CQ8">
    <cfRule type="cellIs" dxfId="2206" priority="841" operator="equal">
      <formula>0</formula>
    </cfRule>
  </conditionalFormatting>
  <conditionalFormatting sqref="CP8:CQ8">
    <cfRule type="cellIs" dxfId="2205" priority="840" operator="equal">
      <formula>0</formula>
    </cfRule>
  </conditionalFormatting>
  <conditionalFormatting sqref="CP8:CQ8">
    <cfRule type="cellIs" dxfId="2204" priority="839" operator="equal">
      <formula>0</formula>
    </cfRule>
  </conditionalFormatting>
  <conditionalFormatting sqref="CP8:CQ8">
    <cfRule type="cellIs" dxfId="2203" priority="838" operator="equal">
      <formula>0</formula>
    </cfRule>
  </conditionalFormatting>
  <conditionalFormatting sqref="CP8:CQ8">
    <cfRule type="cellIs" dxfId="2202" priority="837" operator="equal">
      <formula>0</formula>
    </cfRule>
  </conditionalFormatting>
  <conditionalFormatting sqref="CP8:CQ8">
    <cfRule type="cellIs" dxfId="2201" priority="836" operator="equal">
      <formula>0</formula>
    </cfRule>
  </conditionalFormatting>
  <conditionalFormatting sqref="CP8:CQ8">
    <cfRule type="cellIs" dxfId="2200" priority="835" operator="equal">
      <formula>0</formula>
    </cfRule>
  </conditionalFormatting>
  <conditionalFormatting sqref="CP8:CQ8">
    <cfRule type="cellIs" dxfId="2199" priority="834" operator="equal">
      <formula>0</formula>
    </cfRule>
  </conditionalFormatting>
  <conditionalFormatting sqref="CP8:CQ8">
    <cfRule type="cellIs" dxfId="2198" priority="833" operator="equal">
      <formula>0</formula>
    </cfRule>
  </conditionalFormatting>
  <conditionalFormatting sqref="CP8:CQ8">
    <cfRule type="cellIs" dxfId="2197" priority="832" operator="equal">
      <formula>0</formula>
    </cfRule>
  </conditionalFormatting>
  <conditionalFormatting sqref="CP8:CQ8">
    <cfRule type="cellIs" dxfId="2196" priority="831" operator="equal">
      <formula>0</formula>
    </cfRule>
  </conditionalFormatting>
  <conditionalFormatting sqref="CP8:CQ8">
    <cfRule type="cellIs" dxfId="2195" priority="830" operator="equal">
      <formula>0</formula>
    </cfRule>
  </conditionalFormatting>
  <conditionalFormatting sqref="CP8:CQ8">
    <cfRule type="cellIs" dxfId="2194" priority="829" operator="equal">
      <formula>0</formula>
    </cfRule>
  </conditionalFormatting>
  <conditionalFormatting sqref="CP8:CQ8">
    <cfRule type="cellIs" dxfId="2193" priority="828" operator="equal">
      <formula>0</formula>
    </cfRule>
  </conditionalFormatting>
  <conditionalFormatting sqref="CP8:CQ8">
    <cfRule type="cellIs" dxfId="2192" priority="827" operator="equal">
      <formula>0</formula>
    </cfRule>
  </conditionalFormatting>
  <conditionalFormatting sqref="CP8:CQ8">
    <cfRule type="cellIs" dxfId="2191" priority="826" operator="equal">
      <formula>0</formula>
    </cfRule>
  </conditionalFormatting>
  <conditionalFormatting sqref="CP8:CQ8">
    <cfRule type="cellIs" dxfId="2190" priority="825" operator="equal">
      <formula>0</formula>
    </cfRule>
  </conditionalFormatting>
  <conditionalFormatting sqref="CP8:CQ8">
    <cfRule type="cellIs" dxfId="2189" priority="824" operator="equal">
      <formula>0</formula>
    </cfRule>
  </conditionalFormatting>
  <conditionalFormatting sqref="CP8:CQ8">
    <cfRule type="cellIs" dxfId="2188" priority="823" operator="equal">
      <formula>0</formula>
    </cfRule>
  </conditionalFormatting>
  <conditionalFormatting sqref="CP8:CQ8">
    <cfRule type="cellIs" dxfId="2187" priority="822" operator="equal">
      <formula>0</formula>
    </cfRule>
  </conditionalFormatting>
  <conditionalFormatting sqref="CP8:CQ8">
    <cfRule type="cellIs" dxfId="2186" priority="821" operator="equal">
      <formula>0</formula>
    </cfRule>
  </conditionalFormatting>
  <conditionalFormatting sqref="CP8:CQ8">
    <cfRule type="cellIs" dxfId="2185" priority="820" operator="equal">
      <formula>0</formula>
    </cfRule>
  </conditionalFormatting>
  <conditionalFormatting sqref="CP8:CQ8">
    <cfRule type="cellIs" dxfId="2184" priority="819" operator="equal">
      <formula>0</formula>
    </cfRule>
  </conditionalFormatting>
  <conditionalFormatting sqref="CP8:CQ8">
    <cfRule type="cellIs" dxfId="2183" priority="818" operator="equal">
      <formula>0</formula>
    </cfRule>
  </conditionalFormatting>
  <conditionalFormatting sqref="CP8:CQ8">
    <cfRule type="cellIs" dxfId="2182" priority="817" operator="equal">
      <formula>0</formula>
    </cfRule>
  </conditionalFormatting>
  <conditionalFormatting sqref="CP8:CQ8">
    <cfRule type="cellIs" dxfId="2181" priority="816" operator="equal">
      <formula>0</formula>
    </cfRule>
  </conditionalFormatting>
  <conditionalFormatting sqref="CP8:CQ8">
    <cfRule type="cellIs" dxfId="2180" priority="815" operator="equal">
      <formula>0</formula>
    </cfRule>
  </conditionalFormatting>
  <conditionalFormatting sqref="CP8:CQ8">
    <cfRule type="cellIs" dxfId="2179" priority="814" operator="equal">
      <formula>0</formula>
    </cfRule>
  </conditionalFormatting>
  <conditionalFormatting sqref="CP8:CQ8">
    <cfRule type="cellIs" dxfId="2178" priority="813" operator="equal">
      <formula>0</formula>
    </cfRule>
  </conditionalFormatting>
  <conditionalFormatting sqref="CP8:CQ8">
    <cfRule type="cellIs" dxfId="2177" priority="812" operator="equal">
      <formula>0</formula>
    </cfRule>
  </conditionalFormatting>
  <conditionalFormatting sqref="CP8:CQ8">
    <cfRule type="cellIs" dxfId="2176" priority="811" operator="equal">
      <formula>0</formula>
    </cfRule>
  </conditionalFormatting>
  <conditionalFormatting sqref="CP8:CQ8">
    <cfRule type="cellIs" dxfId="2175" priority="810" operator="equal">
      <formula>0</formula>
    </cfRule>
  </conditionalFormatting>
  <conditionalFormatting sqref="CP8:CQ8">
    <cfRule type="cellIs" dxfId="2174" priority="809" operator="equal">
      <formula>0</formula>
    </cfRule>
  </conditionalFormatting>
  <conditionalFormatting sqref="CP8:CQ8">
    <cfRule type="cellIs" dxfId="2173" priority="808" operator="equal">
      <formula>0</formula>
    </cfRule>
  </conditionalFormatting>
  <conditionalFormatting sqref="CP8:CQ8">
    <cfRule type="cellIs" dxfId="2172" priority="807" operator="equal">
      <formula>0</formula>
    </cfRule>
  </conditionalFormatting>
  <conditionalFormatting sqref="CP8:CQ8">
    <cfRule type="cellIs" dxfId="2171" priority="806" operator="equal">
      <formula>0</formula>
    </cfRule>
  </conditionalFormatting>
  <conditionalFormatting sqref="CP8:CQ8">
    <cfRule type="cellIs" dxfId="2170" priority="805" operator="equal">
      <formula>0</formula>
    </cfRule>
  </conditionalFormatting>
  <conditionalFormatting sqref="CP8:CQ8">
    <cfRule type="cellIs" dxfId="2169" priority="804" operator="equal">
      <formula>0</formula>
    </cfRule>
  </conditionalFormatting>
  <conditionalFormatting sqref="CP8:CQ8">
    <cfRule type="cellIs" dxfId="2168" priority="803" operator="equal">
      <formula>0</formula>
    </cfRule>
  </conditionalFormatting>
  <conditionalFormatting sqref="CP8:CQ8">
    <cfRule type="cellIs" dxfId="2167" priority="802" operator="equal">
      <formula>0</formula>
    </cfRule>
  </conditionalFormatting>
  <conditionalFormatting sqref="CP8:CQ8">
    <cfRule type="cellIs" dxfId="2166" priority="801" operator="equal">
      <formula>0</formula>
    </cfRule>
  </conditionalFormatting>
  <conditionalFormatting sqref="CP8:CQ8">
    <cfRule type="cellIs" dxfId="2165" priority="800" operator="equal">
      <formula>0</formula>
    </cfRule>
  </conditionalFormatting>
  <conditionalFormatting sqref="CP8:CQ8">
    <cfRule type="cellIs" dxfId="2164" priority="799" operator="equal">
      <formula>0</formula>
    </cfRule>
  </conditionalFormatting>
  <conditionalFormatting sqref="CP8:CQ8">
    <cfRule type="cellIs" dxfId="2163" priority="798" operator="equal">
      <formula>0</formula>
    </cfRule>
  </conditionalFormatting>
  <conditionalFormatting sqref="CP8:CQ8">
    <cfRule type="cellIs" dxfId="2162" priority="797" operator="equal">
      <formula>0</formula>
    </cfRule>
  </conditionalFormatting>
  <conditionalFormatting sqref="CP8:CQ8">
    <cfRule type="cellIs" dxfId="2161" priority="796" operator="equal">
      <formula>0</formula>
    </cfRule>
  </conditionalFormatting>
  <conditionalFormatting sqref="CP8:CQ8">
    <cfRule type="cellIs" dxfId="2160" priority="795" operator="equal">
      <formula>0</formula>
    </cfRule>
  </conditionalFormatting>
  <conditionalFormatting sqref="CP8:CQ8">
    <cfRule type="cellIs" dxfId="2159" priority="794" operator="equal">
      <formula>0</formula>
    </cfRule>
  </conditionalFormatting>
  <conditionalFormatting sqref="CP8:CQ8">
    <cfRule type="cellIs" dxfId="2158" priority="793" operator="equal">
      <formula>0</formula>
    </cfRule>
  </conditionalFormatting>
  <conditionalFormatting sqref="CP8:CQ8">
    <cfRule type="cellIs" dxfId="2157" priority="792" operator="equal">
      <formula>0</formula>
    </cfRule>
  </conditionalFormatting>
  <conditionalFormatting sqref="CP8:CQ8">
    <cfRule type="cellIs" dxfId="2156" priority="791" operator="equal">
      <formula>0</formula>
    </cfRule>
  </conditionalFormatting>
  <conditionalFormatting sqref="CP8:CQ8">
    <cfRule type="cellIs" dxfId="2155" priority="790" operator="equal">
      <formula>0</formula>
    </cfRule>
  </conditionalFormatting>
  <conditionalFormatting sqref="CP8:CQ8">
    <cfRule type="cellIs" dxfId="2154" priority="789" operator="equal">
      <formula>0</formula>
    </cfRule>
  </conditionalFormatting>
  <conditionalFormatting sqref="CP8:CQ8">
    <cfRule type="cellIs" dxfId="2153" priority="788" operator="equal">
      <formula>0</formula>
    </cfRule>
  </conditionalFormatting>
  <conditionalFormatting sqref="CP8:CQ8">
    <cfRule type="cellIs" dxfId="2152" priority="787" operator="equal">
      <formula>0</formula>
    </cfRule>
  </conditionalFormatting>
  <conditionalFormatting sqref="CP8:CQ8">
    <cfRule type="cellIs" dxfId="2151" priority="786" operator="equal">
      <formula>0</formula>
    </cfRule>
  </conditionalFormatting>
  <conditionalFormatting sqref="CP8:CQ8">
    <cfRule type="cellIs" dxfId="2150" priority="785" operator="equal">
      <formula>0</formula>
    </cfRule>
  </conditionalFormatting>
  <conditionalFormatting sqref="CP8:CQ8">
    <cfRule type="cellIs" dxfId="2149" priority="784" operator="equal">
      <formula>0</formula>
    </cfRule>
  </conditionalFormatting>
  <conditionalFormatting sqref="CP8:CQ8">
    <cfRule type="cellIs" dxfId="2148" priority="783" operator="equal">
      <formula>0</formula>
    </cfRule>
  </conditionalFormatting>
  <conditionalFormatting sqref="CP8:CQ8">
    <cfRule type="cellIs" dxfId="2147" priority="782" operator="equal">
      <formula>0</formula>
    </cfRule>
  </conditionalFormatting>
  <conditionalFormatting sqref="CP8:CQ8">
    <cfRule type="cellIs" dxfId="2146" priority="781" operator="equal">
      <formula>0</formula>
    </cfRule>
  </conditionalFormatting>
  <conditionalFormatting sqref="CP8:CQ8">
    <cfRule type="cellIs" dxfId="2145" priority="780" operator="equal">
      <formula>0</formula>
    </cfRule>
  </conditionalFormatting>
  <conditionalFormatting sqref="CP8:CQ8">
    <cfRule type="cellIs" dxfId="2144" priority="779" operator="equal">
      <formula>0</formula>
    </cfRule>
  </conditionalFormatting>
  <conditionalFormatting sqref="CP8:CQ8">
    <cfRule type="cellIs" dxfId="2143" priority="778" operator="equal">
      <formula>0</formula>
    </cfRule>
  </conditionalFormatting>
  <conditionalFormatting sqref="CP8:CQ8">
    <cfRule type="cellIs" dxfId="2142" priority="777" operator="equal">
      <formula>0</formula>
    </cfRule>
  </conditionalFormatting>
  <conditionalFormatting sqref="CP8:CQ8">
    <cfRule type="cellIs" dxfId="2141" priority="776" operator="equal">
      <formula>0</formula>
    </cfRule>
  </conditionalFormatting>
  <conditionalFormatting sqref="CP8:CQ8">
    <cfRule type="cellIs" dxfId="2140" priority="775" operator="equal">
      <formula>0</formula>
    </cfRule>
  </conditionalFormatting>
  <conditionalFormatting sqref="CP8:CQ8">
    <cfRule type="cellIs" dxfId="2139" priority="774" operator="equal">
      <formula>0</formula>
    </cfRule>
  </conditionalFormatting>
  <conditionalFormatting sqref="CP8:CQ8">
    <cfRule type="cellIs" dxfId="2138" priority="773" operator="equal">
      <formula>0</formula>
    </cfRule>
  </conditionalFormatting>
  <conditionalFormatting sqref="CP8:CQ8">
    <cfRule type="cellIs" dxfId="2137" priority="772" operator="equal">
      <formula>0</formula>
    </cfRule>
  </conditionalFormatting>
  <conditionalFormatting sqref="CP8:CQ8">
    <cfRule type="cellIs" dxfId="2136" priority="771" operator="equal">
      <formula>0</formula>
    </cfRule>
  </conditionalFormatting>
  <conditionalFormatting sqref="CP8:CQ8">
    <cfRule type="cellIs" dxfId="2135" priority="770" operator="equal">
      <formula>0</formula>
    </cfRule>
  </conditionalFormatting>
  <conditionalFormatting sqref="CP8:CQ8">
    <cfRule type="cellIs" dxfId="2134" priority="769" operator="equal">
      <formula>0</formula>
    </cfRule>
  </conditionalFormatting>
  <conditionalFormatting sqref="CP8:CQ8">
    <cfRule type="cellIs" dxfId="2133" priority="768" operator="equal">
      <formula>0</formula>
    </cfRule>
  </conditionalFormatting>
  <conditionalFormatting sqref="CP8:CQ8">
    <cfRule type="cellIs" dxfId="2132" priority="767" operator="equal">
      <formula>0</formula>
    </cfRule>
  </conditionalFormatting>
  <conditionalFormatting sqref="CP8:CQ8">
    <cfRule type="cellIs" dxfId="2131" priority="766" operator="equal">
      <formula>0</formula>
    </cfRule>
  </conditionalFormatting>
  <conditionalFormatting sqref="CP8:CQ8">
    <cfRule type="cellIs" dxfId="2130" priority="765" operator="equal">
      <formula>0</formula>
    </cfRule>
  </conditionalFormatting>
  <conditionalFormatting sqref="CP8:CQ8">
    <cfRule type="cellIs" dxfId="2129" priority="764" operator="equal">
      <formula>0</formula>
    </cfRule>
  </conditionalFormatting>
  <conditionalFormatting sqref="CP8:CQ8">
    <cfRule type="cellIs" dxfId="2128" priority="763" operator="equal">
      <formula>0</formula>
    </cfRule>
  </conditionalFormatting>
  <conditionalFormatting sqref="CP8:CQ8">
    <cfRule type="cellIs" dxfId="2127" priority="762" operator="equal">
      <formula>0</formula>
    </cfRule>
  </conditionalFormatting>
  <conditionalFormatting sqref="CP8:CQ8">
    <cfRule type="cellIs" dxfId="2126" priority="761" operator="equal">
      <formula>0</formula>
    </cfRule>
  </conditionalFormatting>
  <conditionalFormatting sqref="CP8:CQ8">
    <cfRule type="cellIs" dxfId="2125" priority="760" operator="equal">
      <formula>0</formula>
    </cfRule>
  </conditionalFormatting>
  <conditionalFormatting sqref="CP8:CQ8">
    <cfRule type="cellIs" dxfId="2124" priority="759" operator="equal">
      <formula>0</formula>
    </cfRule>
  </conditionalFormatting>
  <conditionalFormatting sqref="CP8:CQ8">
    <cfRule type="cellIs" dxfId="2123" priority="758" operator="equal">
      <formula>0</formula>
    </cfRule>
  </conditionalFormatting>
  <conditionalFormatting sqref="CP8:CQ8">
    <cfRule type="cellIs" dxfId="2122" priority="757" operator="equal">
      <formula>0</formula>
    </cfRule>
  </conditionalFormatting>
  <conditionalFormatting sqref="CP8:CQ8">
    <cfRule type="cellIs" dxfId="2121" priority="756" operator="equal">
      <formula>0</formula>
    </cfRule>
  </conditionalFormatting>
  <conditionalFormatting sqref="CP8:CQ8">
    <cfRule type="cellIs" dxfId="2120" priority="755" operator="equal">
      <formula>0</formula>
    </cfRule>
  </conditionalFormatting>
  <conditionalFormatting sqref="CP8:CQ8">
    <cfRule type="cellIs" dxfId="2119" priority="754" operator="equal">
      <formula>0</formula>
    </cfRule>
  </conditionalFormatting>
  <conditionalFormatting sqref="CP8:CQ8">
    <cfRule type="cellIs" dxfId="2118" priority="753" operator="equal">
      <formula>0</formula>
    </cfRule>
  </conditionalFormatting>
  <conditionalFormatting sqref="CP8:CQ8">
    <cfRule type="cellIs" dxfId="2117" priority="752" operator="equal">
      <formula>0</formula>
    </cfRule>
  </conditionalFormatting>
  <conditionalFormatting sqref="CP8:CQ8">
    <cfRule type="cellIs" dxfId="2116" priority="751" operator="equal">
      <formula>0</formula>
    </cfRule>
  </conditionalFormatting>
  <conditionalFormatting sqref="CP8:CQ8">
    <cfRule type="cellIs" dxfId="2115" priority="750" operator="equal">
      <formula>0</formula>
    </cfRule>
  </conditionalFormatting>
  <conditionalFormatting sqref="CP8:CQ8">
    <cfRule type="cellIs" dxfId="2114" priority="749" operator="equal">
      <formula>0</formula>
    </cfRule>
  </conditionalFormatting>
  <conditionalFormatting sqref="CP8:CQ8">
    <cfRule type="cellIs" dxfId="2113" priority="748" operator="equal">
      <formula>0</formula>
    </cfRule>
  </conditionalFormatting>
  <conditionalFormatting sqref="CP8:CQ8">
    <cfRule type="cellIs" dxfId="2112" priority="747" operator="equal">
      <formula>0</formula>
    </cfRule>
  </conditionalFormatting>
  <conditionalFormatting sqref="CP8:CQ8">
    <cfRule type="cellIs" dxfId="2111" priority="746" operator="equal">
      <formula>0</formula>
    </cfRule>
  </conditionalFormatting>
  <conditionalFormatting sqref="CP8:CQ8">
    <cfRule type="cellIs" dxfId="2110" priority="745" operator="equal">
      <formula>0</formula>
    </cfRule>
  </conditionalFormatting>
  <conditionalFormatting sqref="CP8:CQ8">
    <cfRule type="cellIs" dxfId="2109" priority="744" operator="equal">
      <formula>0</formula>
    </cfRule>
  </conditionalFormatting>
  <conditionalFormatting sqref="CP8:CQ8">
    <cfRule type="cellIs" dxfId="2108" priority="743" operator="equal">
      <formula>0</formula>
    </cfRule>
  </conditionalFormatting>
  <conditionalFormatting sqref="CP8:CQ8">
    <cfRule type="cellIs" dxfId="2107" priority="742" operator="equal">
      <formula>0</formula>
    </cfRule>
  </conditionalFormatting>
  <conditionalFormatting sqref="CP8:CQ8">
    <cfRule type="cellIs" dxfId="2106" priority="741" operator="equal">
      <formula>0</formula>
    </cfRule>
  </conditionalFormatting>
  <conditionalFormatting sqref="CP8:CQ8">
    <cfRule type="cellIs" dxfId="2105" priority="740" operator="equal">
      <formula>0</formula>
    </cfRule>
  </conditionalFormatting>
  <conditionalFormatting sqref="CP8:CQ8">
    <cfRule type="cellIs" dxfId="2104" priority="739" operator="equal">
      <formula>0</formula>
    </cfRule>
  </conditionalFormatting>
  <conditionalFormatting sqref="CP8:CQ8">
    <cfRule type="cellIs" dxfId="2103" priority="738" operator="equal">
      <formula>0</formula>
    </cfRule>
  </conditionalFormatting>
  <conditionalFormatting sqref="CP8:CQ8">
    <cfRule type="cellIs" dxfId="2102" priority="737" operator="equal">
      <formula>0</formula>
    </cfRule>
  </conditionalFormatting>
  <conditionalFormatting sqref="CP8:CQ8">
    <cfRule type="cellIs" dxfId="2101" priority="736" operator="equal">
      <formula>0</formula>
    </cfRule>
  </conditionalFormatting>
  <conditionalFormatting sqref="CP8:CQ8">
    <cfRule type="cellIs" dxfId="2100" priority="735" operator="equal">
      <formula>0</formula>
    </cfRule>
  </conditionalFormatting>
  <conditionalFormatting sqref="CP8:CQ8">
    <cfRule type="cellIs" dxfId="2099" priority="734" operator="equal">
      <formula>0</formula>
    </cfRule>
  </conditionalFormatting>
  <conditionalFormatting sqref="CP8:CQ8">
    <cfRule type="cellIs" dxfId="2098" priority="733" operator="equal">
      <formula>0</formula>
    </cfRule>
  </conditionalFormatting>
  <conditionalFormatting sqref="CP8:CQ8">
    <cfRule type="cellIs" dxfId="2097" priority="732" operator="equal">
      <formula>0</formula>
    </cfRule>
  </conditionalFormatting>
  <conditionalFormatting sqref="CP8:CQ8">
    <cfRule type="cellIs" dxfId="2096" priority="731" operator="equal">
      <formula>0</formula>
    </cfRule>
  </conditionalFormatting>
  <conditionalFormatting sqref="CP8:CQ8">
    <cfRule type="cellIs" dxfId="2095" priority="730" operator="equal">
      <formula>0</formula>
    </cfRule>
  </conditionalFormatting>
  <conditionalFormatting sqref="CP8:CQ8">
    <cfRule type="cellIs" dxfId="2094" priority="729" operator="equal">
      <formula>0</formula>
    </cfRule>
  </conditionalFormatting>
  <conditionalFormatting sqref="CP8:CQ8">
    <cfRule type="cellIs" dxfId="2093" priority="728" operator="equal">
      <formula>0</formula>
    </cfRule>
  </conditionalFormatting>
  <conditionalFormatting sqref="CP8:CQ8">
    <cfRule type="cellIs" dxfId="2092" priority="727" operator="equal">
      <formula>0</formula>
    </cfRule>
  </conditionalFormatting>
  <conditionalFormatting sqref="CP8:CQ8">
    <cfRule type="cellIs" dxfId="2091" priority="726" operator="equal">
      <formula>0</formula>
    </cfRule>
  </conditionalFormatting>
  <conditionalFormatting sqref="CP8:CQ8">
    <cfRule type="cellIs" dxfId="2090" priority="725" operator="equal">
      <formula>0</formula>
    </cfRule>
  </conditionalFormatting>
  <conditionalFormatting sqref="CP8:CQ8">
    <cfRule type="cellIs" dxfId="2089" priority="724" operator="equal">
      <formula>0</formula>
    </cfRule>
  </conditionalFormatting>
  <conditionalFormatting sqref="CP8:CQ8">
    <cfRule type="cellIs" dxfId="2088" priority="723" operator="equal">
      <formula>0</formula>
    </cfRule>
  </conditionalFormatting>
  <conditionalFormatting sqref="CP8:CQ8">
    <cfRule type="cellIs" dxfId="2087" priority="722" operator="equal">
      <formula>0</formula>
    </cfRule>
  </conditionalFormatting>
  <conditionalFormatting sqref="CP8:CQ8">
    <cfRule type="cellIs" dxfId="2086" priority="721" operator="equal">
      <formula>0</formula>
    </cfRule>
  </conditionalFormatting>
  <conditionalFormatting sqref="CP8:CQ8">
    <cfRule type="cellIs" dxfId="2085" priority="720" operator="equal">
      <formula>0</formula>
    </cfRule>
  </conditionalFormatting>
  <conditionalFormatting sqref="CP8:CQ8">
    <cfRule type="cellIs" dxfId="2084" priority="719" operator="equal">
      <formula>0</formula>
    </cfRule>
  </conditionalFormatting>
  <conditionalFormatting sqref="CP8:CQ8">
    <cfRule type="cellIs" dxfId="2083" priority="718" operator="equal">
      <formula>0</formula>
    </cfRule>
  </conditionalFormatting>
  <conditionalFormatting sqref="CP8:CQ8">
    <cfRule type="cellIs" dxfId="2082" priority="717" operator="equal">
      <formula>0</formula>
    </cfRule>
  </conditionalFormatting>
  <conditionalFormatting sqref="CP8:CQ8">
    <cfRule type="cellIs" dxfId="2081" priority="716" operator="equal">
      <formula>0</formula>
    </cfRule>
  </conditionalFormatting>
  <conditionalFormatting sqref="CP8:CQ8">
    <cfRule type="cellIs" dxfId="2080" priority="715" operator="equal">
      <formula>0</formula>
    </cfRule>
  </conditionalFormatting>
  <conditionalFormatting sqref="CP8:CQ8">
    <cfRule type="cellIs" dxfId="2079" priority="714" operator="equal">
      <formula>0</formula>
    </cfRule>
  </conditionalFormatting>
  <conditionalFormatting sqref="CP8:CQ8">
    <cfRule type="cellIs" dxfId="2078" priority="713" operator="equal">
      <formula>0</formula>
    </cfRule>
  </conditionalFormatting>
  <conditionalFormatting sqref="CP8:CQ8">
    <cfRule type="cellIs" dxfId="2077" priority="712" operator="equal">
      <formula>0</formula>
    </cfRule>
  </conditionalFormatting>
  <conditionalFormatting sqref="CP8:CQ8">
    <cfRule type="cellIs" dxfId="2076" priority="711" operator="equal">
      <formula>0</formula>
    </cfRule>
  </conditionalFormatting>
  <conditionalFormatting sqref="CP8:CQ8">
    <cfRule type="cellIs" dxfId="2075" priority="710" operator="equal">
      <formula>0</formula>
    </cfRule>
  </conditionalFormatting>
  <conditionalFormatting sqref="CP8:CQ8">
    <cfRule type="cellIs" dxfId="2074" priority="709" operator="equal">
      <formula>0</formula>
    </cfRule>
  </conditionalFormatting>
  <conditionalFormatting sqref="CP8:CQ8">
    <cfRule type="cellIs" dxfId="2073" priority="708" operator="equal">
      <formula>0</formula>
    </cfRule>
  </conditionalFormatting>
  <conditionalFormatting sqref="CP8:CQ8">
    <cfRule type="cellIs" dxfId="2072" priority="707" operator="equal">
      <formula>0</formula>
    </cfRule>
  </conditionalFormatting>
  <conditionalFormatting sqref="CP8:CQ8">
    <cfRule type="cellIs" dxfId="2071" priority="706" operator="equal">
      <formula>0</formula>
    </cfRule>
  </conditionalFormatting>
  <conditionalFormatting sqref="CP8:CQ8">
    <cfRule type="cellIs" dxfId="2070" priority="705" operator="equal">
      <formula>0</formula>
    </cfRule>
  </conditionalFormatting>
  <conditionalFormatting sqref="CP8:CQ8">
    <cfRule type="cellIs" dxfId="2069" priority="704" operator="equal">
      <formula>0</formula>
    </cfRule>
  </conditionalFormatting>
  <conditionalFormatting sqref="CP8:CQ8">
    <cfRule type="cellIs" dxfId="2068" priority="703" operator="equal">
      <formula>0</formula>
    </cfRule>
  </conditionalFormatting>
  <conditionalFormatting sqref="CP8:CQ8">
    <cfRule type="cellIs" dxfId="2067" priority="702" operator="equal">
      <formula>0</formula>
    </cfRule>
  </conditionalFormatting>
  <conditionalFormatting sqref="CP8:CQ8">
    <cfRule type="cellIs" dxfId="2066" priority="701" operator="equal">
      <formula>0</formula>
    </cfRule>
  </conditionalFormatting>
  <conditionalFormatting sqref="CP8:CQ8">
    <cfRule type="cellIs" dxfId="2065" priority="700" operator="equal">
      <formula>0</formula>
    </cfRule>
  </conditionalFormatting>
  <conditionalFormatting sqref="CP8:CQ8">
    <cfRule type="cellIs" dxfId="2064" priority="699" operator="equal">
      <formula>0</formula>
    </cfRule>
  </conditionalFormatting>
  <conditionalFormatting sqref="CP8:CQ8">
    <cfRule type="cellIs" dxfId="2063" priority="698" operator="equal">
      <formula>0</formula>
    </cfRule>
  </conditionalFormatting>
  <conditionalFormatting sqref="CP8:CQ8">
    <cfRule type="cellIs" dxfId="2062" priority="697" operator="equal">
      <formula>0</formula>
    </cfRule>
  </conditionalFormatting>
  <conditionalFormatting sqref="CP8:CQ8">
    <cfRule type="cellIs" dxfId="2061" priority="696" operator="equal">
      <formula>0</formula>
    </cfRule>
  </conditionalFormatting>
  <conditionalFormatting sqref="CP8:CQ8">
    <cfRule type="cellIs" dxfId="2060" priority="695" operator="equal">
      <formula>0</formula>
    </cfRule>
  </conditionalFormatting>
  <conditionalFormatting sqref="CP8:CQ8">
    <cfRule type="cellIs" dxfId="2059" priority="694" operator="equal">
      <formula>0</formula>
    </cfRule>
  </conditionalFormatting>
  <conditionalFormatting sqref="CP8:CQ8">
    <cfRule type="cellIs" dxfId="2058" priority="693" operator="equal">
      <formula>0</formula>
    </cfRule>
  </conditionalFormatting>
  <conditionalFormatting sqref="CP8:CQ8">
    <cfRule type="cellIs" dxfId="2057" priority="692" operator="equal">
      <formula>0</formula>
    </cfRule>
  </conditionalFormatting>
  <conditionalFormatting sqref="CP8:CQ8">
    <cfRule type="cellIs" dxfId="2056" priority="691" operator="equal">
      <formula>0</formula>
    </cfRule>
  </conditionalFormatting>
  <conditionalFormatting sqref="CP8:CQ8">
    <cfRule type="cellIs" dxfId="2055" priority="690" operator="equal">
      <formula>0</formula>
    </cfRule>
  </conditionalFormatting>
  <conditionalFormatting sqref="CP8:CQ8">
    <cfRule type="cellIs" dxfId="2054" priority="689" operator="equal">
      <formula>0</formula>
    </cfRule>
  </conditionalFormatting>
  <conditionalFormatting sqref="CP8:CQ8">
    <cfRule type="cellIs" dxfId="2053" priority="688" operator="equal">
      <formula>0</formula>
    </cfRule>
  </conditionalFormatting>
  <conditionalFormatting sqref="CP8:CQ8">
    <cfRule type="cellIs" dxfId="2052" priority="687" operator="equal">
      <formula>0</formula>
    </cfRule>
  </conditionalFormatting>
  <conditionalFormatting sqref="CP8:CQ8">
    <cfRule type="cellIs" dxfId="2051" priority="686" operator="equal">
      <formula>0</formula>
    </cfRule>
  </conditionalFormatting>
  <conditionalFormatting sqref="CP8:CQ8">
    <cfRule type="cellIs" dxfId="2050" priority="685" operator="equal">
      <formula>0</formula>
    </cfRule>
  </conditionalFormatting>
  <conditionalFormatting sqref="CP8:CQ8">
    <cfRule type="cellIs" dxfId="2049" priority="684" operator="equal">
      <formula>0</formula>
    </cfRule>
  </conditionalFormatting>
  <conditionalFormatting sqref="CP8:CQ8">
    <cfRule type="cellIs" dxfId="2048" priority="683" operator="equal">
      <formula>0</formula>
    </cfRule>
  </conditionalFormatting>
  <conditionalFormatting sqref="CP8:CQ8">
    <cfRule type="cellIs" dxfId="2047" priority="682" operator="equal">
      <formula>0</formula>
    </cfRule>
  </conditionalFormatting>
  <conditionalFormatting sqref="CP8:CQ8">
    <cfRule type="cellIs" dxfId="2046" priority="681" operator="equal">
      <formula>0</formula>
    </cfRule>
  </conditionalFormatting>
  <conditionalFormatting sqref="CP8:CQ8">
    <cfRule type="cellIs" dxfId="2045" priority="680" operator="equal">
      <formula>0</formula>
    </cfRule>
  </conditionalFormatting>
  <conditionalFormatting sqref="CP8:CQ8">
    <cfRule type="cellIs" dxfId="2044" priority="679" operator="equal">
      <formula>0</formula>
    </cfRule>
  </conditionalFormatting>
  <conditionalFormatting sqref="CP8:CQ8">
    <cfRule type="cellIs" dxfId="2043" priority="678" operator="equal">
      <formula>0</formula>
    </cfRule>
  </conditionalFormatting>
  <conditionalFormatting sqref="CP8:CQ8">
    <cfRule type="cellIs" dxfId="2042" priority="677" operator="equal">
      <formula>0</formula>
    </cfRule>
  </conditionalFormatting>
  <conditionalFormatting sqref="CP8:CQ8">
    <cfRule type="cellIs" dxfId="2041" priority="676" operator="equal">
      <formula>0</formula>
    </cfRule>
  </conditionalFormatting>
  <conditionalFormatting sqref="CP8:CQ8">
    <cfRule type="cellIs" dxfId="2040" priority="675" operator="equal">
      <formula>0</formula>
    </cfRule>
  </conditionalFormatting>
  <conditionalFormatting sqref="CP8:CQ8">
    <cfRule type="cellIs" dxfId="2039" priority="674" operator="equal">
      <formula>0</formula>
    </cfRule>
  </conditionalFormatting>
  <conditionalFormatting sqref="CP8:CQ8">
    <cfRule type="cellIs" dxfId="2038" priority="673" operator="equal">
      <formula>0</formula>
    </cfRule>
  </conditionalFormatting>
  <conditionalFormatting sqref="CP8:CQ8">
    <cfRule type="cellIs" dxfId="2037" priority="672" operator="equal">
      <formula>0</formula>
    </cfRule>
  </conditionalFormatting>
  <conditionalFormatting sqref="CP8:CQ8">
    <cfRule type="cellIs" dxfId="2036" priority="671" operator="equal">
      <formula>0</formula>
    </cfRule>
  </conditionalFormatting>
  <conditionalFormatting sqref="CP8:CQ8">
    <cfRule type="cellIs" dxfId="2035" priority="670" operator="equal">
      <formula>0</formula>
    </cfRule>
  </conditionalFormatting>
  <conditionalFormatting sqref="CP8:CQ8">
    <cfRule type="cellIs" dxfId="2034" priority="669" operator="equal">
      <formula>0</formula>
    </cfRule>
  </conditionalFormatting>
  <conditionalFormatting sqref="CP8:CQ8">
    <cfRule type="cellIs" dxfId="2033" priority="668" operator="equal">
      <formula>0</formula>
    </cfRule>
  </conditionalFormatting>
  <conditionalFormatting sqref="CP8:CQ8">
    <cfRule type="cellIs" dxfId="2032" priority="667" operator="equal">
      <formula>0</formula>
    </cfRule>
  </conditionalFormatting>
  <conditionalFormatting sqref="CP8:CQ8">
    <cfRule type="cellIs" dxfId="2031" priority="666" operator="equal">
      <formula>0</formula>
    </cfRule>
  </conditionalFormatting>
  <conditionalFormatting sqref="CP8:CQ8">
    <cfRule type="cellIs" dxfId="2030" priority="665" operator="equal">
      <formula>0</formula>
    </cfRule>
  </conditionalFormatting>
  <conditionalFormatting sqref="CP8:CQ8">
    <cfRule type="cellIs" dxfId="2029" priority="664" operator="equal">
      <formula>0</formula>
    </cfRule>
  </conditionalFormatting>
  <conditionalFormatting sqref="CP8:CQ8">
    <cfRule type="cellIs" dxfId="2028" priority="663" operator="equal">
      <formula>0</formula>
    </cfRule>
  </conditionalFormatting>
  <conditionalFormatting sqref="CP8:CQ8">
    <cfRule type="cellIs" dxfId="2027" priority="662" operator="equal">
      <formula>0</formula>
    </cfRule>
  </conditionalFormatting>
  <conditionalFormatting sqref="CP8:CQ8">
    <cfRule type="cellIs" dxfId="2026" priority="661" operator="equal">
      <formula>0</formula>
    </cfRule>
  </conditionalFormatting>
  <conditionalFormatting sqref="CP8:CQ8">
    <cfRule type="cellIs" dxfId="2025" priority="660" operator="equal">
      <formula>0</formula>
    </cfRule>
  </conditionalFormatting>
  <conditionalFormatting sqref="CP8:CQ8">
    <cfRule type="cellIs" dxfId="2024" priority="659" operator="equal">
      <formula>0</formula>
    </cfRule>
  </conditionalFormatting>
  <conditionalFormatting sqref="CP8:CQ8">
    <cfRule type="cellIs" dxfId="2023" priority="658" operator="equal">
      <formula>0</formula>
    </cfRule>
  </conditionalFormatting>
  <conditionalFormatting sqref="CP8:CQ8">
    <cfRule type="cellIs" dxfId="2022" priority="657" operator="equal">
      <formula>0</formula>
    </cfRule>
  </conditionalFormatting>
  <conditionalFormatting sqref="CP8:CQ8">
    <cfRule type="cellIs" dxfId="2021" priority="656" operator="equal">
      <formula>0</formula>
    </cfRule>
  </conditionalFormatting>
  <conditionalFormatting sqref="CP8:CQ8">
    <cfRule type="cellIs" dxfId="2020" priority="655" operator="equal">
      <formula>0</formula>
    </cfRule>
  </conditionalFormatting>
  <conditionalFormatting sqref="CP8:CQ8">
    <cfRule type="cellIs" dxfId="2019" priority="654" operator="equal">
      <formula>0</formula>
    </cfRule>
  </conditionalFormatting>
  <conditionalFormatting sqref="CP8:CQ8">
    <cfRule type="cellIs" dxfId="2018" priority="653" operator="equal">
      <formula>0</formula>
    </cfRule>
  </conditionalFormatting>
  <conditionalFormatting sqref="CP8:CQ8">
    <cfRule type="cellIs" dxfId="2017" priority="652" operator="equal">
      <formula>0</formula>
    </cfRule>
  </conditionalFormatting>
  <conditionalFormatting sqref="CP8:CQ8">
    <cfRule type="cellIs" dxfId="2016" priority="651" operator="equal">
      <formula>0</formula>
    </cfRule>
  </conditionalFormatting>
  <conditionalFormatting sqref="CP8:CQ8">
    <cfRule type="cellIs" dxfId="2015" priority="650" operator="equal">
      <formula>0</formula>
    </cfRule>
  </conditionalFormatting>
  <conditionalFormatting sqref="CP8:CQ8">
    <cfRule type="cellIs" dxfId="2014" priority="649" operator="equal">
      <formula>0</formula>
    </cfRule>
  </conditionalFormatting>
  <conditionalFormatting sqref="CP8:CQ8">
    <cfRule type="cellIs" dxfId="2013" priority="648" operator="equal">
      <formula>0</formula>
    </cfRule>
  </conditionalFormatting>
  <conditionalFormatting sqref="CP8:CQ8">
    <cfRule type="cellIs" dxfId="2012" priority="647" operator="equal">
      <formula>0</formula>
    </cfRule>
  </conditionalFormatting>
  <conditionalFormatting sqref="CP8:CQ8">
    <cfRule type="cellIs" dxfId="2011" priority="646" operator="equal">
      <formula>0</formula>
    </cfRule>
  </conditionalFormatting>
  <conditionalFormatting sqref="CP8:CQ8">
    <cfRule type="cellIs" dxfId="2010" priority="645" operator="equal">
      <formula>0</formula>
    </cfRule>
  </conditionalFormatting>
  <conditionalFormatting sqref="CP8:CQ8">
    <cfRule type="cellIs" dxfId="2009" priority="644" operator="equal">
      <formula>0</formula>
    </cfRule>
  </conditionalFormatting>
  <conditionalFormatting sqref="CP8:CQ8">
    <cfRule type="cellIs" dxfId="2008" priority="643" operator="equal">
      <formula>0</formula>
    </cfRule>
  </conditionalFormatting>
  <conditionalFormatting sqref="CP8:CQ8">
    <cfRule type="cellIs" dxfId="2007" priority="642" operator="equal">
      <formula>0</formula>
    </cfRule>
  </conditionalFormatting>
  <conditionalFormatting sqref="CP8:CQ8">
    <cfRule type="cellIs" dxfId="2006" priority="641" operator="equal">
      <formula>0</formula>
    </cfRule>
  </conditionalFormatting>
  <conditionalFormatting sqref="CP8:CQ8">
    <cfRule type="cellIs" dxfId="2005" priority="640" operator="equal">
      <formula>0</formula>
    </cfRule>
  </conditionalFormatting>
  <conditionalFormatting sqref="CP8:CQ8">
    <cfRule type="cellIs" dxfId="2004" priority="639" operator="equal">
      <formula>0</formula>
    </cfRule>
  </conditionalFormatting>
  <conditionalFormatting sqref="CP8:CQ8">
    <cfRule type="cellIs" dxfId="2003" priority="638" operator="equal">
      <formula>0</formula>
    </cfRule>
  </conditionalFormatting>
  <conditionalFormatting sqref="CP8:CQ8">
    <cfRule type="cellIs" dxfId="2002" priority="637" operator="equal">
      <formula>0</formula>
    </cfRule>
  </conditionalFormatting>
  <conditionalFormatting sqref="CP8:CQ8">
    <cfRule type="cellIs" dxfId="2001" priority="636" operator="equal">
      <formula>0</formula>
    </cfRule>
  </conditionalFormatting>
  <conditionalFormatting sqref="CP8:CQ8">
    <cfRule type="cellIs" dxfId="2000" priority="635" operator="equal">
      <formula>0</formula>
    </cfRule>
  </conditionalFormatting>
  <conditionalFormatting sqref="CP8:CQ8">
    <cfRule type="cellIs" dxfId="1999" priority="634" operator="equal">
      <formula>0</formula>
    </cfRule>
  </conditionalFormatting>
  <conditionalFormatting sqref="CP8:CQ8">
    <cfRule type="cellIs" dxfId="1998" priority="633" operator="equal">
      <formula>0</formula>
    </cfRule>
  </conditionalFormatting>
  <conditionalFormatting sqref="CP8:CQ8">
    <cfRule type="cellIs" dxfId="1997" priority="632" operator="equal">
      <formula>0</formula>
    </cfRule>
  </conditionalFormatting>
  <conditionalFormatting sqref="CP8:CQ8">
    <cfRule type="cellIs" dxfId="1996" priority="631" operator="equal">
      <formula>0</formula>
    </cfRule>
  </conditionalFormatting>
  <conditionalFormatting sqref="CP8:CQ8">
    <cfRule type="cellIs" dxfId="1995" priority="630" operator="equal">
      <formula>0</formula>
    </cfRule>
  </conditionalFormatting>
  <conditionalFormatting sqref="CP8:CQ8">
    <cfRule type="cellIs" dxfId="1994" priority="629" operator="equal">
      <formula>0</formula>
    </cfRule>
  </conditionalFormatting>
  <conditionalFormatting sqref="CP8:CQ8">
    <cfRule type="cellIs" dxfId="1993" priority="628" operator="equal">
      <formula>0</formula>
    </cfRule>
  </conditionalFormatting>
  <conditionalFormatting sqref="CP8:CQ8">
    <cfRule type="cellIs" dxfId="1992" priority="627" operator="equal">
      <formula>0</formula>
    </cfRule>
  </conditionalFormatting>
  <conditionalFormatting sqref="CP8:CQ8">
    <cfRule type="cellIs" dxfId="1991" priority="626" operator="equal">
      <formula>0</formula>
    </cfRule>
  </conditionalFormatting>
  <conditionalFormatting sqref="CP8:CQ8">
    <cfRule type="cellIs" dxfId="1990" priority="625" operator="equal">
      <formula>0</formula>
    </cfRule>
  </conditionalFormatting>
  <conditionalFormatting sqref="CP8:CQ8">
    <cfRule type="cellIs" dxfId="1989" priority="624" operator="equal">
      <formula>0</formula>
    </cfRule>
  </conditionalFormatting>
  <conditionalFormatting sqref="CP8:CQ8">
    <cfRule type="cellIs" dxfId="1988" priority="623" operator="equal">
      <formula>0</formula>
    </cfRule>
  </conditionalFormatting>
  <conditionalFormatting sqref="CP8:CQ8">
    <cfRule type="cellIs" dxfId="1987" priority="622" operator="equal">
      <formula>0</formula>
    </cfRule>
  </conditionalFormatting>
  <conditionalFormatting sqref="CP8:CQ8">
    <cfRule type="cellIs" dxfId="1986" priority="621" operator="equal">
      <formula>0</formula>
    </cfRule>
  </conditionalFormatting>
  <conditionalFormatting sqref="CP8:CQ8">
    <cfRule type="cellIs" dxfId="1985" priority="620" operator="equal">
      <formula>0</formula>
    </cfRule>
  </conditionalFormatting>
  <conditionalFormatting sqref="CP8:CQ8">
    <cfRule type="cellIs" dxfId="1984" priority="619" operator="equal">
      <formula>0</formula>
    </cfRule>
  </conditionalFormatting>
  <conditionalFormatting sqref="CP8:CQ8">
    <cfRule type="cellIs" dxfId="1983" priority="618" operator="equal">
      <formula>0</formula>
    </cfRule>
  </conditionalFormatting>
  <conditionalFormatting sqref="CP8:CQ8">
    <cfRule type="cellIs" dxfId="1982" priority="617" operator="equal">
      <formula>0</formula>
    </cfRule>
  </conditionalFormatting>
  <conditionalFormatting sqref="CP8:CQ8">
    <cfRule type="cellIs" dxfId="1981" priority="616" operator="equal">
      <formula>0</formula>
    </cfRule>
  </conditionalFormatting>
  <conditionalFormatting sqref="CP8:CQ8">
    <cfRule type="cellIs" dxfId="1980" priority="615" operator="equal">
      <formula>0</formula>
    </cfRule>
  </conditionalFormatting>
  <conditionalFormatting sqref="CP8:CQ8">
    <cfRule type="cellIs" dxfId="1979" priority="614" operator="equal">
      <formula>0</formula>
    </cfRule>
  </conditionalFormatting>
  <conditionalFormatting sqref="CP8:CQ8">
    <cfRule type="cellIs" dxfId="1978" priority="613" operator="equal">
      <formula>0</formula>
    </cfRule>
  </conditionalFormatting>
  <conditionalFormatting sqref="CP8:CQ8">
    <cfRule type="cellIs" dxfId="1977" priority="612" operator="equal">
      <formula>0</formula>
    </cfRule>
  </conditionalFormatting>
  <conditionalFormatting sqref="CP8:CQ8">
    <cfRule type="cellIs" dxfId="1976" priority="611" operator="equal">
      <formula>0</formula>
    </cfRule>
  </conditionalFormatting>
  <conditionalFormatting sqref="CP8:CQ8">
    <cfRule type="cellIs" dxfId="1975" priority="610" operator="equal">
      <formula>0</formula>
    </cfRule>
  </conditionalFormatting>
  <conditionalFormatting sqref="CP8:CQ8">
    <cfRule type="cellIs" dxfId="1974" priority="609" operator="equal">
      <formula>0</formula>
    </cfRule>
  </conditionalFormatting>
  <conditionalFormatting sqref="CP8:CQ8">
    <cfRule type="cellIs" dxfId="1973" priority="608" operator="equal">
      <formula>0</formula>
    </cfRule>
  </conditionalFormatting>
  <conditionalFormatting sqref="CP8:CQ8">
    <cfRule type="cellIs" dxfId="1972" priority="607" operator="equal">
      <formula>0</formula>
    </cfRule>
  </conditionalFormatting>
  <conditionalFormatting sqref="CP8:CQ8">
    <cfRule type="cellIs" dxfId="1971" priority="606" operator="equal">
      <formula>0</formula>
    </cfRule>
  </conditionalFormatting>
  <conditionalFormatting sqref="CP8:CQ8">
    <cfRule type="cellIs" dxfId="1970" priority="605" operator="equal">
      <formula>0</formula>
    </cfRule>
  </conditionalFormatting>
  <conditionalFormatting sqref="CP8:CQ8">
    <cfRule type="cellIs" dxfId="1969" priority="604" operator="equal">
      <formula>0</formula>
    </cfRule>
  </conditionalFormatting>
  <conditionalFormatting sqref="CP8:CQ8">
    <cfRule type="cellIs" dxfId="1968" priority="603" operator="equal">
      <formula>0</formula>
    </cfRule>
  </conditionalFormatting>
  <conditionalFormatting sqref="CP8:CQ8">
    <cfRule type="cellIs" dxfId="1967" priority="602" operator="equal">
      <formula>0</formula>
    </cfRule>
  </conditionalFormatting>
  <conditionalFormatting sqref="CP8:CQ8">
    <cfRule type="cellIs" dxfId="1966" priority="601" operator="equal">
      <formula>0</formula>
    </cfRule>
  </conditionalFormatting>
  <conditionalFormatting sqref="CP8:CQ8">
    <cfRule type="cellIs" dxfId="1965" priority="600" operator="equal">
      <formula>0</formula>
    </cfRule>
  </conditionalFormatting>
  <conditionalFormatting sqref="CP8:CQ8">
    <cfRule type="cellIs" dxfId="1964" priority="599" operator="equal">
      <formula>0</formula>
    </cfRule>
  </conditionalFormatting>
  <conditionalFormatting sqref="CP8:CQ8">
    <cfRule type="cellIs" dxfId="1963" priority="598" operator="equal">
      <formula>0</formula>
    </cfRule>
  </conditionalFormatting>
  <conditionalFormatting sqref="CP8:CQ8">
    <cfRule type="cellIs" dxfId="1962" priority="597" operator="equal">
      <formula>0</formula>
    </cfRule>
  </conditionalFormatting>
  <conditionalFormatting sqref="CP8:CQ8">
    <cfRule type="cellIs" dxfId="1961" priority="596" operator="equal">
      <formula>0</formula>
    </cfRule>
  </conditionalFormatting>
  <conditionalFormatting sqref="CP8:CQ8">
    <cfRule type="cellIs" dxfId="1960" priority="595" operator="equal">
      <formula>0</formula>
    </cfRule>
  </conditionalFormatting>
  <conditionalFormatting sqref="CP8:CQ8">
    <cfRule type="cellIs" dxfId="1959" priority="594" operator="equal">
      <formula>0</formula>
    </cfRule>
  </conditionalFormatting>
  <conditionalFormatting sqref="CP8:CQ8">
    <cfRule type="cellIs" dxfId="1958" priority="593" operator="equal">
      <formula>0</formula>
    </cfRule>
  </conditionalFormatting>
  <conditionalFormatting sqref="CP8:CQ8">
    <cfRule type="cellIs" dxfId="1957" priority="592" operator="equal">
      <formula>0</formula>
    </cfRule>
  </conditionalFormatting>
  <conditionalFormatting sqref="CP8:CQ8">
    <cfRule type="cellIs" dxfId="1956" priority="591" operator="equal">
      <formula>0</formula>
    </cfRule>
  </conditionalFormatting>
  <conditionalFormatting sqref="CP8:CQ8">
    <cfRule type="cellIs" dxfId="1955" priority="590" operator="equal">
      <formula>0</formula>
    </cfRule>
  </conditionalFormatting>
  <conditionalFormatting sqref="CP8:CQ8">
    <cfRule type="cellIs" dxfId="1954" priority="589" operator="equal">
      <formula>0</formula>
    </cfRule>
  </conditionalFormatting>
  <conditionalFormatting sqref="CP8:CQ8">
    <cfRule type="cellIs" dxfId="1953" priority="588" operator="equal">
      <formula>0</formula>
    </cfRule>
  </conditionalFormatting>
  <conditionalFormatting sqref="CP8:CQ8">
    <cfRule type="cellIs" dxfId="1952" priority="587" operator="equal">
      <formula>0</formula>
    </cfRule>
  </conditionalFormatting>
  <conditionalFormatting sqref="CP8:CQ8">
    <cfRule type="cellIs" dxfId="1951" priority="586" operator="equal">
      <formula>0</formula>
    </cfRule>
  </conditionalFormatting>
  <conditionalFormatting sqref="CP8:CQ8">
    <cfRule type="cellIs" dxfId="1950" priority="585" operator="equal">
      <formula>0</formula>
    </cfRule>
  </conditionalFormatting>
  <conditionalFormatting sqref="CP8:CQ8">
    <cfRule type="cellIs" dxfId="1949" priority="584" operator="equal">
      <formula>0</formula>
    </cfRule>
  </conditionalFormatting>
  <conditionalFormatting sqref="CP8:CQ8">
    <cfRule type="cellIs" dxfId="1948" priority="583" operator="equal">
      <formula>0</formula>
    </cfRule>
  </conditionalFormatting>
  <conditionalFormatting sqref="CP8:CQ8">
    <cfRule type="cellIs" dxfId="1947" priority="582" operator="equal">
      <formula>0</formula>
    </cfRule>
  </conditionalFormatting>
  <conditionalFormatting sqref="CP8:CQ8">
    <cfRule type="cellIs" dxfId="1946" priority="581" operator="equal">
      <formula>0</formula>
    </cfRule>
  </conditionalFormatting>
  <conditionalFormatting sqref="CP8:CQ8">
    <cfRule type="cellIs" dxfId="1945" priority="580" operator="equal">
      <formula>0</formula>
    </cfRule>
  </conditionalFormatting>
  <conditionalFormatting sqref="CP8:CQ8">
    <cfRule type="cellIs" dxfId="1944" priority="579" operator="equal">
      <formula>0</formula>
    </cfRule>
  </conditionalFormatting>
  <conditionalFormatting sqref="CP8:CQ8">
    <cfRule type="cellIs" dxfId="1943" priority="578" operator="equal">
      <formula>0</formula>
    </cfRule>
  </conditionalFormatting>
  <conditionalFormatting sqref="CP8:CQ8">
    <cfRule type="cellIs" dxfId="1942" priority="577" operator="equal">
      <formula>0</formula>
    </cfRule>
  </conditionalFormatting>
  <conditionalFormatting sqref="CP8:CQ8">
    <cfRule type="cellIs" dxfId="1941" priority="576" operator="equal">
      <formula>0</formula>
    </cfRule>
  </conditionalFormatting>
  <conditionalFormatting sqref="CP8:CQ8">
    <cfRule type="cellIs" dxfId="1940" priority="575" operator="equal">
      <formula>0</formula>
    </cfRule>
  </conditionalFormatting>
  <conditionalFormatting sqref="CP8:CQ8">
    <cfRule type="cellIs" dxfId="1939" priority="574" operator="equal">
      <formula>0</formula>
    </cfRule>
  </conditionalFormatting>
  <conditionalFormatting sqref="CP8:CQ8">
    <cfRule type="cellIs" dxfId="1938" priority="573" operator="equal">
      <formula>0</formula>
    </cfRule>
  </conditionalFormatting>
  <conditionalFormatting sqref="CP8:CQ8">
    <cfRule type="cellIs" dxfId="1937" priority="572" operator="equal">
      <formula>0</formula>
    </cfRule>
  </conditionalFormatting>
  <conditionalFormatting sqref="CP8:CQ8">
    <cfRule type="cellIs" dxfId="1936" priority="571" operator="equal">
      <formula>0</formula>
    </cfRule>
  </conditionalFormatting>
  <conditionalFormatting sqref="CP8:CQ8">
    <cfRule type="cellIs" dxfId="1935" priority="570" operator="equal">
      <formula>0</formula>
    </cfRule>
  </conditionalFormatting>
  <conditionalFormatting sqref="CP8:CQ8">
    <cfRule type="cellIs" dxfId="1934" priority="569" operator="equal">
      <formula>0</formula>
    </cfRule>
  </conditionalFormatting>
  <conditionalFormatting sqref="CP8:CQ8">
    <cfRule type="cellIs" dxfId="1933" priority="568" operator="equal">
      <formula>0</formula>
    </cfRule>
  </conditionalFormatting>
  <conditionalFormatting sqref="CP8:CQ8">
    <cfRule type="cellIs" dxfId="1932" priority="567" operator="equal">
      <formula>0</formula>
    </cfRule>
  </conditionalFormatting>
  <conditionalFormatting sqref="CP8:CQ8">
    <cfRule type="cellIs" dxfId="1931" priority="566" operator="equal">
      <formula>0</formula>
    </cfRule>
  </conditionalFormatting>
  <conditionalFormatting sqref="CP8:CQ8">
    <cfRule type="cellIs" dxfId="1930" priority="565" operator="equal">
      <formula>0</formula>
    </cfRule>
  </conditionalFormatting>
  <conditionalFormatting sqref="CP8:CQ8">
    <cfRule type="cellIs" dxfId="1929" priority="564" operator="equal">
      <formula>0</formula>
    </cfRule>
  </conditionalFormatting>
  <conditionalFormatting sqref="CP8:CQ8">
    <cfRule type="cellIs" dxfId="1928" priority="563" operator="equal">
      <formula>0</formula>
    </cfRule>
  </conditionalFormatting>
  <conditionalFormatting sqref="CP8:CQ8">
    <cfRule type="cellIs" dxfId="1927" priority="562" operator="equal">
      <formula>0</formula>
    </cfRule>
  </conditionalFormatting>
  <conditionalFormatting sqref="CP8:CQ8">
    <cfRule type="cellIs" dxfId="1926" priority="561" operator="equal">
      <formula>0</formula>
    </cfRule>
  </conditionalFormatting>
  <conditionalFormatting sqref="CP8:CQ8">
    <cfRule type="cellIs" dxfId="1925" priority="560" operator="equal">
      <formula>0</formula>
    </cfRule>
  </conditionalFormatting>
  <conditionalFormatting sqref="CP8:CQ8">
    <cfRule type="cellIs" dxfId="1924" priority="559" operator="equal">
      <formula>0</formula>
    </cfRule>
  </conditionalFormatting>
  <conditionalFormatting sqref="CP8:CQ8">
    <cfRule type="cellIs" dxfId="1923" priority="558" operator="equal">
      <formula>0</formula>
    </cfRule>
  </conditionalFormatting>
  <conditionalFormatting sqref="CP8:CQ8">
    <cfRule type="cellIs" dxfId="1922" priority="557" operator="equal">
      <formula>0</formula>
    </cfRule>
  </conditionalFormatting>
  <conditionalFormatting sqref="CP8:CQ8">
    <cfRule type="cellIs" dxfId="1921" priority="556" operator="equal">
      <formula>0</formula>
    </cfRule>
  </conditionalFormatting>
  <conditionalFormatting sqref="CP8:CQ8">
    <cfRule type="cellIs" dxfId="1920" priority="555" operator="equal">
      <formula>0</formula>
    </cfRule>
  </conditionalFormatting>
  <conditionalFormatting sqref="CP8:CQ8">
    <cfRule type="cellIs" dxfId="1919" priority="554" operator="equal">
      <formula>0</formula>
    </cfRule>
  </conditionalFormatting>
  <conditionalFormatting sqref="CP8:CQ8">
    <cfRule type="cellIs" dxfId="1918" priority="553" operator="equal">
      <formula>0</formula>
    </cfRule>
  </conditionalFormatting>
  <conditionalFormatting sqref="CP8:CQ8">
    <cfRule type="cellIs" dxfId="1917" priority="552" operator="equal">
      <formula>0</formula>
    </cfRule>
  </conditionalFormatting>
  <conditionalFormatting sqref="CP8:CQ8">
    <cfRule type="cellIs" dxfId="1916" priority="551" operator="equal">
      <formula>0</formula>
    </cfRule>
  </conditionalFormatting>
  <conditionalFormatting sqref="CP8:CQ8">
    <cfRule type="cellIs" dxfId="1915" priority="550" operator="equal">
      <formula>0</formula>
    </cfRule>
  </conditionalFormatting>
  <conditionalFormatting sqref="CP8:CQ8">
    <cfRule type="cellIs" dxfId="1914" priority="549" operator="equal">
      <formula>0</formula>
    </cfRule>
  </conditionalFormatting>
  <conditionalFormatting sqref="CP8:CQ8">
    <cfRule type="cellIs" dxfId="1913" priority="548" operator="equal">
      <formula>0</formula>
    </cfRule>
  </conditionalFormatting>
  <conditionalFormatting sqref="CP8:CQ8">
    <cfRule type="cellIs" dxfId="1912" priority="547" operator="equal">
      <formula>0</formula>
    </cfRule>
  </conditionalFormatting>
  <conditionalFormatting sqref="CP8:CQ8">
    <cfRule type="cellIs" dxfId="1911" priority="546" operator="equal">
      <formula>0</formula>
    </cfRule>
  </conditionalFormatting>
  <conditionalFormatting sqref="CP8:CQ8">
    <cfRule type="cellIs" dxfId="1910" priority="545" operator="equal">
      <formula>0</formula>
    </cfRule>
  </conditionalFormatting>
  <conditionalFormatting sqref="CP8:CQ8">
    <cfRule type="cellIs" dxfId="1909" priority="544" operator="equal">
      <formula>0</formula>
    </cfRule>
  </conditionalFormatting>
  <conditionalFormatting sqref="CP8:CQ8">
    <cfRule type="cellIs" dxfId="1908" priority="543" operator="equal">
      <formula>0</formula>
    </cfRule>
  </conditionalFormatting>
  <conditionalFormatting sqref="CP8:CQ8">
    <cfRule type="cellIs" dxfId="1907" priority="542" operator="equal">
      <formula>0</formula>
    </cfRule>
  </conditionalFormatting>
  <conditionalFormatting sqref="CP8:CQ8">
    <cfRule type="cellIs" dxfId="1906" priority="541" operator="equal">
      <formula>0</formula>
    </cfRule>
  </conditionalFormatting>
  <conditionalFormatting sqref="CP8:CQ8">
    <cfRule type="cellIs" dxfId="1905" priority="540" operator="equal">
      <formula>0</formula>
    </cfRule>
  </conditionalFormatting>
  <conditionalFormatting sqref="CP8:CQ8">
    <cfRule type="cellIs" dxfId="1904" priority="539" operator="equal">
      <formula>0</formula>
    </cfRule>
  </conditionalFormatting>
  <conditionalFormatting sqref="CP8:CQ8">
    <cfRule type="cellIs" dxfId="1903" priority="538" operator="equal">
      <formula>0</formula>
    </cfRule>
  </conditionalFormatting>
  <conditionalFormatting sqref="CP8:CQ8">
    <cfRule type="cellIs" dxfId="1902" priority="537" operator="equal">
      <formula>0</formula>
    </cfRule>
  </conditionalFormatting>
  <conditionalFormatting sqref="CP8:CQ8">
    <cfRule type="cellIs" dxfId="1901" priority="536" operator="equal">
      <formula>0</formula>
    </cfRule>
  </conditionalFormatting>
  <conditionalFormatting sqref="CP8:CQ8">
    <cfRule type="cellIs" dxfId="1900" priority="535" operator="equal">
      <formula>0</formula>
    </cfRule>
  </conditionalFormatting>
  <conditionalFormatting sqref="CP8:CQ8">
    <cfRule type="cellIs" dxfId="1899" priority="534" operator="equal">
      <formula>0</formula>
    </cfRule>
  </conditionalFormatting>
  <conditionalFormatting sqref="CP8:CQ8">
    <cfRule type="cellIs" dxfId="1898" priority="533" operator="equal">
      <formula>0</formula>
    </cfRule>
  </conditionalFormatting>
  <conditionalFormatting sqref="CP8:CQ8">
    <cfRule type="cellIs" dxfId="1897" priority="532" operator="equal">
      <formula>0</formula>
    </cfRule>
  </conditionalFormatting>
  <conditionalFormatting sqref="CP8:CQ8">
    <cfRule type="cellIs" dxfId="1896" priority="531" operator="equal">
      <formula>0</formula>
    </cfRule>
  </conditionalFormatting>
  <conditionalFormatting sqref="CP8:CQ8">
    <cfRule type="cellIs" dxfId="1895" priority="530" operator="equal">
      <formula>0</formula>
    </cfRule>
  </conditionalFormatting>
  <conditionalFormatting sqref="CP8:CQ8">
    <cfRule type="cellIs" dxfId="1894" priority="529" operator="equal">
      <formula>0</formula>
    </cfRule>
  </conditionalFormatting>
  <conditionalFormatting sqref="CP8:CQ8">
    <cfRule type="cellIs" dxfId="1893" priority="528" operator="equal">
      <formula>0</formula>
    </cfRule>
  </conditionalFormatting>
  <conditionalFormatting sqref="CP8:CQ8">
    <cfRule type="cellIs" dxfId="1892" priority="527" operator="equal">
      <formula>0</formula>
    </cfRule>
  </conditionalFormatting>
  <conditionalFormatting sqref="CP120:CQ120">
    <cfRule type="cellIs" dxfId="1891" priority="503" operator="equal">
      <formula>0</formula>
    </cfRule>
  </conditionalFormatting>
  <conditionalFormatting sqref="CP120:CQ120">
    <cfRule type="cellIs" dxfId="1890" priority="502" operator="equal">
      <formula>0</formula>
    </cfRule>
  </conditionalFormatting>
  <conditionalFormatting sqref="CP120:CQ120">
    <cfRule type="cellIs" dxfId="1889" priority="501" operator="equal">
      <formula>0</formula>
    </cfRule>
  </conditionalFormatting>
  <conditionalFormatting sqref="CP8:CQ8">
    <cfRule type="cellIs" dxfId="1888" priority="523" operator="equal">
      <formula>0</formula>
    </cfRule>
  </conditionalFormatting>
  <conditionalFormatting sqref="CP8:CQ8">
    <cfRule type="cellIs" dxfId="1887" priority="522" operator="equal">
      <formula>0</formula>
    </cfRule>
  </conditionalFormatting>
  <conditionalFormatting sqref="CP8:CQ8">
    <cfRule type="cellIs" dxfId="1886" priority="521" operator="equal">
      <formula>0</formula>
    </cfRule>
  </conditionalFormatting>
  <conditionalFormatting sqref="CP8:CQ8">
    <cfRule type="cellIs" dxfId="1885" priority="520" operator="equal">
      <formula>0</formula>
    </cfRule>
  </conditionalFormatting>
  <conditionalFormatting sqref="CP8:CQ8">
    <cfRule type="cellIs" dxfId="1884" priority="519" operator="equal">
      <formula>0</formula>
    </cfRule>
  </conditionalFormatting>
  <conditionalFormatting sqref="CP8:CQ8">
    <cfRule type="cellIs" dxfId="1883" priority="518" operator="equal">
      <formula>0</formula>
    </cfRule>
  </conditionalFormatting>
  <conditionalFormatting sqref="CP8:CQ8">
    <cfRule type="cellIs" dxfId="1882" priority="517" operator="equal">
      <formula>0</formula>
    </cfRule>
  </conditionalFormatting>
  <conditionalFormatting sqref="CP8:CQ8">
    <cfRule type="cellIs" dxfId="1881" priority="516" operator="equal">
      <formula>0</formula>
    </cfRule>
  </conditionalFormatting>
  <conditionalFormatting sqref="CP8:CQ8">
    <cfRule type="cellIs" dxfId="1880" priority="515" operator="equal">
      <formula>0</formula>
    </cfRule>
  </conditionalFormatting>
  <conditionalFormatting sqref="CP8:CQ8">
    <cfRule type="cellIs" dxfId="1879" priority="514" operator="equal">
      <formula>0</formula>
    </cfRule>
  </conditionalFormatting>
  <conditionalFormatting sqref="CP8:CQ8">
    <cfRule type="cellIs" dxfId="1878" priority="513" operator="equal">
      <formula>0</formula>
    </cfRule>
  </conditionalFormatting>
  <conditionalFormatting sqref="CP8:CQ8">
    <cfRule type="cellIs" dxfId="1877" priority="512" operator="equal">
      <formula>0</formula>
    </cfRule>
  </conditionalFormatting>
  <conditionalFormatting sqref="CP8:CQ8">
    <cfRule type="cellIs" dxfId="1876" priority="511" operator="equal">
      <formula>0</formula>
    </cfRule>
  </conditionalFormatting>
  <conditionalFormatting sqref="CP8:CQ8">
    <cfRule type="cellIs" dxfId="1875" priority="510" operator="equal">
      <formula>0</formula>
    </cfRule>
  </conditionalFormatting>
  <conditionalFormatting sqref="CP8:CQ8">
    <cfRule type="cellIs" dxfId="1874" priority="509" operator="equal">
      <formula>0</formula>
    </cfRule>
  </conditionalFormatting>
  <conditionalFormatting sqref="CP8:CQ8">
    <cfRule type="cellIs" dxfId="1873" priority="508" operator="equal">
      <formula>0</formula>
    </cfRule>
  </conditionalFormatting>
  <conditionalFormatting sqref="CP8:CQ8">
    <cfRule type="cellIs" dxfId="1872" priority="507" operator="equal">
      <formula>0</formula>
    </cfRule>
  </conditionalFormatting>
  <conditionalFormatting sqref="CP8:CQ8">
    <cfRule type="cellIs" dxfId="1871" priority="506" operator="equal">
      <formula>0</formula>
    </cfRule>
  </conditionalFormatting>
  <conditionalFormatting sqref="CP8:CQ8">
    <cfRule type="cellIs" dxfId="1870" priority="505" operator="equal">
      <formula>0</formula>
    </cfRule>
  </conditionalFormatting>
  <conditionalFormatting sqref="CP8:CQ8">
    <cfRule type="cellIs" dxfId="1869" priority="504" operator="equal">
      <formula>0</formula>
    </cfRule>
  </conditionalFormatting>
  <conditionalFormatting sqref="CP81:CQ81">
    <cfRule type="cellIs" dxfId="1868" priority="500" operator="equal">
      <formula>0</formula>
    </cfRule>
  </conditionalFormatting>
  <conditionalFormatting sqref="CP82:CQ82">
    <cfRule type="cellIs" dxfId="1867" priority="499" operator="equal">
      <formula>0</formula>
    </cfRule>
  </conditionalFormatting>
  <conditionalFormatting sqref="O82">
    <cfRule type="cellIs" dxfId="1866" priority="498" operator="equal">
      <formula>0</formula>
    </cfRule>
  </conditionalFormatting>
  <conditionalFormatting sqref="O8">
    <cfRule type="cellIs" dxfId="1865" priority="497" operator="equal">
      <formula>0</formula>
    </cfRule>
  </conditionalFormatting>
  <conditionalFormatting sqref="O113:O115">
    <cfRule type="cellIs" dxfId="1864" priority="496" operator="equal">
      <formula>0</formula>
    </cfRule>
  </conditionalFormatting>
  <conditionalFormatting sqref="O120">
    <cfRule type="cellIs" dxfId="1863" priority="495" operator="equal">
      <formula>0</formula>
    </cfRule>
  </conditionalFormatting>
  <conditionalFormatting sqref="O125:O126 O117 O128">
    <cfRule type="cellIs" dxfId="1862" priority="494" operator="equal">
      <formula>0</formula>
    </cfRule>
  </conditionalFormatting>
  <conditionalFormatting sqref="O124">
    <cfRule type="cellIs" dxfId="1861" priority="493" operator="equal">
      <formula>0</formula>
    </cfRule>
  </conditionalFormatting>
  <conditionalFormatting sqref="O124">
    <cfRule type="cellIs" dxfId="1860" priority="492" operator="equal">
      <formula>0</formula>
    </cfRule>
  </conditionalFormatting>
  <conditionalFormatting sqref="O124">
    <cfRule type="cellIs" dxfId="1859" priority="491" operator="equal">
      <formula>0</formula>
    </cfRule>
  </conditionalFormatting>
  <conditionalFormatting sqref="O8">
    <cfRule type="cellIs" dxfId="1858" priority="490" operator="equal">
      <formula>0</formula>
    </cfRule>
  </conditionalFormatting>
  <conditionalFormatting sqref="O120">
    <cfRule type="cellIs" dxfId="1857" priority="489" operator="equal">
      <formula>0</formula>
    </cfRule>
  </conditionalFormatting>
  <conditionalFormatting sqref="O120">
    <cfRule type="cellIs" dxfId="1856" priority="488" operator="equal">
      <formula>0</formula>
    </cfRule>
  </conditionalFormatting>
  <conditionalFormatting sqref="O201:O206 O222:O229 O141:O165">
    <cfRule type="cellIs" dxfId="1855" priority="487" operator="equal">
      <formula>0</formula>
    </cfRule>
  </conditionalFormatting>
  <conditionalFormatting sqref="O201">
    <cfRule type="cellIs" dxfId="1854" priority="486" operator="equal">
      <formula>0</formula>
    </cfRule>
  </conditionalFormatting>
  <conditionalFormatting sqref="O142:O143">
    <cfRule type="cellIs" dxfId="1853" priority="485" operator="equal">
      <formula>0</formula>
    </cfRule>
  </conditionalFormatting>
  <conditionalFormatting sqref="O142:O143">
    <cfRule type="cellIs" dxfId="1852" priority="484" operator="equal">
      <formula>0</formula>
    </cfRule>
  </conditionalFormatting>
  <conditionalFormatting sqref="O143">
    <cfRule type="cellIs" dxfId="1851" priority="483" operator="equal">
      <formula>0</formula>
    </cfRule>
  </conditionalFormatting>
  <conditionalFormatting sqref="O142">
    <cfRule type="cellIs" dxfId="1850" priority="482" operator="equal">
      <formula>0</formula>
    </cfRule>
  </conditionalFormatting>
  <conditionalFormatting sqref="O222:O229">
    <cfRule type="cellIs" dxfId="1849" priority="481" operator="equal">
      <formula>0</formula>
    </cfRule>
  </conditionalFormatting>
  <conditionalFormatting sqref="O145:O148">
    <cfRule type="cellIs" dxfId="1848" priority="480" operator="equal">
      <formula>0</formula>
    </cfRule>
  </conditionalFormatting>
  <conditionalFormatting sqref="AV4">
    <cfRule type="cellIs" dxfId="1847" priority="479" operator="equal">
      <formula>0</formula>
    </cfRule>
  </conditionalFormatting>
  <conditionalFormatting sqref="AS3:AT3">
    <cfRule type="cellIs" dxfId="1846" priority="478" operator="equal">
      <formula>0</formula>
    </cfRule>
  </conditionalFormatting>
  <conditionalFormatting sqref="AV3">
    <cfRule type="cellIs" dxfId="1845" priority="477" operator="equal">
      <formula>0</formula>
    </cfRule>
  </conditionalFormatting>
  <conditionalFormatting sqref="AV6">
    <cfRule type="cellIs" dxfId="1844" priority="476" operator="equal">
      <formula>0</formula>
    </cfRule>
  </conditionalFormatting>
  <conditionalFormatting sqref="AV158:AV162">
    <cfRule type="cellIs" dxfId="1843" priority="475" operator="equal">
      <formula>0</formula>
    </cfRule>
  </conditionalFormatting>
  <conditionalFormatting sqref="AV163:AV165">
    <cfRule type="cellIs" dxfId="1842" priority="474" operator="equal">
      <formula>0</formula>
    </cfRule>
  </conditionalFormatting>
  <conditionalFormatting sqref="DS6">
    <cfRule type="cellIs" dxfId="1841" priority="473" operator="equal">
      <formula>0</formula>
    </cfRule>
  </conditionalFormatting>
  <conditionalFormatting sqref="DS5">
    <cfRule type="cellIs" dxfId="1840" priority="472" operator="equal">
      <formula>0</formula>
    </cfRule>
  </conditionalFormatting>
  <conditionalFormatting sqref="DV8">
    <cfRule type="cellIs" dxfId="1839" priority="471" operator="equal">
      <formula>0</formula>
    </cfRule>
  </conditionalFormatting>
  <conditionalFormatting sqref="DV8">
    <cfRule type="cellIs" dxfId="1838" priority="470" operator="equal">
      <formula>0</formula>
    </cfRule>
  </conditionalFormatting>
  <conditionalFormatting sqref="DV8">
    <cfRule type="cellIs" dxfId="1837" priority="469" operator="equal">
      <formula>0</formula>
    </cfRule>
  </conditionalFormatting>
  <conditionalFormatting sqref="DV8">
    <cfRule type="cellIs" dxfId="1836" priority="468" operator="equal">
      <formula>0</formula>
    </cfRule>
  </conditionalFormatting>
  <conditionalFormatting sqref="DV8">
    <cfRule type="cellIs" dxfId="1835" priority="467" operator="equal">
      <formula>0</formula>
    </cfRule>
  </conditionalFormatting>
  <conditionalFormatting sqref="DV8">
    <cfRule type="cellIs" dxfId="1834" priority="466" operator="equal">
      <formula>0</formula>
    </cfRule>
  </conditionalFormatting>
  <conditionalFormatting sqref="DV8">
    <cfRule type="cellIs" dxfId="1833" priority="465" operator="equal">
      <formula>0</formula>
    </cfRule>
  </conditionalFormatting>
  <conditionalFormatting sqref="DV8">
    <cfRule type="cellIs" dxfId="1832" priority="464" operator="equal">
      <formula>0</formula>
    </cfRule>
  </conditionalFormatting>
  <conditionalFormatting sqref="DV8">
    <cfRule type="cellIs" dxfId="1831" priority="463" operator="equal">
      <formula>0</formula>
    </cfRule>
  </conditionalFormatting>
  <conditionalFormatting sqref="DV8">
    <cfRule type="cellIs" dxfId="1830" priority="462" operator="equal">
      <formula>0</formula>
    </cfRule>
  </conditionalFormatting>
  <conditionalFormatting sqref="DV8">
    <cfRule type="cellIs" dxfId="1829" priority="461" operator="equal">
      <formula>0</formula>
    </cfRule>
  </conditionalFormatting>
  <conditionalFormatting sqref="DV8">
    <cfRule type="cellIs" dxfId="1828" priority="460" operator="equal">
      <formula>0</formula>
    </cfRule>
  </conditionalFormatting>
  <conditionalFormatting sqref="DV8">
    <cfRule type="cellIs" dxfId="1827" priority="459" operator="equal">
      <formula>0</formula>
    </cfRule>
  </conditionalFormatting>
  <conditionalFormatting sqref="DV8">
    <cfRule type="cellIs" dxfId="1826" priority="458" operator="equal">
      <formula>0</formula>
    </cfRule>
  </conditionalFormatting>
  <conditionalFormatting sqref="DV8">
    <cfRule type="cellIs" dxfId="1825" priority="457" operator="equal">
      <formula>0</formula>
    </cfRule>
  </conditionalFormatting>
  <conditionalFormatting sqref="DV8">
    <cfRule type="cellIs" dxfId="1824" priority="456" operator="equal">
      <formula>0</formula>
    </cfRule>
  </conditionalFormatting>
  <conditionalFormatting sqref="DR82">
    <cfRule type="cellIs" dxfId="1823" priority="455" operator="equal">
      <formula>0</formula>
    </cfRule>
  </conditionalFormatting>
  <conditionalFormatting sqref="DS82">
    <cfRule type="cellIs" dxfId="1822" priority="454" operator="equal">
      <formula>0</formula>
    </cfRule>
  </conditionalFormatting>
  <conditionalFormatting sqref="DU82">
    <cfRule type="cellIs" dxfId="1821" priority="453" operator="equal">
      <formula>0</formula>
    </cfRule>
  </conditionalFormatting>
  <conditionalFormatting sqref="DS157:DS162">
    <cfRule type="cellIs" dxfId="1820" priority="452" operator="equal">
      <formula>0</formula>
    </cfRule>
  </conditionalFormatting>
  <conditionalFormatting sqref="DS163:DS165">
    <cfRule type="cellIs" dxfId="1819" priority="451" operator="equal">
      <formula>0</formula>
    </cfRule>
  </conditionalFormatting>
  <conditionalFormatting sqref="DS156">
    <cfRule type="cellIs" dxfId="1818" priority="450" operator="equal">
      <formula>0</formula>
    </cfRule>
  </conditionalFormatting>
  <conditionalFormatting sqref="DU157:DU162">
    <cfRule type="cellIs" dxfId="1817" priority="449" operator="equal">
      <formula>0</formula>
    </cfRule>
  </conditionalFormatting>
  <conditionalFormatting sqref="DU163:DU165">
    <cfRule type="cellIs" dxfId="1816" priority="448" operator="equal">
      <formula>0</formula>
    </cfRule>
  </conditionalFormatting>
  <conditionalFormatting sqref="DU156">
    <cfRule type="cellIs" dxfId="1815" priority="447" operator="equal">
      <formula>0</formula>
    </cfRule>
  </conditionalFormatting>
  <conditionalFormatting sqref="DT8">
    <cfRule type="cellIs" dxfId="1814" priority="446" operator="equal">
      <formula>0</formula>
    </cfRule>
  </conditionalFormatting>
  <conditionalFormatting sqref="DT8">
    <cfRule type="cellIs" dxfId="1813" priority="445" operator="equal">
      <formula>0</formula>
    </cfRule>
  </conditionalFormatting>
  <conditionalFormatting sqref="DT8">
    <cfRule type="cellIs" dxfId="1812" priority="444" operator="equal">
      <formula>0</formula>
    </cfRule>
  </conditionalFormatting>
  <conditionalFormatting sqref="DT8">
    <cfRule type="cellIs" dxfId="1811" priority="443" operator="equal">
      <formula>0</formula>
    </cfRule>
  </conditionalFormatting>
  <conditionalFormatting sqref="DT8">
    <cfRule type="cellIs" dxfId="1810" priority="442" operator="equal">
      <formula>0</formula>
    </cfRule>
  </conditionalFormatting>
  <conditionalFormatting sqref="DT8">
    <cfRule type="cellIs" dxfId="1809" priority="441" operator="equal">
      <formula>0</formula>
    </cfRule>
  </conditionalFormatting>
  <conditionalFormatting sqref="DT8">
    <cfRule type="cellIs" dxfId="1808" priority="440" operator="equal">
      <formula>0</formula>
    </cfRule>
  </conditionalFormatting>
  <conditionalFormatting sqref="DT8">
    <cfRule type="cellIs" dxfId="1807" priority="439" operator="equal">
      <formula>0</formula>
    </cfRule>
  </conditionalFormatting>
  <conditionalFormatting sqref="DT8">
    <cfRule type="cellIs" dxfId="1806" priority="438" operator="equal">
      <formula>0</formula>
    </cfRule>
  </conditionalFormatting>
  <conditionalFormatting sqref="DT8">
    <cfRule type="cellIs" dxfId="1805" priority="437" operator="equal">
      <formula>0</formula>
    </cfRule>
  </conditionalFormatting>
  <conditionalFormatting sqref="DT8">
    <cfRule type="cellIs" dxfId="1804" priority="436" operator="equal">
      <formula>0</formula>
    </cfRule>
  </conditionalFormatting>
  <conditionalFormatting sqref="DT8">
    <cfRule type="cellIs" dxfId="1803" priority="435" operator="equal">
      <formula>0</formula>
    </cfRule>
  </conditionalFormatting>
  <conditionalFormatting sqref="DT8">
    <cfRule type="cellIs" dxfId="1802" priority="434" operator="equal">
      <formula>0</formula>
    </cfRule>
  </conditionalFormatting>
  <conditionalFormatting sqref="DT8">
    <cfRule type="cellIs" dxfId="1801" priority="433" operator="equal">
      <formula>0</formula>
    </cfRule>
  </conditionalFormatting>
  <conditionalFormatting sqref="DT8">
    <cfRule type="cellIs" dxfId="1800" priority="432" operator="equal">
      <formula>0</formula>
    </cfRule>
  </conditionalFormatting>
  <conditionalFormatting sqref="DT8">
    <cfRule type="cellIs" dxfId="1799" priority="431" operator="equal">
      <formula>0</formula>
    </cfRule>
  </conditionalFormatting>
  <conditionalFormatting sqref="DT8">
    <cfRule type="cellIs" dxfId="1798" priority="430" operator="equal">
      <formula>0</formula>
    </cfRule>
  </conditionalFormatting>
  <conditionalFormatting sqref="DT8">
    <cfRule type="cellIs" dxfId="1797" priority="429" operator="equal">
      <formula>0</formula>
    </cfRule>
  </conditionalFormatting>
  <conditionalFormatting sqref="DT8">
    <cfRule type="cellIs" dxfId="1796" priority="428" operator="equal">
      <formula>0</formula>
    </cfRule>
  </conditionalFormatting>
  <conditionalFormatting sqref="DT8">
    <cfRule type="cellIs" dxfId="1795" priority="427" operator="equal">
      <formula>0</formula>
    </cfRule>
  </conditionalFormatting>
  <conditionalFormatting sqref="DT8">
    <cfRule type="cellIs" dxfId="1794" priority="426" operator="equal">
      <formula>0</formula>
    </cfRule>
  </conditionalFormatting>
  <conditionalFormatting sqref="DT8">
    <cfRule type="cellIs" dxfId="1793" priority="425" operator="equal">
      <formula>0</formula>
    </cfRule>
  </conditionalFormatting>
  <conditionalFormatting sqref="DT8">
    <cfRule type="cellIs" dxfId="1792" priority="424" operator="equal">
      <formula>0</formula>
    </cfRule>
  </conditionalFormatting>
  <conditionalFormatting sqref="AU4">
    <cfRule type="cellIs" dxfId="1791" priority="423" operator="equal">
      <formula>0</formula>
    </cfRule>
  </conditionalFormatting>
  <conditionalFormatting sqref="AW117 AW125:AW126">
    <cfRule type="cellIs" dxfId="1790" priority="420" operator="equal">
      <formula>0</formula>
    </cfRule>
  </conditionalFormatting>
  <conditionalFormatting sqref="AW124">
    <cfRule type="cellIs" dxfId="1789" priority="419" operator="equal">
      <formula>0</formula>
    </cfRule>
  </conditionalFormatting>
  <conditionalFormatting sqref="AW124">
    <cfRule type="cellIs" dxfId="1788" priority="418" operator="equal">
      <formula>0</formula>
    </cfRule>
  </conditionalFormatting>
  <conditionalFormatting sqref="AW124">
    <cfRule type="cellIs" dxfId="1787" priority="417" operator="equal">
      <formula>0</formula>
    </cfRule>
  </conditionalFormatting>
  <conditionalFormatting sqref="AW120">
    <cfRule type="cellIs" dxfId="1786" priority="416" operator="equal">
      <formula>0</formula>
    </cfRule>
  </conditionalFormatting>
  <conditionalFormatting sqref="AW120">
    <cfRule type="cellIs" dxfId="1785" priority="415" operator="equal">
      <formula>0</formula>
    </cfRule>
  </conditionalFormatting>
  <conditionalFormatting sqref="G5:I5">
    <cfRule type="cellIs" dxfId="1784" priority="414" operator="equal">
      <formula>0</formula>
    </cfRule>
  </conditionalFormatting>
  <conditionalFormatting sqref="I3">
    <cfRule type="cellIs" dxfId="1783" priority="413" operator="equal">
      <formula>0</formula>
    </cfRule>
  </conditionalFormatting>
  <conditionalFormatting sqref="I4">
    <cfRule type="cellIs" dxfId="1782" priority="412" operator="equal">
      <formula>0</formula>
    </cfRule>
  </conditionalFormatting>
  <conditionalFormatting sqref="G3:H3">
    <cfRule type="cellIs" dxfId="1781" priority="411" operator="equal">
      <formula>0</formula>
    </cfRule>
  </conditionalFormatting>
  <conditionalFormatting sqref="G4:H4">
    <cfRule type="cellIs" dxfId="1780" priority="410" operator="equal">
      <formula>0</formula>
    </cfRule>
  </conditionalFormatting>
  <conditionalFormatting sqref="K5">
    <cfRule type="cellIs" dxfId="1779" priority="409" operator="equal">
      <formula>0</formula>
    </cfRule>
  </conditionalFormatting>
  <conditionalFormatting sqref="K4">
    <cfRule type="cellIs" dxfId="1778" priority="408" operator="equal">
      <formula>0</formula>
    </cfRule>
  </conditionalFormatting>
  <conditionalFormatting sqref="K3">
    <cfRule type="cellIs" dxfId="1777" priority="407" operator="equal">
      <formula>0</formula>
    </cfRule>
  </conditionalFormatting>
  <conditionalFormatting sqref="J124:K126 J120:K120 J117:K117">
    <cfRule type="cellIs" dxfId="1776" priority="406" operator="equal">
      <formula>0</formula>
    </cfRule>
  </conditionalFormatting>
  <conditionalFormatting sqref="J156:K165">
    <cfRule type="cellIs" dxfId="1775" priority="405" operator="equal">
      <formula>0</formula>
    </cfRule>
  </conditionalFormatting>
  <conditionalFormatting sqref="BW3:BW6 BW8">
    <cfRule type="cellIs" dxfId="1774" priority="404" operator="equal">
      <formula>0</formula>
    </cfRule>
  </conditionalFormatting>
  <conditionalFormatting sqref="AD8:AF8 AD120:AF120 AD3:AF4 AD82:AF82 AD128:AF129 AD124:AF126 AD201:AF206 AD113:AF117 AD139:AF165">
    <cfRule type="cellIs" dxfId="1773" priority="403" operator="equal">
      <formula>0</formula>
    </cfRule>
  </conditionalFormatting>
  <conditionalFormatting sqref="AD222:AF229">
    <cfRule type="cellIs" dxfId="1772" priority="402" operator="equal">
      <formula>0</formula>
    </cfRule>
  </conditionalFormatting>
  <conditionalFormatting sqref="AD5:AF5">
    <cfRule type="cellIs" dxfId="1771" priority="401" operator="equal">
      <formula>0</formula>
    </cfRule>
  </conditionalFormatting>
  <conditionalFormatting sqref="AD6:AF6">
    <cfRule type="cellIs" dxfId="1770" priority="400" operator="equal">
      <formula>0</formula>
    </cfRule>
  </conditionalFormatting>
  <conditionalFormatting sqref="L6 L222:L229 L201:L206 L139:L155 L128:L129 L113:L116 CP115:CQ115">
    <cfRule type="cellIs" dxfId="1769" priority="397" operator="equal">
      <formula>0</formula>
    </cfRule>
  </conditionalFormatting>
  <conditionalFormatting sqref="L142:L143">
    <cfRule type="cellIs" dxfId="1768" priority="396" operator="equal">
      <formula>0</formula>
    </cfRule>
  </conditionalFormatting>
  <conditionalFormatting sqref="L142:L143">
    <cfRule type="cellIs" dxfId="1767" priority="395" operator="equal">
      <formula>0</formula>
    </cfRule>
  </conditionalFormatting>
  <conditionalFormatting sqref="L143">
    <cfRule type="cellIs" dxfId="1766" priority="394" operator="equal">
      <formula>0</formula>
    </cfRule>
  </conditionalFormatting>
  <conditionalFormatting sqref="L142">
    <cfRule type="cellIs" dxfId="1765" priority="393" operator="equal">
      <formula>0</formula>
    </cfRule>
  </conditionalFormatting>
  <conditionalFormatting sqref="L6">
    <cfRule type="cellIs" dxfId="1764" priority="392" operator="equal">
      <formula>0</formula>
    </cfRule>
  </conditionalFormatting>
  <conditionalFormatting sqref="L222:L229">
    <cfRule type="cellIs" dxfId="1763" priority="391" operator="equal">
      <formula>0</formula>
    </cfRule>
  </conditionalFormatting>
  <conditionalFormatting sqref="L145:L148">
    <cfRule type="cellIs" dxfId="1762" priority="390" operator="equal">
      <formula>0</formula>
    </cfRule>
  </conditionalFormatting>
  <conditionalFormatting sqref="L5">
    <cfRule type="cellIs" dxfId="1761" priority="389" operator="equal">
      <formula>0</formula>
    </cfRule>
  </conditionalFormatting>
  <conditionalFormatting sqref="L4">
    <cfRule type="cellIs" dxfId="1760" priority="388" operator="equal">
      <formula>0</formula>
    </cfRule>
  </conditionalFormatting>
  <conditionalFormatting sqref="L3">
    <cfRule type="cellIs" dxfId="1759" priority="387" operator="equal">
      <formula>0</formula>
    </cfRule>
  </conditionalFormatting>
  <conditionalFormatting sqref="L124:L126 L120 L117">
    <cfRule type="cellIs" dxfId="1758" priority="386" operator="equal">
      <formula>0</formula>
    </cfRule>
  </conditionalFormatting>
  <conditionalFormatting sqref="L156:L165">
    <cfRule type="cellIs" dxfId="1757" priority="385" operator="equal">
      <formula>0</formula>
    </cfRule>
  </conditionalFormatting>
  <conditionalFormatting sqref="DW166:DW169 N166:N169 DQ166:DR169 U166:U169 DA166:DC168 CR166:CY169 AB166:AC169 P166:R169">
    <cfRule type="cellIs" dxfId="1756" priority="384" operator="equal">
      <formula>0</formula>
    </cfRule>
  </conditionalFormatting>
  <conditionalFormatting sqref="C166:E169">
    <cfRule type="cellIs" dxfId="1755" priority="383" operator="equal">
      <formula>0</formula>
    </cfRule>
  </conditionalFormatting>
  <conditionalFormatting sqref="DT166:DT169">
    <cfRule type="cellIs" dxfId="1754" priority="382" operator="equal">
      <formula>0</formula>
    </cfRule>
  </conditionalFormatting>
  <conditionalFormatting sqref="AS166:AU169">
    <cfRule type="cellIs" dxfId="1753" priority="381" operator="equal">
      <formula>0</formula>
    </cfRule>
  </conditionalFormatting>
  <conditionalFormatting sqref="DV166:DV169">
    <cfRule type="cellIs" dxfId="1752" priority="380" operator="equal">
      <formula>0</formula>
    </cfRule>
  </conditionalFormatting>
  <conditionalFormatting sqref="CZ166:CZ169">
    <cfRule type="cellIs" dxfId="1751" priority="379" operator="equal">
      <formula>0</formula>
    </cfRule>
  </conditionalFormatting>
  <conditionalFormatting sqref="DG166:DG169">
    <cfRule type="cellIs" dxfId="1750" priority="378" operator="equal">
      <formula>0</formula>
    </cfRule>
  </conditionalFormatting>
  <conditionalFormatting sqref="CO166:CO169">
    <cfRule type="cellIs" dxfId="1749" priority="377" operator="equal">
      <formula>0</formula>
    </cfRule>
  </conditionalFormatting>
  <conditionalFormatting sqref="CO166:CO169">
    <cfRule type="cellIs" dxfId="1748" priority="376" operator="equal">
      <formula>0</formula>
    </cfRule>
  </conditionalFormatting>
  <conditionalFormatting sqref="DP166:DP169">
    <cfRule type="cellIs" dxfId="1747" priority="375" operator="equal">
      <formula>0</formula>
    </cfRule>
  </conditionalFormatting>
  <conditionalFormatting sqref="CP166:CQ169">
    <cfRule type="cellIs" dxfId="1746" priority="374" operator="equal">
      <formula>0</formula>
    </cfRule>
  </conditionalFormatting>
  <conditionalFormatting sqref="O166:O169">
    <cfRule type="cellIs" dxfId="1745" priority="373" operator="equal">
      <formula>0</formula>
    </cfRule>
  </conditionalFormatting>
  <conditionalFormatting sqref="AV166:AV169">
    <cfRule type="cellIs" dxfId="1744" priority="372" operator="equal">
      <formula>0</formula>
    </cfRule>
  </conditionalFormatting>
  <conditionalFormatting sqref="DS166:DS169">
    <cfRule type="cellIs" dxfId="1743" priority="371" operator="equal">
      <formula>0</formula>
    </cfRule>
  </conditionalFormatting>
  <conditionalFormatting sqref="DU166:DU169">
    <cfRule type="cellIs" dxfId="1742" priority="370" operator="equal">
      <formula>0</formula>
    </cfRule>
  </conditionalFormatting>
  <conditionalFormatting sqref="J166:K169">
    <cfRule type="cellIs" dxfId="1741" priority="369" operator="equal">
      <formula>0</formula>
    </cfRule>
  </conditionalFormatting>
  <conditionalFormatting sqref="AD166:AF169">
    <cfRule type="cellIs" dxfId="1740" priority="368" operator="equal">
      <formula>0</formula>
    </cfRule>
  </conditionalFormatting>
  <conditionalFormatting sqref="L166:L169">
    <cfRule type="cellIs" dxfId="1739" priority="367" operator="equal">
      <formula>0</formula>
    </cfRule>
  </conditionalFormatting>
  <conditionalFormatting sqref="Q3:R5">
    <cfRule type="cellIs" dxfId="1738" priority="366" operator="equal">
      <formula>0</formula>
    </cfRule>
  </conditionalFormatting>
  <conditionalFormatting sqref="S134 S136 S138:S140 S129 S155 S113 S201:S206 S115">
    <cfRule type="cellIs" dxfId="1737" priority="365" operator="equal">
      <formula>0</formula>
    </cfRule>
  </conditionalFormatting>
  <conditionalFormatting sqref="S8">
    <cfRule type="cellIs" dxfId="1736" priority="364" operator="equal">
      <formula>0</formula>
    </cfRule>
  </conditionalFormatting>
  <conditionalFormatting sqref="S8">
    <cfRule type="cellIs" dxfId="1735" priority="363" operator="equal">
      <formula>0</formula>
    </cfRule>
  </conditionalFormatting>
  <conditionalFormatting sqref="S8">
    <cfRule type="cellIs" dxfId="1734" priority="362" operator="equal">
      <formula>0</formula>
    </cfRule>
  </conditionalFormatting>
  <conditionalFormatting sqref="S8">
    <cfRule type="cellIs" dxfId="1733" priority="361" operator="equal">
      <formula>0</formula>
    </cfRule>
  </conditionalFormatting>
  <conditionalFormatting sqref="S8">
    <cfRule type="cellIs" dxfId="1732" priority="360" operator="equal">
      <formula>0</formula>
    </cfRule>
  </conditionalFormatting>
  <conditionalFormatting sqref="S8">
    <cfRule type="cellIs" dxfId="1731" priority="359" operator="equal">
      <formula>0</formula>
    </cfRule>
  </conditionalFormatting>
  <conditionalFormatting sqref="S8">
    <cfRule type="cellIs" dxfId="1730" priority="358" operator="equal">
      <formula>0</formula>
    </cfRule>
  </conditionalFormatting>
  <conditionalFormatting sqref="S8">
    <cfRule type="cellIs" dxfId="1729" priority="357" operator="equal">
      <formula>0</formula>
    </cfRule>
  </conditionalFormatting>
  <conditionalFormatting sqref="S8">
    <cfRule type="cellIs" dxfId="1728" priority="356" operator="equal">
      <formula>0</formula>
    </cfRule>
  </conditionalFormatting>
  <conditionalFormatting sqref="S8">
    <cfRule type="cellIs" dxfId="1727" priority="355" operator="equal">
      <formula>0</formula>
    </cfRule>
  </conditionalFormatting>
  <conditionalFormatting sqref="S8">
    <cfRule type="cellIs" dxfId="1726" priority="354" operator="equal">
      <formula>0</formula>
    </cfRule>
  </conditionalFormatting>
  <conditionalFormatting sqref="S8">
    <cfRule type="cellIs" dxfId="1725" priority="353" operator="equal">
      <formula>0</formula>
    </cfRule>
  </conditionalFormatting>
  <conditionalFormatting sqref="S8">
    <cfRule type="cellIs" dxfId="1724" priority="352" operator="equal">
      <formula>0</formula>
    </cfRule>
  </conditionalFormatting>
  <conditionalFormatting sqref="S8">
    <cfRule type="cellIs" dxfId="1723" priority="349" operator="equal">
      <formula>0</formula>
    </cfRule>
  </conditionalFormatting>
  <conditionalFormatting sqref="S8">
    <cfRule type="cellIs" dxfId="1722" priority="348" operator="equal">
      <formula>0</formula>
    </cfRule>
  </conditionalFormatting>
  <conditionalFormatting sqref="S8">
    <cfRule type="cellIs" dxfId="1721" priority="347" operator="equal">
      <formula>0</formula>
    </cfRule>
  </conditionalFormatting>
  <conditionalFormatting sqref="S8">
    <cfRule type="cellIs" dxfId="1720" priority="344" operator="equal">
      <formula>0</formula>
    </cfRule>
  </conditionalFormatting>
  <conditionalFormatting sqref="S8">
    <cfRule type="cellIs" dxfId="1719" priority="343" operator="equal">
      <formula>0</formula>
    </cfRule>
  </conditionalFormatting>
  <conditionalFormatting sqref="S8">
    <cfRule type="cellIs" dxfId="1718" priority="342" operator="equal">
      <formula>0</formula>
    </cfRule>
  </conditionalFormatting>
  <conditionalFormatting sqref="S8">
    <cfRule type="cellIs" dxfId="1717" priority="341" operator="equal">
      <formula>0</formula>
    </cfRule>
  </conditionalFormatting>
  <conditionalFormatting sqref="S8">
    <cfRule type="cellIs" dxfId="1716" priority="340" operator="equal">
      <formula>0</formula>
    </cfRule>
  </conditionalFormatting>
  <conditionalFormatting sqref="S8">
    <cfRule type="cellIs" dxfId="1715" priority="339" operator="equal">
      <formula>0</formula>
    </cfRule>
  </conditionalFormatting>
  <conditionalFormatting sqref="S8">
    <cfRule type="cellIs" dxfId="1714" priority="338" operator="equal">
      <formula>0</formula>
    </cfRule>
  </conditionalFormatting>
  <conditionalFormatting sqref="S8">
    <cfRule type="cellIs" dxfId="1713" priority="337" operator="equal">
      <formula>0</formula>
    </cfRule>
  </conditionalFormatting>
  <conditionalFormatting sqref="S3:S6">
    <cfRule type="cellIs" dxfId="1712" priority="336" operator="equal">
      <formula>0</formula>
    </cfRule>
  </conditionalFormatting>
  <conditionalFormatting sqref="S82">
    <cfRule type="cellIs" dxfId="1711" priority="335" operator="equal">
      <formula>0</formula>
    </cfRule>
  </conditionalFormatting>
  <conditionalFormatting sqref="S124:S126 S128 S114:S115 S117">
    <cfRule type="cellIs" dxfId="1710" priority="334" operator="equal">
      <formula>0</formula>
    </cfRule>
  </conditionalFormatting>
  <conditionalFormatting sqref="S124">
    <cfRule type="cellIs" dxfId="1709" priority="333" operator="equal">
      <formula>0</formula>
    </cfRule>
  </conditionalFormatting>
  <conditionalFormatting sqref="S120">
    <cfRule type="cellIs" dxfId="1708" priority="332" operator="equal">
      <formula>0</formula>
    </cfRule>
  </conditionalFormatting>
  <conditionalFormatting sqref="S120">
    <cfRule type="cellIs" dxfId="1707" priority="331" operator="equal">
      <formula>0</formula>
    </cfRule>
  </conditionalFormatting>
  <conditionalFormatting sqref="S156:S165">
    <cfRule type="cellIs" dxfId="1706" priority="330" operator="equal">
      <formula>0</formula>
    </cfRule>
  </conditionalFormatting>
  <conditionalFormatting sqref="S222:S229">
    <cfRule type="cellIs" dxfId="1705" priority="329" operator="equal">
      <formula>0</formula>
    </cfRule>
  </conditionalFormatting>
  <conditionalFormatting sqref="S166:S169">
    <cfRule type="cellIs" dxfId="1704" priority="326" operator="equal">
      <formula>0</formula>
    </cfRule>
  </conditionalFormatting>
  <conditionalFormatting sqref="AA8 AA120 AA3:AA6 AA82 AA124:AA126 AA201:AA206 AA113:AA117 AA128:AA129 AA139:AA140 AA156:AA165">
    <cfRule type="cellIs" dxfId="1703" priority="325" operator="equal">
      <formula>0</formula>
    </cfRule>
  </conditionalFormatting>
  <conditionalFormatting sqref="AA222:AA229">
    <cfRule type="cellIs" dxfId="1702" priority="324" operator="equal">
      <formula>0</formula>
    </cfRule>
  </conditionalFormatting>
  <conditionalFormatting sqref="AA166:AA169">
    <cfRule type="cellIs" dxfId="1701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700" priority="320" operator="equal">
      <formula>0</formula>
    </cfRule>
  </conditionalFormatting>
  <conditionalFormatting sqref="AG222:AK222">
    <cfRule type="cellIs" dxfId="1699" priority="319" operator="equal">
      <formula>0</formula>
    </cfRule>
  </conditionalFormatting>
  <conditionalFormatting sqref="AG223:AK229">
    <cfRule type="cellIs" dxfId="1698" priority="318" operator="equal">
      <formula>0</formula>
    </cfRule>
  </conditionalFormatting>
  <conditionalFormatting sqref="AG166:AK169">
    <cfRule type="cellIs" dxfId="1697" priority="317" operator="equal">
      <formula>0</formula>
    </cfRule>
  </conditionalFormatting>
  <conditionalFormatting sqref="BO115:BP115">
    <cfRule type="cellIs" dxfId="1696" priority="316" operator="equal">
      <formula>0</formula>
    </cfRule>
  </conditionalFormatting>
  <conditionalFormatting sqref="BO156:BP165">
    <cfRule type="cellIs" dxfId="1695" priority="315" operator="equal">
      <formula>0</formula>
    </cfRule>
  </conditionalFormatting>
  <conditionalFormatting sqref="BO155:BP155 BO80:BP80 BO82:BP82 BO125:BP126 BO128:BP129 BO139:BP141 BO201:BP206 BO113:BP117">
    <cfRule type="cellIs" dxfId="1694" priority="314" operator="equal">
      <formula>0</formula>
    </cfRule>
  </conditionalFormatting>
  <conditionalFormatting sqref="BO143:BP144 BO149:BP154">
    <cfRule type="cellIs" dxfId="1693" priority="313" operator="equal">
      <formula>0</formula>
    </cfRule>
  </conditionalFormatting>
  <conditionalFormatting sqref="BO142:BP142">
    <cfRule type="cellIs" dxfId="1692" priority="312" operator="equal">
      <formula>0</formula>
    </cfRule>
  </conditionalFormatting>
  <conditionalFormatting sqref="BO6:BP6">
    <cfRule type="cellIs" dxfId="1691" priority="311" operator="equal">
      <formula>0</formula>
    </cfRule>
  </conditionalFormatting>
  <conditionalFormatting sqref="BO222:BP229">
    <cfRule type="cellIs" dxfId="1690" priority="310" operator="equal">
      <formula>0</formula>
    </cfRule>
  </conditionalFormatting>
  <conditionalFormatting sqref="BO124:BP124">
    <cfRule type="cellIs" dxfId="1689" priority="309" operator="equal">
      <formula>0</formula>
    </cfRule>
  </conditionalFormatting>
  <conditionalFormatting sqref="BO124:BP124">
    <cfRule type="cellIs" dxfId="1688" priority="308" operator="equal">
      <formula>0</formula>
    </cfRule>
  </conditionalFormatting>
  <conditionalFormatting sqref="BO124:BP124">
    <cfRule type="cellIs" dxfId="1687" priority="307" operator="equal">
      <formula>0</formula>
    </cfRule>
  </conditionalFormatting>
  <conditionalFormatting sqref="BO5:BP5">
    <cfRule type="cellIs" dxfId="1686" priority="306" operator="equal">
      <formula>0</formula>
    </cfRule>
  </conditionalFormatting>
  <conditionalFormatting sqref="BO3:BP4">
    <cfRule type="cellIs" dxfId="1685" priority="305" operator="equal">
      <formula>0</formula>
    </cfRule>
  </conditionalFormatting>
  <conditionalFormatting sqref="BO145:BP148">
    <cfRule type="cellIs" dxfId="1684" priority="304" operator="equal">
      <formula>0</formula>
    </cfRule>
  </conditionalFormatting>
  <conditionalFormatting sqref="BO8:BP8">
    <cfRule type="cellIs" dxfId="1683" priority="303" operator="equal">
      <formula>0</formula>
    </cfRule>
  </conditionalFormatting>
  <conditionalFormatting sqref="BO8:BP8">
    <cfRule type="cellIs" dxfId="1682" priority="302" operator="equal">
      <formula>0</formula>
    </cfRule>
  </conditionalFormatting>
  <conditionalFormatting sqref="BO8:BP8">
    <cfRule type="cellIs" dxfId="1681" priority="301" operator="equal">
      <formula>0</formula>
    </cfRule>
  </conditionalFormatting>
  <conditionalFormatting sqref="BO8:BP8">
    <cfRule type="cellIs" dxfId="1680" priority="300" operator="equal">
      <formula>0</formula>
    </cfRule>
  </conditionalFormatting>
  <conditionalFormatting sqref="BO8:BP8">
    <cfRule type="cellIs" dxfId="1679" priority="299" operator="equal">
      <formula>0</formula>
    </cfRule>
  </conditionalFormatting>
  <conditionalFormatting sqref="BO8:BP8">
    <cfRule type="cellIs" dxfId="1678" priority="298" operator="equal">
      <formula>0</formula>
    </cfRule>
  </conditionalFormatting>
  <conditionalFormatting sqref="BO8:BP8">
    <cfRule type="cellIs" dxfId="1677" priority="297" operator="equal">
      <formula>0</formula>
    </cfRule>
  </conditionalFormatting>
  <conditionalFormatting sqref="BO8:BP8">
    <cfRule type="cellIs" dxfId="1676" priority="296" operator="equal">
      <formula>0</formula>
    </cfRule>
  </conditionalFormatting>
  <conditionalFormatting sqref="BO8:BP8">
    <cfRule type="cellIs" dxfId="1675" priority="293" operator="equal">
      <formula>0</formula>
    </cfRule>
  </conditionalFormatting>
  <conditionalFormatting sqref="BO8:BP8">
    <cfRule type="cellIs" dxfId="1674" priority="292" operator="equal">
      <formula>0</formula>
    </cfRule>
  </conditionalFormatting>
  <conditionalFormatting sqref="BO8:BP8">
    <cfRule type="cellIs" dxfId="1673" priority="291" operator="equal">
      <formula>0</formula>
    </cfRule>
  </conditionalFormatting>
  <conditionalFormatting sqref="BO8:BP8">
    <cfRule type="cellIs" dxfId="1672" priority="290" operator="equal">
      <formula>0</formula>
    </cfRule>
  </conditionalFormatting>
  <conditionalFormatting sqref="BO8:BP8">
    <cfRule type="cellIs" dxfId="1671" priority="289" operator="equal">
      <formula>0</formula>
    </cfRule>
  </conditionalFormatting>
  <conditionalFormatting sqref="BO8:BP8">
    <cfRule type="cellIs" dxfId="1670" priority="288" operator="equal">
      <formula>0</formula>
    </cfRule>
  </conditionalFormatting>
  <conditionalFormatting sqref="BO8:BP8">
    <cfRule type="cellIs" dxfId="1669" priority="287" operator="equal">
      <formula>0</formula>
    </cfRule>
  </conditionalFormatting>
  <conditionalFormatting sqref="BO8:BP8">
    <cfRule type="cellIs" dxfId="1668" priority="286" operator="equal">
      <formula>0</formula>
    </cfRule>
  </conditionalFormatting>
  <conditionalFormatting sqref="BO8:BP8">
    <cfRule type="cellIs" dxfId="1667" priority="285" operator="equal">
      <formula>0</formula>
    </cfRule>
  </conditionalFormatting>
  <conditionalFormatting sqref="BO8:BP8">
    <cfRule type="cellIs" dxfId="1666" priority="284" operator="equal">
      <formula>0</formula>
    </cfRule>
  </conditionalFormatting>
  <conditionalFormatting sqref="BO8:BP8">
    <cfRule type="cellIs" dxfId="1665" priority="283" operator="equal">
      <formula>0</formula>
    </cfRule>
  </conditionalFormatting>
  <conditionalFormatting sqref="BO8:BP8">
    <cfRule type="cellIs" dxfId="1664" priority="282" operator="equal">
      <formula>0</formula>
    </cfRule>
  </conditionalFormatting>
  <conditionalFormatting sqref="BO8:BP8">
    <cfRule type="cellIs" dxfId="1663" priority="281" operator="equal">
      <formula>0</formula>
    </cfRule>
  </conditionalFormatting>
  <conditionalFormatting sqref="BO8:BP8">
    <cfRule type="cellIs" dxfId="1662" priority="280" operator="equal">
      <formula>0</formula>
    </cfRule>
  </conditionalFormatting>
  <conditionalFormatting sqref="BO8:BP8">
    <cfRule type="cellIs" dxfId="1661" priority="279" operator="equal">
      <formula>0</formula>
    </cfRule>
  </conditionalFormatting>
  <conditionalFormatting sqref="BO8:BP8">
    <cfRule type="cellIs" dxfId="1660" priority="278" operator="equal">
      <formula>0</formula>
    </cfRule>
  </conditionalFormatting>
  <conditionalFormatting sqref="BO8:BP8">
    <cfRule type="cellIs" dxfId="1659" priority="277" operator="equal">
      <formula>0</formula>
    </cfRule>
  </conditionalFormatting>
  <conditionalFormatting sqref="BO8:BP8">
    <cfRule type="cellIs" dxfId="1658" priority="276" operator="equal">
      <formula>0</formula>
    </cfRule>
  </conditionalFormatting>
  <conditionalFormatting sqref="BO120:BP120">
    <cfRule type="cellIs" dxfId="1657" priority="275" operator="equal">
      <formula>0</formula>
    </cfRule>
  </conditionalFormatting>
  <conditionalFormatting sqref="BO120:BP120">
    <cfRule type="cellIs" dxfId="1656" priority="274" operator="equal">
      <formula>0</formula>
    </cfRule>
  </conditionalFormatting>
  <conditionalFormatting sqref="BO120:BP120">
    <cfRule type="cellIs" dxfId="1655" priority="273" operator="equal">
      <formula>0</formula>
    </cfRule>
  </conditionalFormatting>
  <conditionalFormatting sqref="BO166:BP169">
    <cfRule type="cellIs" dxfId="1654" priority="270" operator="equal">
      <formula>0</formula>
    </cfRule>
  </conditionalFormatting>
  <conditionalFormatting sqref="BB115">
    <cfRule type="cellIs" dxfId="1653" priority="269" operator="equal">
      <formula>0</formula>
    </cfRule>
  </conditionalFormatting>
  <conditionalFormatting sqref="BB156:BB165">
    <cfRule type="cellIs" dxfId="1652" priority="268" operator="equal">
      <formula>0</formula>
    </cfRule>
  </conditionalFormatting>
  <conditionalFormatting sqref="BB3:BB4 BB125:BB126 BB139:BB141 BB155 BB128:BB129 BB201:BB206 BB82 BB80 BB113:BB117">
    <cfRule type="cellIs" dxfId="1651" priority="267" operator="equal">
      <formula>0</formula>
    </cfRule>
  </conditionalFormatting>
  <conditionalFormatting sqref="BB143:BB144 BB149:BB154">
    <cfRule type="cellIs" dxfId="1650" priority="266" operator="equal">
      <formula>0</formula>
    </cfRule>
  </conditionalFormatting>
  <conditionalFormatting sqref="BB5">
    <cfRule type="cellIs" dxfId="1649" priority="265" operator="equal">
      <formula>0</formula>
    </cfRule>
  </conditionalFormatting>
  <conditionalFormatting sqref="BB142">
    <cfRule type="cellIs" dxfId="1648" priority="264" operator="equal">
      <formula>0</formula>
    </cfRule>
  </conditionalFormatting>
  <conditionalFormatting sqref="BB6">
    <cfRule type="cellIs" dxfId="1647" priority="263" operator="equal">
      <formula>0</formula>
    </cfRule>
  </conditionalFormatting>
  <conditionalFormatting sqref="BB222:BB229">
    <cfRule type="cellIs" dxfId="1646" priority="262" operator="equal">
      <formula>0</formula>
    </cfRule>
  </conditionalFormatting>
  <conditionalFormatting sqref="BB124">
    <cfRule type="cellIs" dxfId="1645" priority="261" operator="equal">
      <formula>0</formula>
    </cfRule>
  </conditionalFormatting>
  <conditionalFormatting sqref="BB124">
    <cfRule type="cellIs" dxfId="1644" priority="260" operator="equal">
      <formula>0</formula>
    </cfRule>
  </conditionalFormatting>
  <conditionalFormatting sqref="BB124">
    <cfRule type="cellIs" dxfId="1643" priority="259" operator="equal">
      <formula>0</formula>
    </cfRule>
  </conditionalFormatting>
  <conditionalFormatting sqref="BB145:BB148">
    <cfRule type="cellIs" dxfId="1642" priority="258" operator="equal">
      <formula>0</formula>
    </cfRule>
  </conditionalFormatting>
  <conditionalFormatting sqref="BB8">
    <cfRule type="cellIs" dxfId="1641" priority="257" operator="equal">
      <formula>0</formula>
    </cfRule>
  </conditionalFormatting>
  <conditionalFormatting sqref="BB8">
    <cfRule type="cellIs" dxfId="1640" priority="256" operator="equal">
      <formula>0</formula>
    </cfRule>
  </conditionalFormatting>
  <conditionalFormatting sqref="BB8">
    <cfRule type="cellIs" dxfId="1639" priority="255" operator="equal">
      <formula>0</formula>
    </cfRule>
  </conditionalFormatting>
  <conditionalFormatting sqref="BB8">
    <cfRule type="cellIs" dxfId="1638" priority="254" operator="equal">
      <formula>0</formula>
    </cfRule>
  </conditionalFormatting>
  <conditionalFormatting sqref="BB8">
    <cfRule type="cellIs" dxfId="1637" priority="253" operator="equal">
      <formula>0</formula>
    </cfRule>
  </conditionalFormatting>
  <conditionalFormatting sqref="BB8">
    <cfRule type="cellIs" dxfId="1636" priority="252" operator="equal">
      <formula>0</formula>
    </cfRule>
  </conditionalFormatting>
  <conditionalFormatting sqref="BB8">
    <cfRule type="cellIs" dxfId="1635" priority="251" operator="equal">
      <formula>0</formula>
    </cfRule>
  </conditionalFormatting>
  <conditionalFormatting sqref="BB8">
    <cfRule type="cellIs" dxfId="1634" priority="250" operator="equal">
      <formula>0</formula>
    </cfRule>
  </conditionalFormatting>
  <conditionalFormatting sqref="BB8">
    <cfRule type="cellIs" dxfId="1633" priority="247" operator="equal">
      <formula>0</formula>
    </cfRule>
  </conditionalFormatting>
  <conditionalFormatting sqref="BB8">
    <cfRule type="cellIs" dxfId="1632" priority="246" operator="equal">
      <formula>0</formula>
    </cfRule>
  </conditionalFormatting>
  <conditionalFormatting sqref="BB8">
    <cfRule type="cellIs" dxfId="1631" priority="245" operator="equal">
      <formula>0</formula>
    </cfRule>
  </conditionalFormatting>
  <conditionalFormatting sqref="BB8">
    <cfRule type="cellIs" dxfId="1630" priority="244" operator="equal">
      <formula>0</formula>
    </cfRule>
  </conditionalFormatting>
  <conditionalFormatting sqref="BB8">
    <cfRule type="cellIs" dxfId="1629" priority="243" operator="equal">
      <formula>0</formula>
    </cfRule>
  </conditionalFormatting>
  <conditionalFormatting sqref="BB8">
    <cfRule type="cellIs" dxfId="1628" priority="242" operator="equal">
      <formula>0</formula>
    </cfRule>
  </conditionalFormatting>
  <conditionalFormatting sqref="BB8">
    <cfRule type="cellIs" dxfId="1627" priority="241" operator="equal">
      <formula>0</formula>
    </cfRule>
  </conditionalFormatting>
  <conditionalFormatting sqref="BB8">
    <cfRule type="cellIs" dxfId="1626" priority="240" operator="equal">
      <formula>0</formula>
    </cfRule>
  </conditionalFormatting>
  <conditionalFormatting sqref="BB8">
    <cfRule type="cellIs" dxfId="1625" priority="239" operator="equal">
      <formula>0</formula>
    </cfRule>
  </conditionalFormatting>
  <conditionalFormatting sqref="BB8">
    <cfRule type="cellIs" dxfId="1624" priority="238" operator="equal">
      <formula>0</formula>
    </cfRule>
  </conditionalFormatting>
  <conditionalFormatting sqref="BB8">
    <cfRule type="cellIs" dxfId="1623" priority="237" operator="equal">
      <formula>0</formula>
    </cfRule>
  </conditionalFormatting>
  <conditionalFormatting sqref="BB8">
    <cfRule type="cellIs" dxfId="1622" priority="236" operator="equal">
      <formula>0</formula>
    </cfRule>
  </conditionalFormatting>
  <conditionalFormatting sqref="BB8">
    <cfRule type="cellIs" dxfId="1621" priority="235" operator="equal">
      <formula>0</formula>
    </cfRule>
  </conditionalFormatting>
  <conditionalFormatting sqref="BB8">
    <cfRule type="cellIs" dxfId="1620" priority="234" operator="equal">
      <formula>0</formula>
    </cfRule>
  </conditionalFormatting>
  <conditionalFormatting sqref="BB8">
    <cfRule type="cellIs" dxfId="1619" priority="233" operator="equal">
      <formula>0</formula>
    </cfRule>
  </conditionalFormatting>
  <conditionalFormatting sqref="BB8">
    <cfRule type="cellIs" dxfId="1618" priority="232" operator="equal">
      <formula>0</formula>
    </cfRule>
  </conditionalFormatting>
  <conditionalFormatting sqref="BB8">
    <cfRule type="cellIs" dxfId="1617" priority="231" operator="equal">
      <formula>0</formula>
    </cfRule>
  </conditionalFormatting>
  <conditionalFormatting sqref="BB8">
    <cfRule type="cellIs" dxfId="1616" priority="230" operator="equal">
      <formula>0</formula>
    </cfRule>
  </conditionalFormatting>
  <conditionalFormatting sqref="BB120">
    <cfRule type="cellIs" dxfId="1615" priority="229" operator="equal">
      <formula>0</formula>
    </cfRule>
  </conditionalFormatting>
  <conditionalFormatting sqref="BB120">
    <cfRule type="cellIs" dxfId="1614" priority="228" operator="equal">
      <formula>0</formula>
    </cfRule>
  </conditionalFormatting>
  <conditionalFormatting sqref="BB120">
    <cfRule type="cellIs" dxfId="1613" priority="227" operator="equal">
      <formula>0</formula>
    </cfRule>
  </conditionalFormatting>
  <conditionalFormatting sqref="BB166:BB169">
    <cfRule type="cellIs" dxfId="1612" priority="224" operator="equal">
      <formula>0</formula>
    </cfRule>
  </conditionalFormatting>
  <conditionalFormatting sqref="BA156:BA165 BA115">
    <cfRule type="cellIs" dxfId="1611" priority="223" operator="equal">
      <formula>0</formula>
    </cfRule>
  </conditionalFormatting>
  <conditionalFormatting sqref="BA3:BA4 BA139:BA141 BA155 BA128:BA129 BA201:BA206 BA80 BA82 BA125:BA126 BA113:BA117">
    <cfRule type="cellIs" dxfId="1610" priority="222" operator="equal">
      <formula>0</formula>
    </cfRule>
  </conditionalFormatting>
  <conditionalFormatting sqref="BA143:BA144 BA149:BA154">
    <cfRule type="cellIs" dxfId="1609" priority="221" operator="equal">
      <formula>0</formula>
    </cfRule>
  </conditionalFormatting>
  <conditionalFormatting sqref="BA5">
    <cfRule type="cellIs" dxfId="1608" priority="220" operator="equal">
      <formula>0</formula>
    </cfRule>
  </conditionalFormatting>
  <conditionalFormatting sqref="BA142">
    <cfRule type="cellIs" dxfId="1607" priority="219" operator="equal">
      <formula>0</formula>
    </cfRule>
  </conditionalFormatting>
  <conditionalFormatting sqref="BA6">
    <cfRule type="cellIs" dxfId="1606" priority="218" operator="equal">
      <formula>0</formula>
    </cfRule>
  </conditionalFormatting>
  <conditionalFormatting sqref="BA222:BA229">
    <cfRule type="cellIs" dxfId="1605" priority="217" operator="equal">
      <formula>0</formula>
    </cfRule>
  </conditionalFormatting>
  <conditionalFormatting sqref="BA124">
    <cfRule type="cellIs" dxfId="1604" priority="216" operator="equal">
      <formula>0</formula>
    </cfRule>
  </conditionalFormatting>
  <conditionalFormatting sqref="BA124">
    <cfRule type="cellIs" dxfId="1603" priority="215" operator="equal">
      <formula>0</formula>
    </cfRule>
  </conditionalFormatting>
  <conditionalFormatting sqref="BA124">
    <cfRule type="cellIs" dxfId="1602" priority="214" operator="equal">
      <formula>0</formula>
    </cfRule>
  </conditionalFormatting>
  <conditionalFormatting sqref="BA145:BA148">
    <cfRule type="cellIs" dxfId="1601" priority="213" operator="equal">
      <formula>0</formula>
    </cfRule>
  </conditionalFormatting>
  <conditionalFormatting sqref="BA8">
    <cfRule type="cellIs" dxfId="1600" priority="212" operator="equal">
      <formula>0</formula>
    </cfRule>
  </conditionalFormatting>
  <conditionalFormatting sqref="BA8">
    <cfRule type="cellIs" dxfId="1599" priority="211" operator="equal">
      <formula>0</formula>
    </cfRule>
  </conditionalFormatting>
  <conditionalFormatting sqref="BA8">
    <cfRule type="cellIs" dxfId="1598" priority="210" operator="equal">
      <formula>0</formula>
    </cfRule>
  </conditionalFormatting>
  <conditionalFormatting sqref="BA8">
    <cfRule type="cellIs" dxfId="1597" priority="209" operator="equal">
      <formula>0</formula>
    </cfRule>
  </conditionalFormatting>
  <conditionalFormatting sqref="BA8">
    <cfRule type="cellIs" dxfId="1596" priority="208" operator="equal">
      <formula>0</formula>
    </cfRule>
  </conditionalFormatting>
  <conditionalFormatting sqref="BA8">
    <cfRule type="cellIs" dxfId="1595" priority="207" operator="equal">
      <formula>0</formula>
    </cfRule>
  </conditionalFormatting>
  <conditionalFormatting sqref="BA8">
    <cfRule type="cellIs" dxfId="1594" priority="206" operator="equal">
      <formula>0</formula>
    </cfRule>
  </conditionalFormatting>
  <conditionalFormatting sqref="BA8">
    <cfRule type="cellIs" dxfId="1593" priority="205" operator="equal">
      <formula>0</formula>
    </cfRule>
  </conditionalFormatting>
  <conditionalFormatting sqref="BA8">
    <cfRule type="cellIs" dxfId="1592" priority="202" operator="equal">
      <formula>0</formula>
    </cfRule>
  </conditionalFormatting>
  <conditionalFormatting sqref="BA8">
    <cfRule type="cellIs" dxfId="1591" priority="201" operator="equal">
      <formula>0</formula>
    </cfRule>
  </conditionalFormatting>
  <conditionalFormatting sqref="BA8">
    <cfRule type="cellIs" dxfId="1590" priority="200" operator="equal">
      <formula>0</formula>
    </cfRule>
  </conditionalFormatting>
  <conditionalFormatting sqref="BA8">
    <cfRule type="cellIs" dxfId="1589" priority="197" operator="equal">
      <formula>0</formula>
    </cfRule>
  </conditionalFormatting>
  <conditionalFormatting sqref="BA8">
    <cfRule type="cellIs" dxfId="1588" priority="196" operator="equal">
      <formula>0</formula>
    </cfRule>
  </conditionalFormatting>
  <conditionalFormatting sqref="BA8">
    <cfRule type="cellIs" dxfId="1587" priority="195" operator="equal">
      <formula>0</formula>
    </cfRule>
  </conditionalFormatting>
  <conditionalFormatting sqref="BA8">
    <cfRule type="cellIs" dxfId="1586" priority="194" operator="equal">
      <formula>0</formula>
    </cfRule>
  </conditionalFormatting>
  <conditionalFormatting sqref="BA8">
    <cfRule type="cellIs" dxfId="1585" priority="191" operator="equal">
      <formula>0</formula>
    </cfRule>
  </conditionalFormatting>
  <conditionalFormatting sqref="BA8">
    <cfRule type="cellIs" dxfId="1584" priority="190" operator="equal">
      <formula>0</formula>
    </cfRule>
  </conditionalFormatting>
  <conditionalFormatting sqref="BA8">
    <cfRule type="cellIs" dxfId="1583" priority="189" operator="equal">
      <formula>0</formula>
    </cfRule>
  </conditionalFormatting>
  <conditionalFormatting sqref="BA8">
    <cfRule type="cellIs" dxfId="1582" priority="188" operator="equal">
      <formula>0</formula>
    </cfRule>
  </conditionalFormatting>
  <conditionalFormatting sqref="BA8">
    <cfRule type="cellIs" dxfId="1581" priority="187" operator="equal">
      <formula>0</formula>
    </cfRule>
  </conditionalFormatting>
  <conditionalFormatting sqref="BA120">
    <cfRule type="cellIs" dxfId="1580" priority="184" operator="equal">
      <formula>0</formula>
    </cfRule>
  </conditionalFormatting>
  <conditionalFormatting sqref="BA120">
    <cfRule type="cellIs" dxfId="1579" priority="183" operator="equal">
      <formula>0</formula>
    </cfRule>
  </conditionalFormatting>
  <conditionalFormatting sqref="BA120">
    <cfRule type="cellIs" dxfId="1578" priority="182" operator="equal">
      <formula>0</formula>
    </cfRule>
  </conditionalFormatting>
  <conditionalFormatting sqref="BA166:BA169">
    <cfRule type="cellIs" dxfId="1577" priority="179" operator="equal">
      <formula>0</formula>
    </cfRule>
  </conditionalFormatting>
  <conditionalFormatting sqref="AY120 AY2:AY6 AY124:AY126 AY138:AY165 AY201:AY206 AY222:AY229 AY134 AY136 AY8 AY128:AY129 AY113:AY117">
    <cfRule type="cellIs" dxfId="1576" priority="178" operator="equal">
      <formula>0</formula>
    </cfRule>
  </conditionalFormatting>
  <conditionalFormatting sqref="AY82">
    <cfRule type="cellIs" dxfId="1575" priority="177" operator="equal">
      <formula>0</formula>
    </cfRule>
  </conditionalFormatting>
  <conditionalFormatting sqref="AY166:AY169">
    <cfRule type="cellIs" dxfId="1574" priority="174" operator="equal">
      <formula>0</formula>
    </cfRule>
  </conditionalFormatting>
  <conditionalFormatting sqref="AZ129 AZ8 AZ136 AZ134 AZ142:AZ165 AZ2:AZ6 AZ222 AZ202 AZ124 AZ120 AZ138:AZ140 AZ114:AZ117">
    <cfRule type="cellIs" dxfId="1573" priority="173" operator="equal">
      <formula>0</formula>
    </cfRule>
  </conditionalFormatting>
  <conditionalFormatting sqref="AZ82 AZ113 AZ125:AZ126 AZ128 AZ141 AZ201 AZ203:AZ206">
    <cfRule type="cellIs" dxfId="1572" priority="172" operator="equal">
      <formula>0</formula>
    </cfRule>
  </conditionalFormatting>
  <conditionalFormatting sqref="AZ223:AZ229">
    <cfRule type="cellIs" dxfId="1571" priority="171" operator="equal">
      <formula>0</formula>
    </cfRule>
  </conditionalFormatting>
  <conditionalFormatting sqref="AZ166:AZ169">
    <cfRule type="cellIs" dxfId="1570" priority="168" operator="equal">
      <formula>0</formula>
    </cfRule>
  </conditionalFormatting>
  <conditionalFormatting sqref="BK222:BK229 BK139:BK165 BK3:BK6 BK8 BK82 BK128:BK129 BK201:BK206 BK114:BK116">
    <cfRule type="cellIs" dxfId="1569" priority="167" operator="equal">
      <formula>0</formula>
    </cfRule>
  </conditionalFormatting>
  <conditionalFormatting sqref="BK124:BK126 BK120 BK117">
    <cfRule type="cellIs" dxfId="1568" priority="166" operator="equal">
      <formula>0</formula>
    </cfRule>
  </conditionalFormatting>
  <conditionalFormatting sqref="BK166:BK169">
    <cfRule type="cellIs" dxfId="1567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66" priority="164" operator="equal">
      <formula>0</formula>
    </cfRule>
  </conditionalFormatting>
  <conditionalFormatting sqref="AL201:AL206 AL124:AL126 AL8 AL113:AL117 AL120 AL3:AL6 AL82 AL128:AL129 AL139:AL165">
    <cfRule type="cellIs" dxfId="1565" priority="160" operator="equal">
      <formula>0</formula>
    </cfRule>
  </conditionalFormatting>
  <conditionalFormatting sqref="AL222:AL229">
    <cfRule type="cellIs" dxfId="1564" priority="159" operator="equal">
      <formula>0</formula>
    </cfRule>
  </conditionalFormatting>
  <conditionalFormatting sqref="AL166:AL169">
    <cfRule type="cellIs" dxfId="1563" priority="158" operator="equal">
      <formula>0</formula>
    </cfRule>
  </conditionalFormatting>
  <conditionalFormatting sqref="AM155:AN155 AM129:AN129 AM139:AN140 AM115:AN115 AM201:AN206 AM222:AN229 AM159:AN159">
    <cfRule type="cellIs" dxfId="1562" priority="157" operator="equal">
      <formula>0</formula>
    </cfRule>
  </conditionalFormatting>
  <conditionalFormatting sqref="AM3:AN6">
    <cfRule type="cellIs" dxfId="1561" priority="156" operator="equal">
      <formula>0</formula>
    </cfRule>
  </conditionalFormatting>
  <conditionalFormatting sqref="AM160:AN165 AM156:AN158">
    <cfRule type="cellIs" dxfId="1560" priority="155" operator="equal">
      <formula>0</formula>
    </cfRule>
  </conditionalFormatting>
  <conditionalFormatting sqref="AM8:AN8 AM82:AN82 AM113:AN117 AM124:AN126 AM128:AN128">
    <cfRule type="cellIs" dxfId="1559" priority="154" operator="equal">
      <formula>0</formula>
    </cfRule>
  </conditionalFormatting>
  <conditionalFormatting sqref="AM166:AN169">
    <cfRule type="cellIs" dxfId="1558" priority="151" operator="equal">
      <formula>0</formula>
    </cfRule>
  </conditionalFormatting>
  <conditionalFormatting sqref="AR3">
    <cfRule type="cellIs" dxfId="1557" priority="150" operator="equal">
      <formula>0</formula>
    </cfRule>
  </conditionalFormatting>
  <conditionalFormatting sqref="AW5">
    <cfRule type="cellIs" dxfId="1556" priority="147" operator="equal">
      <formula>0</formula>
    </cfRule>
  </conditionalFormatting>
  <conditionalFormatting sqref="AR4">
    <cfRule type="cellIs" dxfId="1555" priority="144" operator="equal">
      <formula>0</formula>
    </cfRule>
  </conditionalFormatting>
  <conditionalFormatting sqref="AR5">
    <cfRule type="cellIs" dxfId="1554" priority="143" operator="equal">
      <formula>0</formula>
    </cfRule>
  </conditionalFormatting>
  <conditionalFormatting sqref="AR156:AR162">
    <cfRule type="cellIs" dxfId="1553" priority="142" operator="equal">
      <formula>0</formula>
    </cfRule>
  </conditionalFormatting>
  <conditionalFormatting sqref="AR6">
    <cfRule type="cellIs" dxfId="1552" priority="141" operator="equal">
      <formula>0</formula>
    </cfRule>
  </conditionalFormatting>
  <conditionalFormatting sqref="AR163:AR165">
    <cfRule type="cellIs" dxfId="1551" priority="140" operator="equal">
      <formula>0</formula>
    </cfRule>
  </conditionalFormatting>
  <conditionalFormatting sqref="AW3">
    <cfRule type="cellIs" dxfId="1550" priority="137" operator="equal">
      <formula>0</formula>
    </cfRule>
  </conditionalFormatting>
  <conditionalFormatting sqref="Y222">
    <cfRule type="cellIs" dxfId="1549" priority="136" operator="equal">
      <formula>0</formula>
    </cfRule>
  </conditionalFormatting>
  <conditionalFormatting sqref="Y223:Y229">
    <cfRule type="cellIs" dxfId="1548" priority="135" operator="equal">
      <formula>0</formula>
    </cfRule>
  </conditionalFormatting>
  <conditionalFormatting sqref="T166:T169">
    <cfRule type="cellIs" dxfId="1547" priority="134" operator="equal">
      <formula>0</formula>
    </cfRule>
  </conditionalFormatting>
  <conditionalFormatting sqref="Y3:Y5">
    <cfRule type="cellIs" dxfId="1546" priority="133" operator="equal">
      <formula>0</formula>
    </cfRule>
  </conditionalFormatting>
  <conditionalFormatting sqref="Y6 Y139:Y165 Y129 Y201:Y206 Y82 Y8">
    <cfRule type="cellIs" dxfId="1545" priority="132" operator="equal">
      <formula>0</formula>
    </cfRule>
  </conditionalFormatting>
  <conditionalFormatting sqref="Y134 Y136 Y138">
    <cfRule type="cellIs" dxfId="1544" priority="131" operator="equal">
      <formula>0</formula>
    </cfRule>
  </conditionalFormatting>
  <conditionalFormatting sqref="Y166:Y169">
    <cfRule type="cellIs" dxfId="1543" priority="128" operator="equal">
      <formula>0</formula>
    </cfRule>
  </conditionalFormatting>
  <conditionalFormatting sqref="Z222:Z229 Z120 Z8 Z82 Z124:Z126 Z201:Z206 Z113:Z117 Z128:Z129 Z139:Z165 Z3:Z6">
    <cfRule type="cellIs" dxfId="1542" priority="127" operator="equal">
      <formula>0</formula>
    </cfRule>
  </conditionalFormatting>
  <conditionalFormatting sqref="Z166:Z169">
    <cfRule type="cellIs" dxfId="1541" priority="124" operator="equal">
      <formula>0</formula>
    </cfRule>
  </conditionalFormatting>
  <conditionalFormatting sqref="M6 M222:M229 M201:M206 M128:M129 M113:M116 CR115:CS115 M139:M155">
    <cfRule type="cellIs" dxfId="1540" priority="121" operator="equal">
      <formula>0</formula>
    </cfRule>
  </conditionalFormatting>
  <conditionalFormatting sqref="M142:M143">
    <cfRule type="cellIs" dxfId="1539" priority="120" operator="equal">
      <formula>0</formula>
    </cfRule>
  </conditionalFormatting>
  <conditionalFormatting sqref="M142:M143">
    <cfRule type="cellIs" dxfId="1538" priority="119" operator="equal">
      <formula>0</formula>
    </cfRule>
  </conditionalFormatting>
  <conditionalFormatting sqref="M143">
    <cfRule type="cellIs" dxfId="1537" priority="118" operator="equal">
      <formula>0</formula>
    </cfRule>
  </conditionalFormatting>
  <conditionalFormatting sqref="M142">
    <cfRule type="cellIs" dxfId="1536" priority="117" operator="equal">
      <formula>0</formula>
    </cfRule>
  </conditionalFormatting>
  <conditionalFormatting sqref="M6">
    <cfRule type="cellIs" dxfId="1535" priority="116" operator="equal">
      <formula>0</formula>
    </cfRule>
  </conditionalFormatting>
  <conditionalFormatting sqref="M222:M229">
    <cfRule type="cellIs" dxfId="1534" priority="115" operator="equal">
      <formula>0</formula>
    </cfRule>
  </conditionalFormatting>
  <conditionalFormatting sqref="M145:M154">
    <cfRule type="cellIs" dxfId="1533" priority="114" operator="equal">
      <formula>0</formula>
    </cfRule>
  </conditionalFormatting>
  <conditionalFormatting sqref="M5">
    <cfRule type="cellIs" dxfId="1532" priority="113" operator="equal">
      <formula>0</formula>
    </cfRule>
  </conditionalFormatting>
  <conditionalFormatting sqref="M4">
    <cfRule type="cellIs" dxfId="1531" priority="112" operator="equal">
      <formula>0</formula>
    </cfRule>
  </conditionalFormatting>
  <conditionalFormatting sqref="M3">
    <cfRule type="cellIs" dxfId="1530" priority="111" operator="equal">
      <formula>0</formula>
    </cfRule>
  </conditionalFormatting>
  <conditionalFormatting sqref="M124:M126 M120 M117">
    <cfRule type="cellIs" dxfId="1529" priority="110" operator="equal">
      <formula>0</formula>
    </cfRule>
  </conditionalFormatting>
  <conditionalFormatting sqref="M156:M165">
    <cfRule type="cellIs" dxfId="1528" priority="109" operator="equal">
      <formula>0</formula>
    </cfRule>
  </conditionalFormatting>
  <conditionalFormatting sqref="M166:M169">
    <cfRule type="cellIs" dxfId="1527" priority="108" operator="equal">
      <formula>0</formula>
    </cfRule>
  </conditionalFormatting>
  <conditionalFormatting sqref="T3:T5">
    <cfRule type="cellIs" dxfId="1526" priority="107" operator="equal">
      <formula>0</formula>
    </cfRule>
  </conditionalFormatting>
  <conditionalFormatting sqref="U3:U5">
    <cfRule type="cellIs" dxfId="1525" priority="106" operator="equal">
      <formula>0</formula>
    </cfRule>
  </conditionalFormatting>
  <conditionalFormatting sqref="N6">
    <cfRule type="cellIs" dxfId="1524" priority="105" operator="equal">
      <formula>0</formula>
    </cfRule>
  </conditionalFormatting>
  <conditionalFormatting sqref="B5">
    <cfRule type="cellIs" dxfId="1523" priority="104" operator="equal">
      <formula>0</formula>
    </cfRule>
  </conditionalFormatting>
  <conditionalFormatting sqref="A113">
    <cfRule type="cellIs" dxfId="1522" priority="103" operator="equal">
      <formula>0</formula>
    </cfRule>
  </conditionalFormatting>
  <conditionalFormatting sqref="B3:B4">
    <cfRule type="cellIs" dxfId="1521" priority="100" operator="equal">
      <formula>0</formula>
    </cfRule>
  </conditionalFormatting>
  <conditionalFormatting sqref="P6:R6 P8">
    <cfRule type="cellIs" dxfId="1520" priority="99" operator="equal">
      <formula>0</formula>
    </cfRule>
  </conditionalFormatting>
  <conditionalFormatting sqref="P6:R6">
    <cfRule type="cellIs" dxfId="1519" priority="98" operator="equal">
      <formula>0</formula>
    </cfRule>
  </conditionalFormatting>
  <conditionalFormatting sqref="K8 K82">
    <cfRule type="cellIs" dxfId="1518" priority="95" operator="equal">
      <formula>0</formula>
    </cfRule>
  </conditionalFormatting>
  <conditionalFormatting sqref="J113">
    <cfRule type="cellIs" dxfId="1517" priority="94" operator="equal">
      <formula>0</formula>
    </cfRule>
  </conditionalFormatting>
  <conditionalFormatting sqref="J8">
    <cfRule type="cellIs" dxfId="1516" priority="93" operator="equal">
      <formula>0</formula>
    </cfRule>
  </conditionalFormatting>
  <conditionalFormatting sqref="O5">
    <cfRule type="cellIs" dxfId="1515" priority="92" operator="equal">
      <formula>0</formula>
    </cfRule>
  </conditionalFormatting>
  <conditionalFormatting sqref="O3:O4">
    <cfRule type="cellIs" dxfId="1514" priority="91" operator="equal">
      <formula>0</formula>
    </cfRule>
  </conditionalFormatting>
  <conditionalFormatting sqref="G82:H82">
    <cfRule type="cellIs" dxfId="1513" priority="90" operator="equal">
      <formula>0</formula>
    </cfRule>
  </conditionalFormatting>
  <conditionalFormatting sqref="P82:R82">
    <cfRule type="cellIs" dxfId="1512" priority="87" operator="equal">
      <formula>0</formula>
    </cfRule>
  </conditionalFormatting>
  <conditionalFormatting sqref="U82">
    <cfRule type="cellIs" dxfId="1511" priority="86" operator="equal">
      <formula>0</formula>
    </cfRule>
  </conditionalFormatting>
  <conditionalFormatting sqref="T82">
    <cfRule type="cellIs" dxfId="1510" priority="85" operator="equal">
      <formula>0</formula>
    </cfRule>
  </conditionalFormatting>
  <conditionalFormatting sqref="T7:U8">
    <cfRule type="cellIs" dxfId="1509" priority="84" operator="equal">
      <formula>0</formula>
    </cfRule>
  </conditionalFormatting>
  <conditionalFormatting sqref="O6">
    <cfRule type="cellIs" dxfId="1508" priority="83" operator="equal">
      <formula>0</formula>
    </cfRule>
  </conditionalFormatting>
  <conditionalFormatting sqref="Y120 Y124:Y126 Y113:Y117 Y128">
    <cfRule type="cellIs" dxfId="1507" priority="82" operator="equal">
      <formula>0</formula>
    </cfRule>
  </conditionalFormatting>
  <conditionalFormatting sqref="BL222:BL229 BL134 BL136 BL113:BL117 BL8 BL82 BL128:BL129 BL201:BL206 BL124:BL126 BL120 BL138:BL165">
    <cfRule type="cellIs" dxfId="1506" priority="81" operator="equal">
      <formula>0</formula>
    </cfRule>
  </conditionalFormatting>
  <conditionalFormatting sqref="BL166:BL169">
    <cfRule type="cellIs" dxfId="1505" priority="80" operator="equal">
      <formula>0</formula>
    </cfRule>
  </conditionalFormatting>
  <conditionalFormatting sqref="V82:X82 V8:X8 V3:X6 V128:X129 V117:X117 V120:X120 V222:X229 V124:X126 V201:X206 V113:X115 V139:X140 V156:X165">
    <cfRule type="cellIs" dxfId="1504" priority="77" operator="equal">
      <formula>0</formula>
    </cfRule>
  </conditionalFormatting>
  <conditionalFormatting sqref="V134:X134 V136:X136 V138:X138">
    <cfRule type="cellIs" dxfId="1503" priority="76" operator="equal">
      <formula>0</formula>
    </cfRule>
  </conditionalFormatting>
  <conditionalFormatting sqref="V166:X169">
    <cfRule type="cellIs" dxfId="1502" priority="75" operator="equal">
      <formula>0</formula>
    </cfRule>
  </conditionalFormatting>
  <conditionalFormatting sqref="V116:X116">
    <cfRule type="cellIs" dxfId="1501" priority="72" operator="equal">
      <formula>0</formula>
    </cfRule>
  </conditionalFormatting>
  <conditionalFormatting sqref="DK4:DN4">
    <cfRule type="cellIs" dxfId="1500" priority="71" operator="equal">
      <formula>0</formula>
    </cfRule>
  </conditionalFormatting>
  <conditionalFormatting sqref="CA8:CC8 CA120:CC120 CA82:CC82 CA113:CC117 CA124:CC126 CA128:CC129 CA201:CC206 CA139:CC165">
    <cfRule type="cellIs" dxfId="1499" priority="70" operator="equal">
      <formula>0</formula>
    </cfRule>
  </conditionalFormatting>
  <conditionalFormatting sqref="CA3:CA4">
    <cfRule type="cellIs" dxfId="1498" priority="69" operator="equal">
      <formula>0</formula>
    </cfRule>
  </conditionalFormatting>
  <conditionalFormatting sqref="CA222:CC222">
    <cfRule type="cellIs" dxfId="1497" priority="68" operator="equal">
      <formula>0</formula>
    </cfRule>
  </conditionalFormatting>
  <conditionalFormatting sqref="CA223:CC229">
    <cfRule type="cellIs" dxfId="1496" priority="67" operator="equal">
      <formula>0</formula>
    </cfRule>
  </conditionalFormatting>
  <conditionalFormatting sqref="CA166:CC169">
    <cfRule type="cellIs" dxfId="1495" priority="64" operator="equal">
      <formula>0</formula>
    </cfRule>
  </conditionalFormatting>
  <conditionalFormatting sqref="CA6:CC6">
    <cfRule type="cellIs" dxfId="1494" priority="63" operator="equal">
      <formula>0</formula>
    </cfRule>
  </conditionalFormatting>
  <conditionalFormatting sqref="CA5">
    <cfRule type="cellIs" dxfId="1493" priority="62" operator="equal">
      <formula>0</formula>
    </cfRule>
  </conditionalFormatting>
  <conditionalFormatting sqref="CH3:CJ5">
    <cfRule type="cellIs" dxfId="1492" priority="61" operator="equal">
      <formula>0</formula>
    </cfRule>
  </conditionalFormatting>
  <conditionalFormatting sqref="DD3:DE5">
    <cfRule type="cellIs" dxfId="1491" priority="60" operator="equal">
      <formula>0</formula>
    </cfRule>
  </conditionalFormatting>
  <conditionalFormatting sqref="T155">
    <cfRule type="cellIs" dxfId="1490" priority="59" operator="equal">
      <formula>0</formula>
    </cfRule>
  </conditionalFormatting>
  <conditionalFormatting sqref="S141:T154">
    <cfRule type="cellIs" dxfId="1489" priority="58" operator="equal">
      <formula>0</formula>
    </cfRule>
  </conditionalFormatting>
  <conditionalFormatting sqref="S142:T143">
    <cfRule type="cellIs" dxfId="1488" priority="57" operator="equal">
      <formula>0</formula>
    </cfRule>
  </conditionalFormatting>
  <conditionalFormatting sqref="S142:T143">
    <cfRule type="cellIs" dxfId="1487" priority="56" operator="equal">
      <formula>0</formula>
    </cfRule>
  </conditionalFormatting>
  <conditionalFormatting sqref="S143:T143">
    <cfRule type="cellIs" dxfId="1486" priority="55" operator="equal">
      <formula>0</formula>
    </cfRule>
  </conditionalFormatting>
  <conditionalFormatting sqref="S142:T142">
    <cfRule type="cellIs" dxfId="1485" priority="54" operator="equal">
      <formula>0</formula>
    </cfRule>
  </conditionalFormatting>
  <conditionalFormatting sqref="S145:T148">
    <cfRule type="cellIs" dxfId="1484" priority="53" operator="equal">
      <formula>0</formula>
    </cfRule>
  </conditionalFormatting>
  <conditionalFormatting sqref="U141:U154">
    <cfRule type="cellIs" dxfId="1483" priority="52" operator="equal">
      <formula>0</formula>
    </cfRule>
  </conditionalFormatting>
  <conditionalFormatting sqref="U142:U143">
    <cfRule type="cellIs" dxfId="1482" priority="51" operator="equal">
      <formula>0</formula>
    </cfRule>
  </conditionalFormatting>
  <conditionalFormatting sqref="U142:U143">
    <cfRule type="cellIs" dxfId="1481" priority="50" operator="equal">
      <formula>0</formula>
    </cfRule>
  </conditionalFormatting>
  <conditionalFormatting sqref="U143">
    <cfRule type="cellIs" dxfId="1480" priority="49" operator="equal">
      <formula>0</formula>
    </cfRule>
  </conditionalFormatting>
  <conditionalFormatting sqref="U142">
    <cfRule type="cellIs" dxfId="1479" priority="48" operator="equal">
      <formula>0</formula>
    </cfRule>
  </conditionalFormatting>
  <conditionalFormatting sqref="U145:U148">
    <cfRule type="cellIs" dxfId="1478" priority="47" operator="equal">
      <formula>0</formula>
    </cfRule>
  </conditionalFormatting>
  <conditionalFormatting sqref="Q141:R155">
    <cfRule type="cellIs" dxfId="1477" priority="46" operator="equal">
      <formula>0</formula>
    </cfRule>
  </conditionalFormatting>
  <conditionalFormatting sqref="V155:X155">
    <cfRule type="cellIs" dxfId="1476" priority="45" operator="equal">
      <formula>0</formula>
    </cfRule>
  </conditionalFormatting>
  <conditionalFormatting sqref="V141:X154">
    <cfRule type="cellIs" dxfId="1475" priority="44" operator="equal">
      <formula>0</formula>
    </cfRule>
  </conditionalFormatting>
  <conditionalFormatting sqref="V142:X143">
    <cfRule type="cellIs" dxfId="1474" priority="43" operator="equal">
      <formula>0</formula>
    </cfRule>
  </conditionalFormatting>
  <conditionalFormatting sqref="V142:X143">
    <cfRule type="cellIs" dxfId="1473" priority="42" operator="equal">
      <formula>0</formula>
    </cfRule>
  </conditionalFormatting>
  <conditionalFormatting sqref="V143:X143">
    <cfRule type="cellIs" dxfId="1472" priority="41" operator="equal">
      <formula>0</formula>
    </cfRule>
  </conditionalFormatting>
  <conditionalFormatting sqref="V142:X142">
    <cfRule type="cellIs" dxfId="1471" priority="40" operator="equal">
      <formula>0</formula>
    </cfRule>
  </conditionalFormatting>
  <conditionalFormatting sqref="V145:X148">
    <cfRule type="cellIs" dxfId="1470" priority="39" operator="equal">
      <formula>0</formula>
    </cfRule>
  </conditionalFormatting>
  <conditionalFormatting sqref="AA141:AA155">
    <cfRule type="cellIs" dxfId="1469" priority="38" operator="equal">
      <formula>0</formula>
    </cfRule>
  </conditionalFormatting>
  <conditionalFormatting sqref="AU141:AU155">
    <cfRule type="cellIs" dxfId="1468" priority="37" operator="equal">
      <formula>0</formula>
    </cfRule>
  </conditionalFormatting>
  <conditionalFormatting sqref="AS155:AT155">
    <cfRule type="cellIs" dxfId="1467" priority="36" operator="equal">
      <formula>0</formula>
    </cfRule>
  </conditionalFormatting>
  <conditionalFormatting sqref="AS141:AT154">
    <cfRule type="cellIs" dxfId="1466" priority="35" operator="equal">
      <formula>0</formula>
    </cfRule>
  </conditionalFormatting>
  <conditionalFormatting sqref="AR141:AR155">
    <cfRule type="cellIs" dxfId="1465" priority="34" operator="equal">
      <formula>0</formula>
    </cfRule>
  </conditionalFormatting>
  <conditionalFormatting sqref="AQ141:AQ142 AQ155">
    <cfRule type="cellIs" dxfId="1464" priority="33" operator="equal">
      <formula>0</formula>
    </cfRule>
  </conditionalFormatting>
  <conditionalFormatting sqref="AQ143:AQ144 AQ149:AQ154">
    <cfRule type="cellIs" dxfId="1463" priority="32" operator="equal">
      <formula>0</formula>
    </cfRule>
  </conditionalFormatting>
  <conditionalFormatting sqref="AQ145:AQ148">
    <cfRule type="cellIs" dxfId="1462" priority="31" operator="equal">
      <formula>0</formula>
    </cfRule>
  </conditionalFormatting>
  <conditionalFormatting sqref="AV141:AV142 AV155 AW141:AW155">
    <cfRule type="cellIs" dxfId="1461" priority="30" operator="equal">
      <formula>0</formula>
    </cfRule>
  </conditionalFormatting>
  <conditionalFormatting sqref="AV143:AV144 AV149:AV154">
    <cfRule type="cellIs" dxfId="1460" priority="29" operator="equal">
      <formula>0</formula>
    </cfRule>
  </conditionalFormatting>
  <conditionalFormatting sqref="AV145:AV148">
    <cfRule type="cellIs" dxfId="1459" priority="28" operator="equal">
      <formula>0</formula>
    </cfRule>
  </conditionalFormatting>
  <conditionalFormatting sqref="CZ141:CZ144 CZ149:CZ155">
    <cfRule type="cellIs" dxfId="1458" priority="27" operator="equal">
      <formula>0</formula>
    </cfRule>
  </conditionalFormatting>
  <conditionalFormatting sqref="CZ156">
    <cfRule type="cellIs" dxfId="1457" priority="26" operator="equal">
      <formula>0</formula>
    </cfRule>
  </conditionalFormatting>
  <conditionalFormatting sqref="DP155">
    <cfRule type="cellIs" dxfId="1456" priority="23" operator="equal">
      <formula>0</formula>
    </cfRule>
  </conditionalFormatting>
  <conditionalFormatting sqref="DP141:DP144 DP149:DP154">
    <cfRule type="cellIs" dxfId="1455" priority="22" operator="equal">
      <formula>0</formula>
    </cfRule>
  </conditionalFormatting>
  <conditionalFormatting sqref="DP145:DP148">
    <cfRule type="cellIs" dxfId="1454" priority="21" operator="equal">
      <formula>0</formula>
    </cfRule>
  </conditionalFormatting>
  <conditionalFormatting sqref="AI3:AK5">
    <cfRule type="cellIs" dxfId="1453" priority="20" operator="equal">
      <formula>0</formula>
    </cfRule>
  </conditionalFormatting>
  <conditionalFormatting sqref="AI201:AK201">
    <cfRule type="cellIs" dxfId="1452" priority="19" operator="equal">
      <formula>0</formula>
    </cfRule>
  </conditionalFormatting>
  <conditionalFormatting sqref="CV3:CV6">
    <cfRule type="cellIs" dxfId="1451" priority="18" operator="equal">
      <formula>0</formula>
    </cfRule>
  </conditionalFormatting>
  <conditionalFormatting sqref="CV213">
    <cfRule type="cellIs" dxfId="1450" priority="17" operator="equal">
      <formula>0</formula>
    </cfRule>
  </conditionalFormatting>
  <conditionalFormatting sqref="CX3">
    <cfRule type="cellIs" dxfId="1449" priority="16" operator="equal">
      <formula>0</formula>
    </cfRule>
  </conditionalFormatting>
  <conditionalFormatting sqref="CX4">
    <cfRule type="cellIs" dxfId="1448" priority="15" operator="equal">
      <formula>0</formula>
    </cfRule>
  </conditionalFormatting>
  <conditionalFormatting sqref="CX81">
    <cfRule type="cellIs" dxfId="1447" priority="14" operator="equal">
      <formula>0</formula>
    </cfRule>
  </conditionalFormatting>
  <conditionalFormatting sqref="CX141">
    <cfRule type="cellIs" dxfId="1446" priority="13" operator="equal">
      <formula>0</formula>
    </cfRule>
  </conditionalFormatting>
  <conditionalFormatting sqref="CX203:CX206">
    <cfRule type="cellIs" dxfId="1445" priority="12" operator="equal">
      <formula>0</formula>
    </cfRule>
  </conditionalFormatting>
  <conditionalFormatting sqref="CX213">
    <cfRule type="cellIs" dxfId="1444" priority="11" operator="equal">
      <formula>0</formula>
    </cfRule>
  </conditionalFormatting>
  <conditionalFormatting sqref="CX223:CX229">
    <cfRule type="cellIs" dxfId="1443" priority="10" operator="equal">
      <formula>0</formula>
    </cfRule>
  </conditionalFormatting>
  <conditionalFormatting sqref="AH3:AH6">
    <cfRule type="cellIs" dxfId="1442" priority="9" operator="equal">
      <formula>0</formula>
    </cfRule>
  </conditionalFormatting>
  <conditionalFormatting sqref="CB3:CB4">
    <cfRule type="cellIs" dxfId="1441" priority="8" operator="equal">
      <formula>0</formula>
    </cfRule>
  </conditionalFormatting>
  <conditionalFormatting sqref="CB5">
    <cfRule type="cellIs" dxfId="1440" priority="7" operator="equal">
      <formula>0</formula>
    </cfRule>
  </conditionalFormatting>
  <conditionalFormatting sqref="CC3:CC4">
    <cfRule type="cellIs" dxfId="1439" priority="6" operator="equal">
      <formula>0</formula>
    </cfRule>
  </conditionalFormatting>
  <conditionalFormatting sqref="CC5">
    <cfRule type="cellIs" dxfId="1438" priority="5" operator="equal">
      <formula>0</formula>
    </cfRule>
  </conditionalFormatting>
  <conditionalFormatting sqref="CL201:CN201">
    <cfRule type="cellIs" dxfId="1437" priority="4" operator="equal">
      <formula>0</formula>
    </cfRule>
  </conditionalFormatting>
  <conditionalFormatting sqref="BG4:BI4">
    <cfRule type="cellIs" dxfId="1436" priority="3" operator="equal">
      <formula>0</formula>
    </cfRule>
  </conditionalFormatting>
  <conditionalFormatting sqref="DW96">
    <cfRule type="cellIs" dxfId="1435" priority="2717" operator="equal">
      <formula>0</formula>
    </cfRule>
  </conditionalFormatting>
  <conditionalFormatting sqref="DV122:DV126 DV116:DV117">
    <cfRule type="cellIs" dxfId="1434" priority="2643" operator="equal">
      <formula>0</formula>
    </cfRule>
  </conditionalFormatting>
  <conditionalFormatting sqref="DG156:DG162">
    <cfRule type="cellIs" dxfId="1433" priority="2611" operator="equal">
      <formula>0</formula>
    </cfRule>
  </conditionalFormatting>
  <conditionalFormatting sqref="DG163:DG165">
    <cfRule type="cellIs" dxfId="1432" priority="2610" operator="equal">
      <formula>0</formula>
    </cfRule>
  </conditionalFormatting>
  <conditionalFormatting sqref="CZ82">
    <cfRule type="cellIs" dxfId="1431" priority="2608" operator="equal">
      <formula>0</formula>
    </cfRule>
  </conditionalFormatting>
  <conditionalFormatting sqref="CZ3:CZ5">
    <cfRule type="cellIs" dxfId="1430" priority="2607" operator="equal">
      <formula>0</formula>
    </cfRule>
  </conditionalFormatting>
  <conditionalFormatting sqref="DQ119:DU121">
    <cfRule type="cellIs" dxfId="1429" priority="2605" operator="equal">
      <formula>0</formula>
    </cfRule>
  </conditionalFormatting>
  <conditionalFormatting sqref="DV119:DV121">
    <cfRule type="cellIs" dxfId="1428" priority="2604" operator="equal">
      <formula>0</formula>
    </cfRule>
  </conditionalFormatting>
  <conditionalFormatting sqref="CW8:CX8">
    <cfRule type="cellIs" dxfId="1427" priority="1225" operator="equal">
      <formula>0</formula>
    </cfRule>
  </conditionalFormatting>
  <conditionalFormatting sqref="CY8">
    <cfRule type="cellIs" dxfId="1426" priority="1224" operator="equal">
      <formula>0</formula>
    </cfRule>
  </conditionalFormatting>
  <conditionalFormatting sqref="DP8">
    <cfRule type="cellIs" dxfId="1425" priority="1222" operator="equal">
      <formula>0</formula>
    </cfRule>
  </conditionalFormatting>
  <conditionalFormatting sqref="DP8">
    <cfRule type="cellIs" dxfId="1424" priority="1221" operator="equal">
      <formula>0</formula>
    </cfRule>
  </conditionalFormatting>
  <conditionalFormatting sqref="DP8">
    <cfRule type="cellIs" dxfId="1423" priority="1219" operator="equal">
      <formula>0</formula>
    </cfRule>
  </conditionalFormatting>
  <conditionalFormatting sqref="DP8">
    <cfRule type="cellIs" dxfId="1422" priority="1218" operator="equal">
      <formula>0</formula>
    </cfRule>
  </conditionalFormatting>
  <conditionalFormatting sqref="DP8">
    <cfRule type="cellIs" dxfId="1421" priority="1211" operator="equal">
      <formula>0</formula>
    </cfRule>
  </conditionalFormatting>
  <conditionalFormatting sqref="DJ120:DN120">
    <cfRule type="cellIs" dxfId="1420" priority="1204" operator="equal">
      <formula>0</formula>
    </cfRule>
  </conditionalFormatting>
  <conditionalFormatting sqref="BC120 I120">
    <cfRule type="cellIs" dxfId="1419" priority="1203" operator="equal">
      <formula>0</formula>
    </cfRule>
  </conditionalFormatting>
  <conditionalFormatting sqref="CY120">
    <cfRule type="cellIs" dxfId="1418" priority="1202" operator="equal">
      <formula>0</formula>
    </cfRule>
  </conditionalFormatting>
  <conditionalFormatting sqref="CP8:CQ8">
    <cfRule type="cellIs" dxfId="1417" priority="526" operator="equal">
      <formula>0</formula>
    </cfRule>
  </conditionalFormatting>
  <conditionalFormatting sqref="CP8:CQ8">
    <cfRule type="cellIs" dxfId="1416" priority="525" operator="equal">
      <formula>0</formula>
    </cfRule>
  </conditionalFormatting>
  <conditionalFormatting sqref="CP8:CQ8">
    <cfRule type="cellIs" dxfId="1415" priority="524" operator="equal">
      <formula>0</formula>
    </cfRule>
  </conditionalFormatting>
  <conditionalFormatting sqref="AU3">
    <cfRule type="cellIs" dxfId="1414" priority="422" operator="equal">
      <formula>0</formula>
    </cfRule>
  </conditionalFormatting>
  <conditionalFormatting sqref="AW120">
    <cfRule type="cellIs" dxfId="1413" priority="421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412" priority="398" operator="lessThan">
      <formula>0</formula>
    </cfRule>
    <cfRule type="cellIs" dxfId="1411" priority="399" operator="greaterThan">
      <formula>0</formula>
    </cfRule>
  </conditionalFormatting>
  <conditionalFormatting sqref="S8">
    <cfRule type="cellIs" dxfId="1410" priority="351" operator="equal">
      <formula>0</formula>
    </cfRule>
  </conditionalFormatting>
  <conditionalFormatting sqref="S8">
    <cfRule type="cellIs" dxfId="1409" priority="350" operator="equal">
      <formula>0</formula>
    </cfRule>
  </conditionalFormatting>
  <conditionalFormatting sqref="S8">
    <cfRule type="cellIs" dxfId="1408" priority="346" operator="equal">
      <formula>0</formula>
    </cfRule>
  </conditionalFormatting>
  <conditionalFormatting sqref="S8">
    <cfRule type="cellIs" dxfId="1407" priority="345" operator="equal">
      <formula>0</formula>
    </cfRule>
  </conditionalFormatting>
  <conditionalFormatting sqref="T246">
    <cfRule type="cellIs" dxfId="1406" priority="327" operator="lessThan">
      <formula>0</formula>
    </cfRule>
    <cfRule type="cellIs" dxfId="1405" priority="328" operator="greaterThan">
      <formula>0</formula>
    </cfRule>
  </conditionalFormatting>
  <conditionalFormatting sqref="AD246:AF246">
    <cfRule type="cellIs" dxfId="1404" priority="322" operator="lessThan">
      <formula>0</formula>
    </cfRule>
    <cfRule type="cellIs" dxfId="1403" priority="323" operator="greaterThan">
      <formula>0</formula>
    </cfRule>
  </conditionalFormatting>
  <conditionalFormatting sqref="BO8:BP8">
    <cfRule type="cellIs" dxfId="1402" priority="295" operator="equal">
      <formula>0</formula>
    </cfRule>
  </conditionalFormatting>
  <conditionalFormatting sqref="BO8:BP8">
    <cfRule type="cellIs" dxfId="1401" priority="294" operator="equal">
      <formula>0</formula>
    </cfRule>
  </conditionalFormatting>
  <conditionalFormatting sqref="BU246">
    <cfRule type="cellIs" dxfId="1400" priority="271" operator="lessThan">
      <formula>0</formula>
    </cfRule>
    <cfRule type="cellIs" dxfId="1399" priority="272" operator="greaterThan">
      <formula>0</formula>
    </cfRule>
  </conditionalFormatting>
  <conditionalFormatting sqref="BB8">
    <cfRule type="cellIs" dxfId="1398" priority="249" operator="equal">
      <formula>0</formula>
    </cfRule>
  </conditionalFormatting>
  <conditionalFormatting sqref="BB8">
    <cfRule type="cellIs" dxfId="1397" priority="248" operator="equal">
      <formula>0</formula>
    </cfRule>
  </conditionalFormatting>
  <conditionalFormatting sqref="BD246">
    <cfRule type="cellIs" dxfId="1396" priority="225" operator="lessThan">
      <formula>0</formula>
    </cfRule>
    <cfRule type="cellIs" dxfId="1395" priority="226" operator="greaterThan">
      <formula>0</formula>
    </cfRule>
  </conditionalFormatting>
  <conditionalFormatting sqref="BA8">
    <cfRule type="cellIs" dxfId="1394" priority="204" operator="equal">
      <formula>0</formula>
    </cfRule>
  </conditionalFormatting>
  <conditionalFormatting sqref="BA8">
    <cfRule type="cellIs" dxfId="1393" priority="203" operator="equal">
      <formula>0</formula>
    </cfRule>
  </conditionalFormatting>
  <conditionalFormatting sqref="BA8">
    <cfRule type="cellIs" dxfId="1392" priority="199" operator="equal">
      <formula>0</formula>
    </cfRule>
  </conditionalFormatting>
  <conditionalFormatting sqref="BA8">
    <cfRule type="cellIs" dxfId="1391" priority="198" operator="equal">
      <formula>0</formula>
    </cfRule>
  </conditionalFormatting>
  <conditionalFormatting sqref="BA8">
    <cfRule type="cellIs" dxfId="1390" priority="193" operator="equal">
      <formula>0</formula>
    </cfRule>
  </conditionalFormatting>
  <conditionalFormatting sqref="BA8">
    <cfRule type="cellIs" dxfId="1389" priority="192" operator="equal">
      <formula>0</formula>
    </cfRule>
  </conditionalFormatting>
  <conditionalFormatting sqref="BA8">
    <cfRule type="cellIs" dxfId="1388" priority="186" operator="equal">
      <formula>0</formula>
    </cfRule>
  </conditionalFormatting>
  <conditionalFormatting sqref="BA8">
    <cfRule type="cellIs" dxfId="1387" priority="185" operator="equal">
      <formula>0</formula>
    </cfRule>
  </conditionalFormatting>
  <conditionalFormatting sqref="BB246">
    <cfRule type="cellIs" dxfId="1386" priority="180" operator="lessThan">
      <formula>0</formula>
    </cfRule>
    <cfRule type="cellIs" dxfId="1385" priority="181" operator="greaterThan">
      <formula>0</formula>
    </cfRule>
  </conditionalFormatting>
  <conditionalFormatting sqref="AZ246">
    <cfRule type="cellIs" dxfId="1384" priority="175" operator="lessThan">
      <formula>0</formula>
    </cfRule>
    <cfRule type="cellIs" dxfId="1383" priority="176" operator="greaterThan">
      <formula>0</formula>
    </cfRule>
  </conditionalFormatting>
  <conditionalFormatting sqref="BA246">
    <cfRule type="cellIs" dxfId="1382" priority="169" operator="lessThan">
      <formula>0</formula>
    </cfRule>
    <cfRule type="cellIs" dxfId="1381" priority="170" operator="greaterThan">
      <formula>0</formula>
    </cfRule>
  </conditionalFormatting>
  <conditionalFormatting sqref="BO246:BP246">
    <cfRule type="cellIs" dxfId="1380" priority="162" operator="lessThan">
      <formula>0</formula>
    </cfRule>
    <cfRule type="cellIs" dxfId="1379" priority="163" operator="greaterThan">
      <formula>0</formula>
    </cfRule>
  </conditionalFormatting>
  <conditionalFormatting sqref="BM166:BN169">
    <cfRule type="cellIs" dxfId="1378" priority="161" operator="equal">
      <formula>0</formula>
    </cfRule>
  </conditionalFormatting>
  <conditionalFormatting sqref="AM120:AN120">
    <cfRule type="cellIs" dxfId="1377" priority="153" operator="equal">
      <formula>0</formula>
    </cfRule>
  </conditionalFormatting>
  <conditionalFormatting sqref="AM141:AN154">
    <cfRule type="cellIs" dxfId="1376" priority="152" operator="equal">
      <formula>0</formula>
    </cfRule>
  </conditionalFormatting>
  <conditionalFormatting sqref="T120 T222:T229 T124:T126 T201:T206 T113:T115 T139:T140 T117 T156:T165">
    <cfRule type="cellIs" dxfId="1375" priority="149" operator="equal">
      <formula>0</formula>
    </cfRule>
  </conditionalFormatting>
  <conditionalFormatting sqref="AR166:AR169">
    <cfRule type="cellIs" dxfId="1374" priority="148" operator="equal">
      <formula>0</formula>
    </cfRule>
  </conditionalFormatting>
  <conditionalFormatting sqref="AW4">
    <cfRule type="cellIs" dxfId="1373" priority="146" operator="equal">
      <formula>0</formula>
    </cfRule>
  </conditionalFormatting>
  <conditionalFormatting sqref="AR222:AR229 AR128:AR129 AR201:AR206 AR124:AR126 AR82 AR120 AR8 AR113:AR117 AR138:AR140 AR136 AR134">
    <cfRule type="cellIs" dxfId="1372" priority="145" operator="equal">
      <formula>0</formula>
    </cfRule>
  </conditionalFormatting>
  <conditionalFormatting sqref="AU246">
    <cfRule type="cellIs" dxfId="1371" priority="138" operator="lessThan">
      <formula>0</formula>
    </cfRule>
    <cfRule type="cellIs" dxfId="1370" priority="139" operator="greaterThan">
      <formula>0</formula>
    </cfRule>
  </conditionalFormatting>
  <conditionalFormatting sqref="Z246">
    <cfRule type="cellIs" dxfId="1369" priority="129" operator="lessThan">
      <formula>0</formula>
    </cfRule>
    <cfRule type="cellIs" dxfId="1368" priority="130" operator="greaterThan">
      <formula>0</formula>
    </cfRule>
  </conditionalFormatting>
  <conditionalFormatting sqref="AA246">
    <cfRule type="cellIs" dxfId="1367" priority="125" operator="lessThan">
      <formula>0</formula>
    </cfRule>
    <cfRule type="cellIs" dxfId="1366" priority="126" operator="greaterThan">
      <formula>0</formula>
    </cfRule>
  </conditionalFormatting>
  <conditionalFormatting sqref="N246">
    <cfRule type="cellIs" dxfId="1365" priority="122" operator="lessThan">
      <formula>0</formula>
    </cfRule>
    <cfRule type="cellIs" dxfId="1364" priority="123" operator="greaterThan">
      <formula>0</formula>
    </cfRule>
  </conditionalFormatting>
  <conditionalFormatting sqref="J3:J4">
    <cfRule type="cellIs" dxfId="1363" priority="102" operator="equal">
      <formula>0</formula>
    </cfRule>
  </conditionalFormatting>
  <conditionalFormatting sqref="J5">
    <cfRule type="cellIs" dxfId="1362" priority="101" operator="equal">
      <formula>0</formula>
    </cfRule>
  </conditionalFormatting>
  <conditionalFormatting sqref="L8 L82">
    <cfRule type="cellIs" dxfId="1361" priority="97" operator="equal">
      <formula>0</formula>
    </cfRule>
  </conditionalFormatting>
  <conditionalFormatting sqref="M8 M82">
    <cfRule type="cellIs" dxfId="1360" priority="96" operator="equal">
      <formula>0</formula>
    </cfRule>
  </conditionalFormatting>
  <conditionalFormatting sqref="I82:J82">
    <cfRule type="cellIs" dxfId="1359" priority="89" operator="equal">
      <formula>0</formula>
    </cfRule>
  </conditionalFormatting>
  <conditionalFormatting sqref="Q8:R8">
    <cfRule type="cellIs" dxfId="1358" priority="88" operator="equal">
      <formula>0</formula>
    </cfRule>
  </conditionalFormatting>
  <conditionalFormatting sqref="BL246">
    <cfRule type="cellIs" dxfId="1357" priority="78" operator="lessThan">
      <formula>0</formula>
    </cfRule>
    <cfRule type="cellIs" dxfId="1356" priority="79" operator="greaterThan">
      <formula>0</formula>
    </cfRule>
  </conditionalFormatting>
  <conditionalFormatting sqref="V246:X246">
    <cfRule type="cellIs" dxfId="1355" priority="73" operator="lessThan">
      <formula>0</formula>
    </cfRule>
    <cfRule type="cellIs" dxfId="1354" priority="74" operator="greaterThan">
      <formula>0</formula>
    </cfRule>
  </conditionalFormatting>
  <conditionalFormatting sqref="CA246:CC246">
    <cfRule type="cellIs" dxfId="1353" priority="65" operator="lessThan">
      <formula>0</formula>
    </cfRule>
    <cfRule type="cellIs" dxfId="1352" priority="66" operator="greaterThan">
      <formula>0</formula>
    </cfRule>
  </conditionalFormatting>
  <conditionalFormatting sqref="CZ145:CZ148">
    <cfRule type="cellIs" dxfId="1351" priority="25" operator="equal">
      <formula>0</formula>
    </cfRule>
  </conditionalFormatting>
  <conditionalFormatting sqref="DP156">
    <cfRule type="cellIs" dxfId="1350" priority="24" operator="equal">
      <formula>0</formula>
    </cfRule>
  </conditionalFormatting>
  <conditionalFormatting sqref="B9:DP79">
    <cfRule type="expression" dxfId="1349" priority="2">
      <formula>$B$1-$A9&gt;B$208*0.3</formula>
    </cfRule>
  </conditionalFormatting>
  <conditionalFormatting sqref="B9:DP79">
    <cfRule type="expression" dxfId="1348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113" activePane="bottomRight" state="frozen"/>
      <selection pane="topRight" activeCell="C1" sqref="C1"/>
      <selection pane="bottomLeft" activeCell="A2" sqref="A2"/>
      <selection pane="bottomRight" activeCell="F117" sqref="F117"/>
    </sheetView>
  </sheetViews>
  <sheetFormatPr defaultRowHeight="24" customHeight="1"/>
  <cols>
    <col min="1" max="1" width="11.5546875" customWidth="1"/>
    <col min="2" max="2" width="10.44140625" customWidth="1"/>
    <col min="3" max="3" width="38.44140625" customWidth="1"/>
    <col min="4" max="4" width="11.5546875" customWidth="1"/>
    <col min="5" max="5" width="11.5546875" style="66" customWidth="1"/>
    <col min="6" max="6" width="11.44140625" customWidth="1"/>
    <col min="7" max="7" width="9.44140625" bestFit="1" customWidth="1"/>
    <col min="10" max="10" width="8.5546875" customWidth="1"/>
    <col min="15" max="15" width="32" customWidth="1"/>
    <col min="19" max="19" width="13.5546875" customWidth="1"/>
    <col min="35" max="35" width="7.554687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58"/>
      <c r="J1" s="1959"/>
      <c r="K1" s="135" t="s">
        <v>185</v>
      </c>
      <c r="L1" s="135" t="s">
        <v>186</v>
      </c>
      <c r="O1" s="66" t="s">
        <v>125</v>
      </c>
    </row>
    <row r="2" spans="1:15" ht="24" customHeight="1">
      <c r="A2" s="1962" t="s">
        <v>76</v>
      </c>
      <c r="B2" s="162" t="s">
        <v>19</v>
      </c>
      <c r="C2" s="297" t="s">
        <v>430</v>
      </c>
      <c r="D2" s="162">
        <f>INDEX('файл остатки'!$A$5:$DK$265,MATCH($O$1,'файл остатки'!$A$5:$A$228,0),MATCH(C2,'файл остатки'!$A$5:$DK$5,0))</f>
        <v>-648</v>
      </c>
      <c r="E2" s="162"/>
      <c r="F2" s="148">
        <f t="shared" ref="F2:F16" si="0">D2</f>
        <v>-648</v>
      </c>
      <c r="G2" s="66"/>
      <c r="I2" s="1958" t="s">
        <v>217</v>
      </c>
      <c r="J2" s="1959"/>
      <c r="K2" s="135">
        <f>-(F3+F2)/$K$7</f>
        <v>0.67559999999999998</v>
      </c>
      <c r="L2" s="135">
        <v>1</v>
      </c>
      <c r="M2" s="66"/>
      <c r="N2" s="66"/>
      <c r="O2" s="66" t="s">
        <v>77</v>
      </c>
    </row>
    <row r="3" spans="1:15" ht="24" customHeight="1">
      <c r="A3" s="1963"/>
      <c r="B3" s="162" t="s">
        <v>19</v>
      </c>
      <c r="C3" s="297" t="s">
        <v>310</v>
      </c>
      <c r="D3" s="162">
        <f>INDEX('файл остатки'!$A$5:$DK$265,MATCH($O$1,'файл остатки'!$A$5:$A$228,0),MATCH(C3,'файл остатки'!$A$5:$DK$5,0))</f>
        <v>-27.599999999999998</v>
      </c>
      <c r="E3" s="162">
        <f>INDEX('файл остатки'!$A$5:$DK$265,MATCH($O$2,'файл остатки'!$A$5:$A$228,0),MATCH(C3,'файл остатки'!$A$5:$DK$5,0))</f>
        <v>0</v>
      </c>
      <c r="F3" s="148">
        <f t="shared" si="0"/>
        <v>-27.599999999999998</v>
      </c>
      <c r="G3" s="66"/>
      <c r="I3" s="1958" t="s">
        <v>184</v>
      </c>
      <c r="J3" s="1959"/>
      <c r="K3" s="135">
        <f>-(F8+F10+F13+F14+F17+F12+F15+F16+F9+F11+F7+F6+F5)/K7</f>
        <v>0.79870000000000008</v>
      </c>
      <c r="L3" s="135">
        <v>1</v>
      </c>
    </row>
    <row r="4" spans="1:15" s="66" customFormat="1" ht="24" customHeight="1">
      <c r="A4" s="1963"/>
      <c r="B4" s="162"/>
      <c r="C4" s="297"/>
      <c r="D4" s="162"/>
      <c r="E4" s="162"/>
      <c r="F4" s="148">
        <f t="shared" si="0"/>
        <v>0</v>
      </c>
    </row>
    <row r="5" spans="1:15" ht="32.1" customHeight="1">
      <c r="A5" s="1963"/>
      <c r="B5" s="1757" t="s">
        <v>19</v>
      </c>
      <c r="C5" s="1758" t="s">
        <v>431</v>
      </c>
      <c r="D5" s="162">
        <f>INDEX('файл остатки'!$A$5:$DK$265,MATCH($O$1,'файл остатки'!$A$5:$A$228,0),MATCH(C5,'файл остатки'!$A$5:$DK$5,0))</f>
        <v>-119.5</v>
      </c>
      <c r="E5" s="162">
        <f>INDEX('файл остатки'!$A$5:$DK$265,MATCH($O$2,'файл остатки'!$A$5:$A$228,0),MATCH(C5,'файл остатки'!$A$5:$DK$5,0))</f>
        <v>0</v>
      </c>
      <c r="F5" s="148">
        <f t="shared" si="0"/>
        <v>-119.5</v>
      </c>
      <c r="G5" s="66"/>
      <c r="I5" s="93"/>
      <c r="J5" s="93"/>
      <c r="K5" s="93"/>
      <c r="L5" s="93"/>
    </row>
    <row r="6" spans="1:15" s="66" customFormat="1" ht="33.75" customHeight="1">
      <c r="A6" s="1963"/>
      <c r="B6" s="1759" t="s">
        <v>294</v>
      </c>
      <c r="C6" s="1758" t="s">
        <v>475</v>
      </c>
      <c r="D6" s="162">
        <f>INDEX('файл остатки'!$A$5:$DK$265,MATCH($O$1,'файл остатки'!$A$5:$A$228,0),MATCH(C6,'файл остатки'!$A$5:$DK$5,0))</f>
        <v>1</v>
      </c>
      <c r="E6" s="162">
        <f>INDEX('файл остатки'!$A$5:$DK$265,MATCH($O$2,'файл остатки'!$A$5:$A$228,0),MATCH(C6,'файл остатки'!$A$5:$DK$5,0))</f>
        <v>0</v>
      </c>
      <c r="F6" s="148">
        <v>-10</v>
      </c>
      <c r="I6" s="93"/>
      <c r="J6" s="93"/>
      <c r="K6" s="93"/>
      <c r="L6" s="93"/>
    </row>
    <row r="7" spans="1:15" ht="41.85" customHeight="1">
      <c r="A7" s="1963"/>
      <c r="B7" s="1760" t="s">
        <v>293</v>
      </c>
      <c r="C7" s="1760" t="s">
        <v>819</v>
      </c>
      <c r="D7" s="162">
        <f>INDEX('файл остатки'!$A$5:$DK$265,MATCH($O$1,'файл остатки'!$A$5:$A$228,0),MATCH(C7,'файл остатки'!$A$5:$DK$5,0))</f>
        <v>-24</v>
      </c>
      <c r="E7" s="162">
        <f>INDEX('файл остатки'!$A$5:$DK$265,MATCH($O$2,'файл остатки'!$A$5:$A$228,0),MATCH(C7,'файл остатки'!$A$5:$DK$5,0))</f>
        <v>0</v>
      </c>
      <c r="F7" s="148">
        <f t="shared" si="0"/>
        <v>-24</v>
      </c>
      <c r="G7" s="66"/>
      <c r="I7" s="1937" t="s">
        <v>187</v>
      </c>
      <c r="J7" s="1937"/>
      <c r="K7" s="98">
        <v>1000</v>
      </c>
      <c r="L7" s="93"/>
    </row>
    <row r="8" spans="1:15" ht="24" customHeight="1">
      <c r="A8" s="1963"/>
      <c r="B8" s="162" t="s">
        <v>20</v>
      </c>
      <c r="C8" s="298" t="s">
        <v>433</v>
      </c>
      <c r="D8" s="162">
        <f>INDEX('файл остатки'!$A$5:$DK$265,MATCH($O$1,'файл остатки'!$A$5:$A$228,0),MATCH(C8,'файл остатки'!$A$5:$DK$5,0))</f>
        <v>-327.2000000000001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-327.2000000000001</v>
      </c>
      <c r="G8" s="66"/>
    </row>
    <row r="9" spans="1:15" s="66" customFormat="1" ht="24" customHeight="1">
      <c r="A9" s="1963"/>
      <c r="B9" s="162" t="s">
        <v>20</v>
      </c>
      <c r="C9" s="298" t="s">
        <v>432</v>
      </c>
      <c r="D9" s="162">
        <f>INDEX('файл остатки'!$A$5:$DK$265,MATCH($O$1,'файл остатки'!$A$5:$A$228,0),MATCH(C9,'файл остатки'!$A$5:$DK$5,0))</f>
        <v>-17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-17</v>
      </c>
    </row>
    <row r="10" spans="1:15" ht="24" customHeight="1">
      <c r="A10" s="1963"/>
      <c r="B10" s="162" t="s">
        <v>58</v>
      </c>
      <c r="C10" s="298" t="s">
        <v>97</v>
      </c>
      <c r="D10" s="162">
        <f>INDEX('файл остатки'!$A$5:$DK$265,MATCH($O$1,'файл остатки'!$A$5:$A$228,0),MATCH(C10,'файл остатки'!$A$5:$DK$5,0))</f>
        <v>-132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-132</v>
      </c>
      <c r="G10" s="66"/>
    </row>
    <row r="11" spans="1:15" s="66" customFormat="1" ht="24" customHeight="1">
      <c r="A11" s="1963"/>
      <c r="B11" s="162" t="s">
        <v>63</v>
      </c>
      <c r="C11" s="298" t="s">
        <v>146</v>
      </c>
      <c r="D11" s="162">
        <f>INDEX('файл остатки'!$A$5:$DK$265,MATCH($O$1,'файл остатки'!$A$5:$A$228,0),MATCH(C11,'файл остатки'!$A$5:$DK$5,0))</f>
        <v>-49.5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-49.5</v>
      </c>
    </row>
    <row r="12" spans="1:15" ht="24" customHeight="1">
      <c r="A12" s="1963"/>
      <c r="B12" s="162" t="s">
        <v>19</v>
      </c>
      <c r="C12" s="298" t="s">
        <v>434</v>
      </c>
      <c r="D12" s="162">
        <f>INDEX('файл остатки'!$A$5:$DK$265,MATCH($O$1,'файл остатки'!$A$5:$A$228,0),MATCH(C12,'файл остатки'!$A$5:$DK$5,0))</f>
        <v>-10</v>
      </c>
      <c r="E12" s="162">
        <f>INDEX('файл остатки'!$A$5:$DK$265,MATCH($O$2,'файл остатки'!$A$5:$A$228,0),MATCH(C12,'файл остатки'!$A$5:$DK$5,0))</f>
        <v>0</v>
      </c>
      <c r="F12" s="148">
        <f t="shared" si="0"/>
        <v>-10</v>
      </c>
      <c r="G12" s="66"/>
      <c r="J12" s="170"/>
      <c r="K12" s="170"/>
      <c r="L12" s="170"/>
      <c r="M12" s="170"/>
      <c r="N12" s="170"/>
    </row>
    <row r="13" spans="1:15" ht="24" customHeight="1">
      <c r="A13" s="1963"/>
      <c r="B13" s="162" t="s">
        <v>493</v>
      </c>
      <c r="C13" s="298" t="s">
        <v>494</v>
      </c>
      <c r="D13" s="162">
        <f>INDEX('файл остатки'!$A$5:$DK$265,MATCH($O$1,'файл остатки'!$A$5:$A$228,0),MATCH(C13,'файл остатки'!$A$5:$DK$5,0))</f>
        <v>2.3999999999999773</v>
      </c>
      <c r="E13" s="162">
        <f>INDEX('файл остатки'!$A$5:$DK$265,MATCH($O$2,'файл остатки'!$A$5:$A$228,0),MATCH(C13,'файл остатки'!$A$5:$DK$5,0))</f>
        <v>0</v>
      </c>
      <c r="F13" s="148"/>
      <c r="G13" s="66"/>
      <c r="J13" s="170"/>
      <c r="K13" s="170"/>
      <c r="L13" s="170"/>
      <c r="M13" s="170"/>
      <c r="N13" s="170"/>
    </row>
    <row r="14" spans="1:15" ht="24" customHeight="1">
      <c r="A14" s="1963"/>
      <c r="B14" s="162" t="s">
        <v>753</v>
      </c>
      <c r="C14" s="532" t="s">
        <v>754</v>
      </c>
      <c r="D14" s="162">
        <f>INDEX('файл остатки'!$A$5:$DK$265,MATCH($O$1,'файл остатки'!$A$5:$A$228,0),MATCH(C14,'файл остатки'!$A$5:$DK$5,0))</f>
        <v>-36.800000000000004</v>
      </c>
      <c r="E14" s="162">
        <f>INDEX('файл остатки'!$A$5:$DK$265,MATCH($O$2,'файл остатки'!$A$5:$A$228,0),MATCH(C14,'файл остатки'!$A$5:$DK$5,0))</f>
        <v>0</v>
      </c>
      <c r="F14" s="148">
        <v>-39</v>
      </c>
      <c r="G14" s="66"/>
      <c r="J14" s="170"/>
      <c r="K14" s="170"/>
      <c r="L14" s="170"/>
      <c r="M14" s="170"/>
      <c r="N14" s="170"/>
    </row>
    <row r="15" spans="1:15" ht="39" customHeight="1">
      <c r="A15" s="1963"/>
      <c r="B15" s="532" t="s">
        <v>81</v>
      </c>
      <c r="C15" s="532" t="s">
        <v>905</v>
      </c>
      <c r="D15" s="162">
        <f>INDEX('файл остатки'!$A$5:$DK$265,MATCH($O$1,'файл остатки'!$A$5:$A$228,0),MATCH(C15,'файл остатки'!$A$5:$DK$5,0))</f>
        <v>-42</v>
      </c>
      <c r="E15" s="162">
        <f>INDEX('файл остатки'!$A$5:$DK$265,MATCH($O$2,'файл остатки'!$A$5:$A$228,0),MATCH(C15,'файл остатки'!$A$5:$DK$5,0))</f>
        <v>0</v>
      </c>
      <c r="F15" s="148">
        <f t="shared" si="0"/>
        <v>-42</v>
      </c>
      <c r="G15" s="66"/>
    </row>
    <row r="16" spans="1:15" s="66" customFormat="1" ht="33" customHeight="1">
      <c r="A16" s="1963"/>
      <c r="B16" s="298" t="s">
        <v>293</v>
      </c>
      <c r="C16" s="298" t="s">
        <v>309</v>
      </c>
      <c r="D16" s="162">
        <f>INDEX('файл остатки'!$A$5:$DK$265,MATCH($O$1,'файл остатки'!$A$5:$A$228,0),MATCH(C16,'файл остатки'!$A$5:$DK$5,0))</f>
        <v>-28.5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-28.5</v>
      </c>
      <c r="I16" s="270"/>
    </row>
    <row r="17" spans="1:12" ht="24" customHeight="1">
      <c r="A17" s="1963"/>
      <c r="B17" s="298"/>
      <c r="C17" s="298"/>
      <c r="D17" s="162"/>
      <c r="E17" s="162"/>
      <c r="F17" s="148">
        <f t="shared" ref="F17:F18" si="1">D17</f>
        <v>0</v>
      </c>
      <c r="G17" s="66"/>
    </row>
    <row r="18" spans="1:12" ht="24" customHeight="1">
      <c r="A18" s="1963"/>
      <c r="B18" s="135"/>
      <c r="C18" s="135"/>
      <c r="D18" s="135"/>
      <c r="E18" s="135"/>
      <c r="F18" s="148">
        <f t="shared" si="1"/>
        <v>0</v>
      </c>
      <c r="G18" s="66"/>
    </row>
    <row r="19" spans="1:12" s="66" customFormat="1" ht="24" customHeight="1">
      <c r="A19" s="1963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64" t="s">
        <v>79</v>
      </c>
      <c r="B21" s="163" t="s">
        <v>19</v>
      </c>
      <c r="C21" s="299" t="s">
        <v>435</v>
      </c>
      <c r="D21" s="163">
        <f>INDEX('файл остатки'!$A$5:$DK$265,MATCH($O$1,'файл остатки'!$A$5:$A$228,0),MATCH(C21,'файл остатки'!$A$5:$DK$5,0))</f>
        <v>55</v>
      </c>
      <c r="E21" s="136"/>
      <c r="F21" s="146"/>
      <c r="G21" s="66"/>
      <c r="I21" s="1960"/>
      <c r="J21" s="1961"/>
      <c r="K21" s="136" t="s">
        <v>185</v>
      </c>
      <c r="L21" s="136" t="s">
        <v>186</v>
      </c>
    </row>
    <row r="22" spans="1:12" ht="24" customHeight="1">
      <c r="A22" s="1965"/>
      <c r="B22" s="1757" t="s">
        <v>19</v>
      </c>
      <c r="C22" s="1759" t="s">
        <v>479</v>
      </c>
      <c r="D22" s="136">
        <f>INDEX('файл остатки'!$A$5:$DK$265,MATCH($O$1,'файл остатки'!$A$5:$A$228,0),MATCH(C22,'файл остатки'!$A$5:$DK$5,0))</f>
        <v>-67.5</v>
      </c>
      <c r="E22" s="136">
        <f>INDEX('файл остатки'!$A$5:$DK$265,MATCH($O$2,'файл остатки'!$A$5:$A$228,0),MATCH(C22,'файл остатки'!$A$5:$DK$5,0))</f>
        <v>0</v>
      </c>
      <c r="F22" s="146">
        <f t="shared" ref="F22:F29" si="2">D22</f>
        <v>-67.5</v>
      </c>
      <c r="G22" s="66"/>
      <c r="I22" s="1960" t="s">
        <v>217</v>
      </c>
      <c r="J22" s="1961"/>
      <c r="K22" s="136">
        <f>-(F21+F22)/K25</f>
        <v>6.7500000000000004E-2</v>
      </c>
      <c r="L22" s="136"/>
    </row>
    <row r="23" spans="1:12" ht="24" customHeight="1">
      <c r="A23" s="1965"/>
      <c r="B23" s="1760" t="s">
        <v>293</v>
      </c>
      <c r="C23" s="1760" t="s">
        <v>820</v>
      </c>
      <c r="D23" s="163">
        <f>INDEX('файл остатки'!$A$5:$DK$265,MATCH($O$1,'файл остатки'!$A$5:$A$228,0),MATCH(C23,'файл остатки'!$A$5:$DK$5,0))</f>
        <v>24</v>
      </c>
      <c r="E23" s="163"/>
      <c r="F23" s="146"/>
      <c r="G23" s="66"/>
      <c r="I23" s="1960" t="s">
        <v>184</v>
      </c>
      <c r="J23" s="1961"/>
      <c r="K23" s="136">
        <f>-(F23+F24+F25+F27+F28+F26+F29+F30)/K25</f>
        <v>1.7408000000000001</v>
      </c>
      <c r="L23" s="136">
        <v>2</v>
      </c>
    </row>
    <row r="24" spans="1:12" ht="24" customHeight="1">
      <c r="A24" s="1965"/>
      <c r="B24" s="300" t="s">
        <v>20</v>
      </c>
      <c r="C24" s="300" t="s">
        <v>436</v>
      </c>
      <c r="D24" s="163">
        <f>INDEX('файл остатки'!$A$5:$DK$265,MATCH($O$1,'файл остатки'!$A$5:$A$228,0),MATCH(C24,'файл остатки'!$A$5:$DK$5,0))</f>
        <v>-1844.8000000000002</v>
      </c>
      <c r="E24" s="163">
        <f>INDEX('файл остатки'!$A$5:$DK$265,MATCH($O$2,'файл остатки'!$A$5:$A$228,0),MATCH(C24,'файл остатки'!$A$5:$DK$5,0))</f>
        <v>0</v>
      </c>
      <c r="F24" s="146">
        <v>-1247</v>
      </c>
      <c r="G24" s="14"/>
      <c r="I24" s="93"/>
      <c r="J24" s="93"/>
      <c r="K24" s="93"/>
      <c r="L24" s="93"/>
    </row>
    <row r="25" spans="1:12" ht="24" customHeight="1">
      <c r="A25" s="1965"/>
      <c r="B25" s="300" t="s">
        <v>63</v>
      </c>
      <c r="C25" s="300" t="s">
        <v>144</v>
      </c>
      <c r="D25" s="163">
        <f>INDEX('файл остатки'!$A$5:$DK$265,MATCH($O$1,'файл остатки'!$A$5:$A$228,0),MATCH(C25,'файл остатки'!$A$5:$DK$5,0))</f>
        <v>-43.5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2"/>
        <v>-43.5</v>
      </c>
      <c r="G25" s="14"/>
      <c r="I25" s="1937" t="s">
        <v>187</v>
      </c>
      <c r="J25" s="1937"/>
      <c r="K25" s="98">
        <v>1000</v>
      </c>
      <c r="L25" s="93"/>
    </row>
    <row r="26" spans="1:12" ht="24" customHeight="1">
      <c r="A26" s="1965"/>
      <c r="B26" s="300" t="s">
        <v>58</v>
      </c>
      <c r="C26" s="300" t="s">
        <v>98</v>
      </c>
      <c r="D26" s="163">
        <f>INDEX('файл остатки'!$A$5:$DK$265,MATCH($O$1,'файл остатки'!$A$5:$A$228,0),MATCH(C26,'файл остатки'!$A$5:$DK$5,0))</f>
        <v>-282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2"/>
        <v>-282</v>
      </c>
      <c r="G26" s="66"/>
    </row>
    <row r="27" spans="1:12" ht="24" customHeight="1">
      <c r="A27" s="1965"/>
      <c r="B27" s="316" t="s">
        <v>293</v>
      </c>
      <c r="C27" s="316" t="s">
        <v>311</v>
      </c>
      <c r="D27" s="163">
        <f>INDEX('файл остатки'!$A$5:$DK$265,MATCH($O$1,'файл остатки'!$A$5:$A$228,0),MATCH(C27,'файл остатки'!$A$5:$DK$5,0))</f>
        <v>-37.5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2"/>
        <v>-37.5</v>
      </c>
      <c r="G27" s="66"/>
    </row>
    <row r="28" spans="1:12" ht="24" customHeight="1">
      <c r="A28" s="1965"/>
      <c r="B28" s="316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1.6000000000000227</v>
      </c>
      <c r="E28" s="163">
        <f>INDEX('файл остатки'!$A$5:$DK$265,MATCH($O$2,'файл остатки'!$A$5:$A$228,0),MATCH(C28,'файл остатки'!$A$5:$DK$5,0))</f>
        <v>0</v>
      </c>
      <c r="F28" s="146"/>
      <c r="G28" s="66"/>
    </row>
    <row r="29" spans="1:12" ht="24" customHeight="1">
      <c r="A29" s="1965"/>
      <c r="B29" s="531" t="s">
        <v>753</v>
      </c>
      <c r="C29" s="531" t="s">
        <v>755</v>
      </c>
      <c r="D29" s="163">
        <f>INDEX('файл остатки'!$A$5:$DK$265,MATCH($O$1,'файл остатки'!$A$5:$A$228,0),MATCH(C29,'файл остатки'!$A$5:$DK$5,0))</f>
        <v>-74.399999999999977</v>
      </c>
      <c r="E29" s="163">
        <f>INDEX('файл остатки'!$A$5:$DK$265,MATCH($O$2,'файл остатки'!$A$5:$A$228,0),MATCH(C29,'файл остатки'!$A$5:$DK$5,0))</f>
        <v>0</v>
      </c>
      <c r="F29" s="146">
        <f t="shared" si="2"/>
        <v>-74.399999999999977</v>
      </c>
      <c r="G29" s="66"/>
    </row>
    <row r="30" spans="1:12" ht="24" customHeight="1">
      <c r="A30" s="1965"/>
      <c r="B30" s="531" t="s">
        <v>81</v>
      </c>
      <c r="C30" s="531" t="s">
        <v>906</v>
      </c>
      <c r="D30" s="163">
        <f>INDEX('файл остатки'!$A$5:$DK$265,MATCH($O$1,'файл остатки'!$A$5:$A$228,0),MATCH(C30,'файл остатки'!$A$5:$DK$5,0))</f>
        <v>-278.39999999999998</v>
      </c>
      <c r="E30" s="163">
        <f>INDEX('файл остатки'!$A$5:$DK$265,MATCH($O$2,'файл остатки'!$A$5:$A$228,0),MATCH(C30,'файл остатки'!$A$5:$DK$5,0))</f>
        <v>0</v>
      </c>
      <c r="F30" s="146">
        <v>-56.4</v>
      </c>
      <c r="G30" s="66"/>
    </row>
    <row r="31" spans="1:12" s="66" customFormat="1" ht="24" customHeight="1">
      <c r="A31" s="1965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32" t="s">
        <v>1</v>
      </c>
      <c r="B33" s="471" t="s">
        <v>166</v>
      </c>
      <c r="C33" s="471" t="s">
        <v>167</v>
      </c>
      <c r="D33" s="471">
        <f>INDEX('файл остатки'!$A$5:$DK$265,MATCH($O$1,'файл остатки'!$A$5:$A$228,0),MATCH(C33,'файл остатки'!$A$5:$DK$5,0))</f>
        <v>0</v>
      </c>
      <c r="E33" s="470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46"/>
      <c r="J33" s="1947"/>
      <c r="K33" s="137" t="s">
        <v>185</v>
      </c>
      <c r="L33" s="137" t="s">
        <v>186</v>
      </c>
    </row>
    <row r="34" spans="1:12" ht="24" customHeight="1">
      <c r="A34" s="1933"/>
      <c r="B34" s="471" t="s">
        <v>166</v>
      </c>
      <c r="C34" s="296" t="s">
        <v>308</v>
      </c>
      <c r="D34" s="471">
        <f>INDEX('файл остатки'!$A$5:$DK$265,MATCH($O$1,'файл остатки'!$A$5:$A$228,0),MATCH(C34,'файл остатки'!$A$5:$DK$5,0))</f>
        <v>0</v>
      </c>
      <c r="E34" s="470">
        <f>INDEX('файл остатки'!$A$5:$DK$265,MATCH($O$2,'файл остатки'!$A$5:$A$228,0),MATCH(C34,'файл остатки'!$A$5:$DK$5,0))</f>
        <v>0</v>
      </c>
      <c r="F34" s="145">
        <f t="shared" ref="F34:F35" si="3">D34</f>
        <v>0</v>
      </c>
      <c r="G34" s="66"/>
      <c r="H34" s="144"/>
      <c r="I34" s="1946"/>
      <c r="J34" s="1947"/>
      <c r="K34" s="137">
        <f>-(F34+F33)/K36</f>
        <v>0</v>
      </c>
      <c r="L34" s="137"/>
    </row>
    <row r="35" spans="1:12" ht="24" customHeight="1">
      <c r="A35" s="1933"/>
      <c r="B35" s="471"/>
      <c r="C35" s="296"/>
      <c r="D35" s="471"/>
      <c r="E35" s="470"/>
      <c r="F35" s="145">
        <f t="shared" si="3"/>
        <v>0</v>
      </c>
      <c r="G35" s="66"/>
      <c r="I35" s="1946" t="s">
        <v>324</v>
      </c>
      <c r="J35" s="1947"/>
      <c r="K35" s="137">
        <f>-(F33:F35)/K36</f>
        <v>0</v>
      </c>
      <c r="L35" s="137"/>
    </row>
    <row r="36" spans="1:12" s="66" customFormat="1" ht="24" customHeight="1">
      <c r="A36" s="1941"/>
      <c r="B36" s="166"/>
      <c r="C36" s="166"/>
      <c r="D36" s="166"/>
      <c r="E36" s="161"/>
      <c r="F36" s="145">
        <f>D36</f>
        <v>0</v>
      </c>
      <c r="I36" s="1944" t="s">
        <v>187</v>
      </c>
      <c r="J36" s="1945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66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-2175.04</v>
      </c>
      <c r="E39" s="472">
        <f>INDEX('файл остатки'!$A$5:$DK$265,MATCH($O$2,'файл остатки'!$A$5:$A$228,0),MATCH(C39,'файл остатки'!$A$5:$DK$5,0))</f>
        <v>459.73333333333329</v>
      </c>
      <c r="F39" s="138">
        <v>-700</v>
      </c>
      <c r="G39" s="66"/>
      <c r="H39" s="144"/>
      <c r="I39" s="1950"/>
      <c r="J39" s="1951"/>
      <c r="K39" s="138" t="s">
        <v>185</v>
      </c>
      <c r="L39" s="138" t="s">
        <v>186</v>
      </c>
    </row>
    <row r="40" spans="1:12" ht="24" customHeight="1">
      <c r="A40" s="1967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-4697.8400000000011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-2900</v>
      </c>
      <c r="G40" s="66"/>
      <c r="H40" s="144"/>
      <c r="I40" s="1950" t="s">
        <v>325</v>
      </c>
      <c r="J40" s="1951"/>
      <c r="K40" s="138">
        <f>-(F43+F44+F45+F40+F41+F42)/K46</f>
        <v>4.1981176470588233</v>
      </c>
      <c r="L40" s="138">
        <v>5</v>
      </c>
    </row>
    <row r="41" spans="1:12" s="66" customFormat="1" ht="24" customHeight="1">
      <c r="A41" s="1967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-190.56</v>
      </c>
      <c r="E41" s="518">
        <f>INDEX('файл остатки'!$A$5:$DK$265,MATCH($O$2,'файл остатки'!$A$5:$A$228,0),MATCH(C41,'файл остатки'!$A$5:$DK$5,0))</f>
        <v>341.27939047619049</v>
      </c>
      <c r="F41" s="138"/>
      <c r="H41" s="144"/>
      <c r="I41" s="472"/>
      <c r="J41" s="473"/>
      <c r="K41" s="138"/>
      <c r="L41" s="138"/>
    </row>
    <row r="42" spans="1:12" s="66" customFormat="1" ht="24" customHeight="1">
      <c r="A42" s="1967"/>
      <c r="B42" s="138" t="s">
        <v>46</v>
      </c>
      <c r="C42" s="315" t="s">
        <v>441</v>
      </c>
      <c r="D42" s="138">
        <f>INDEX('файл остатки'!$A$5:$DK$265,MATCH($O$1,'файл остатки'!$A$5:$A$228,0),MATCH(C42,'файл остатки'!$A$5:$DK$5,0))</f>
        <v>-151.19999999999999</v>
      </c>
      <c r="E42" s="1731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2"/>
      <c r="J42" s="473"/>
      <c r="K42" s="138"/>
      <c r="L42" s="138"/>
    </row>
    <row r="43" spans="1:12" s="66" customFormat="1" ht="24" customHeight="1">
      <c r="A43" s="1967"/>
      <c r="B43" s="1739" t="s">
        <v>293</v>
      </c>
      <c r="C43" s="1738" t="s">
        <v>816</v>
      </c>
      <c r="D43" s="138">
        <f>INDEX('файл остатки'!$A$5:$DK$265,MATCH($O$1,'файл остатки'!$A$5:$A$228,0),MATCH(C43,'файл остатки'!$A$5:$DK$5,0))</f>
        <v>-32.400000000000006</v>
      </c>
      <c r="E43" s="278">
        <f>INDEX('файл остатки'!$A$5:$DK$265,MATCH($O$2,'файл остатки'!$A$5:$A$228,0),MATCH(C43,'файл остатки'!$A$5:$DK$5,0))</f>
        <v>5.7142857142857141E-2</v>
      </c>
      <c r="F43" s="138">
        <v>-32.4</v>
      </c>
      <c r="H43" s="144"/>
      <c r="I43" s="278"/>
      <c r="J43" s="279"/>
      <c r="K43" s="138"/>
      <c r="L43" s="138"/>
    </row>
    <row r="44" spans="1:12" s="66" customFormat="1" ht="24" customHeight="1">
      <c r="A44" s="1967"/>
      <c r="B44" s="138" t="s">
        <v>46</v>
      </c>
      <c r="C44" s="287" t="s">
        <v>301</v>
      </c>
      <c r="D44" s="138">
        <f>INDEX('файл остатки'!$A$5:$DK$265,MATCH($O$1,'файл остатки'!$A$5:$A$228,0),MATCH(C44,'файл остатки'!$A$5:$DK$5,0))</f>
        <v>-636</v>
      </c>
      <c r="E44" s="278">
        <f>INDEX('файл остатки'!$A$5:$DK$265,MATCH($O$2,'файл остатки'!$A$5:$A$228,0),MATCH(C44,'файл остатки'!$A$5:$DK$5,0))</f>
        <v>530.37714285714276</v>
      </c>
      <c r="F44" s="138">
        <v>-636</v>
      </c>
      <c r="H44" s="144"/>
      <c r="I44" s="278"/>
      <c r="J44" s="279"/>
      <c r="K44" s="138"/>
      <c r="L44" s="138"/>
    </row>
    <row r="45" spans="1:12" ht="24" customHeight="1">
      <c r="A45" s="1967"/>
      <c r="B45" s="138" t="s">
        <v>46</v>
      </c>
      <c r="C45" s="289" t="s">
        <v>302</v>
      </c>
      <c r="D45" s="138">
        <f>INDEX('файл остатки'!$A$5:$DK$265,MATCH($O$1,'файл остатки'!$A$5:$A$228,0),MATCH(C45,'файл остатки'!$A$5:$DK$5,0))</f>
        <v>-97.2</v>
      </c>
      <c r="E45" s="278">
        <f>INDEX('файл остатки'!$A$5:$DK$265,MATCH($O$2,'файл остатки'!$A$5:$A$228,0),MATCH(C45,'файл остатки'!$A$5:$DK$5,0))</f>
        <v>313.86285714285714</v>
      </c>
      <c r="F45" s="138"/>
      <c r="G45" s="66"/>
      <c r="H45" s="144"/>
      <c r="I45" s="1950" t="s">
        <v>326</v>
      </c>
      <c r="J45" s="1951"/>
      <c r="K45" s="138">
        <f>-(F39+F46)/K46</f>
        <v>0.82352941176470584</v>
      </c>
      <c r="L45" s="138">
        <v>1</v>
      </c>
    </row>
    <row r="46" spans="1:12" s="66" customFormat="1" ht="24" customHeight="1">
      <c r="A46" s="1967"/>
      <c r="B46" s="138"/>
      <c r="C46" s="139"/>
      <c r="D46" s="138"/>
      <c r="E46" s="462"/>
      <c r="F46" s="138">
        <f t="shared" ref="F46" si="4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6"/>
      <c r="J47" s="476"/>
      <c r="K47" s="325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77">
        <f t="shared" ref="F49" si="5">D49</f>
        <v>0</v>
      </c>
      <c r="G49" s="66"/>
      <c r="H49" s="144"/>
      <c r="I49" s="1952"/>
      <c r="J49" s="1953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-721.5</v>
      </c>
      <c r="E50" s="474">
        <f>INDEX('файл остатки'!$A$5:$DK$265,MATCH($O$2,'файл остатки'!$A$5:$A$228,0),MATCH(C50,'файл остатки'!$A$5:$DK$5,0))</f>
        <v>801.82523809523798</v>
      </c>
      <c r="F50" s="477">
        <v>-730</v>
      </c>
      <c r="G50" s="66"/>
      <c r="H50" s="144"/>
      <c r="I50" s="1952" t="s">
        <v>327</v>
      </c>
      <c r="J50" s="1953"/>
      <c r="K50" s="142">
        <f>-(F49+F50+F55)/K53</f>
        <v>0.85882352941176465</v>
      </c>
      <c r="L50" s="142">
        <v>1</v>
      </c>
    </row>
    <row r="51" spans="1:12" ht="24" customHeight="1">
      <c r="A51" s="142" t="s">
        <v>83</v>
      </c>
      <c r="B51" s="142" t="s">
        <v>293</v>
      </c>
      <c r="C51" s="142" t="s">
        <v>817</v>
      </c>
      <c r="D51" s="142">
        <f>INDEX('файл остатки'!$A$5:$DK$265,MATCH($O$1,'файл остатки'!$A$5:$A$228,0),MATCH(C51,'файл остатки'!$A$5:$DK$5,0))</f>
        <v>-9.6000000000000014</v>
      </c>
      <c r="E51" s="1732">
        <f>INDEX('файл остатки'!$A$5:$DK$265,MATCH($O$2,'файл остатки'!$A$5:$A$228,0),MATCH(C51,'файл остатки'!$A$5:$DK$5,0))</f>
        <v>0.11428571428571428</v>
      </c>
      <c r="F51" s="477">
        <v>-9.6</v>
      </c>
      <c r="G51" s="66"/>
      <c r="H51" s="144"/>
      <c r="I51" s="1952" t="s">
        <v>198</v>
      </c>
      <c r="J51" s="1953"/>
      <c r="K51" s="142">
        <f>-(F52+F51+F56+F57)/K53</f>
        <v>0.39952941176470591</v>
      </c>
      <c r="L51" s="142"/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4">
        <f>INDEX('файл остатки'!$A$5:$DK$265,MATCH($O$2,'файл остатки'!$A$5:$A$228,0),MATCH(C52,'файл остатки'!$A$5:$DK$5,0))</f>
        <v>111.21142857142857</v>
      </c>
      <c r="F52" s="477"/>
      <c r="G52" s="66"/>
      <c r="I52" s="1952" t="s">
        <v>455</v>
      </c>
      <c r="J52" s="1953"/>
      <c r="K52" s="142">
        <f>-(F53+F54+F51)/K53</f>
        <v>0.27840000000000004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-155.16000000000008</v>
      </c>
      <c r="E53" s="474">
        <f>INDEX('файл остатки'!$A$5:$DK$265,MATCH($O$2,'файл остатки'!$A$5:$A$228,0),MATCH(C53,'файл остатки'!$A$5:$DK$5,0))</f>
        <v>646.09142857142854</v>
      </c>
      <c r="F53" s="477">
        <v>-156</v>
      </c>
      <c r="I53" s="1944" t="s">
        <v>187</v>
      </c>
      <c r="J53" s="1945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-71.040000000000006</v>
      </c>
      <c r="E54" s="529">
        <f>INDEX('файл остатки'!$A$5:$DK$265,MATCH($O$2,'файл остатки'!$A$5:$A$228,0),MATCH(C54,'файл остатки'!$A$5:$DK$5,0))</f>
        <v>99.315238095238087</v>
      </c>
      <c r="F54" s="477">
        <v>-71.040000000000006</v>
      </c>
      <c r="I54" s="325"/>
      <c r="J54" s="325"/>
      <c r="K54" s="325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907</v>
      </c>
      <c r="D55" s="142">
        <f>INDEX('файл остатки'!$A$5:$DK$265,MATCH($O$1,'файл остатки'!$A$5:$A$228,0),MATCH(C55,'файл остатки'!$A$5:$DK$5,0))</f>
        <v>-514.79999999999995</v>
      </c>
      <c r="E55" s="1745">
        <f>INDEX('файл остатки'!$A$5:$DK$265,MATCH($O$2,'файл остатки'!$A$5:$A$228,0),MATCH(C55,'файл остатки'!$A$5:$DK$5,0))</f>
        <v>0</v>
      </c>
      <c r="F55" s="477"/>
      <c r="I55" s="325"/>
      <c r="J55" s="325"/>
      <c r="K55" s="325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173.6</v>
      </c>
      <c r="E56" s="516">
        <f>INDEX('файл остатки'!$A$5:$DK$265,MATCH($O$2,'файл остатки'!$A$5:$A$228,0),MATCH(C56,'файл остатки'!$A$5:$DK$5,0))</f>
        <v>110.45333333333333</v>
      </c>
      <c r="F56" s="477"/>
      <c r="I56" s="325"/>
      <c r="J56" s="325"/>
      <c r="K56" s="325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-765.24</v>
      </c>
      <c r="E57" s="474">
        <f>INDEX('файл остатки'!$A$5:$DK$265,MATCH($O$2,'файл остатки'!$A$5:$A$228,0),MATCH(C57,'файл остатки'!$A$5:$DK$5,0))</f>
        <v>1250.9066666666665</v>
      </c>
      <c r="F57" s="477">
        <v>-330</v>
      </c>
      <c r="I57" s="325"/>
      <c r="J57" s="325"/>
      <c r="K57" s="325"/>
      <c r="L57" s="174"/>
    </row>
    <row r="58" spans="1:12" s="66" customFormat="1" ht="28.5" customHeight="1">
      <c r="A58" s="142"/>
      <c r="B58" s="142"/>
      <c r="C58" s="478"/>
      <c r="D58" s="142"/>
      <c r="E58" s="142"/>
      <c r="F58" s="477">
        <f>D58</f>
        <v>0</v>
      </c>
      <c r="I58" s="325"/>
      <c r="J58" s="325"/>
      <c r="K58" s="325"/>
      <c r="L58" s="174"/>
    </row>
    <row r="59" spans="1:12" s="66" customFormat="1" ht="27.75" customHeight="1">
      <c r="A59" s="325"/>
      <c r="B59" s="325"/>
      <c r="C59" s="325"/>
      <c r="D59" s="325"/>
      <c r="E59" s="325"/>
      <c r="F59" s="325"/>
      <c r="I59" s="325"/>
      <c r="J59" s="325"/>
      <c r="K59" s="325"/>
      <c r="L59" s="174"/>
    </row>
    <row r="60" spans="1:12" ht="24" customHeight="1">
      <c r="D60" s="66"/>
      <c r="G60" s="66"/>
      <c r="L60" s="93"/>
    </row>
    <row r="61" spans="1:12" ht="24" customHeight="1">
      <c r="A61" s="1968" t="s">
        <v>83</v>
      </c>
      <c r="B61" s="140"/>
      <c r="C61" s="290"/>
      <c r="D61" s="140"/>
      <c r="E61" s="167"/>
      <c r="F61" s="175">
        <f t="shared" ref="F61" si="6">D61</f>
        <v>0</v>
      </c>
      <c r="G61" s="66"/>
      <c r="H61" s="144"/>
    </row>
    <row r="62" spans="1:12" ht="24" customHeight="1">
      <c r="A62" s="1969"/>
      <c r="B62" s="140" t="s">
        <v>19</v>
      </c>
      <c r="C62" s="290" t="s">
        <v>426</v>
      </c>
      <c r="D62" s="140">
        <f>INDEX('файл остатки'!$A$5:$DK$265,MATCH($O$1,'файл остатки'!$A$5:$A$228,0),MATCH(C62,'файл остатки'!$A$5:$DK$5,0))</f>
        <v>-1034.08</v>
      </c>
      <c r="E62" s="167">
        <f>INDEX('файл остатки'!$A$5:$DK$265,MATCH($O$2,'файл остатки'!$A$5:$A$228,0),MATCH(C62,'файл остатки'!$A$5:$DK$5,0))</f>
        <v>2387.4438095238097</v>
      </c>
      <c r="F62" s="175">
        <v>-902</v>
      </c>
      <c r="G62" s="66"/>
      <c r="H62" s="144"/>
      <c r="I62" s="1954"/>
      <c r="J62" s="1955"/>
      <c r="K62" s="140" t="s">
        <v>185</v>
      </c>
      <c r="L62" s="140" t="s">
        <v>186</v>
      </c>
    </row>
    <row r="63" spans="1:12" ht="24" customHeight="1">
      <c r="A63" s="1969"/>
      <c r="B63" s="140" t="s">
        <v>20</v>
      </c>
      <c r="C63" s="290" t="s">
        <v>438</v>
      </c>
      <c r="D63" s="140">
        <f>INDEX('файл остатки'!$A$5:$DK$265,MATCH($O$1,'файл остатки'!$A$5:$A$228,0),MATCH(C63,'файл остатки'!$A$5:$DK$5,0))</f>
        <v>-239.2</v>
      </c>
      <c r="E63" s="167">
        <f>INDEX('файл остатки'!$A$5:$DK$265,MATCH($O$2,'файл остатки'!$A$5:$A$228,0),MATCH(C63,'файл остатки'!$A$5:$DK$5,0))</f>
        <v>596.90476190476193</v>
      </c>
      <c r="F63" s="175">
        <v>-300</v>
      </c>
      <c r="G63" s="66"/>
      <c r="H63" s="144"/>
      <c r="I63" s="1954" t="s">
        <v>220</v>
      </c>
      <c r="J63" s="1955"/>
      <c r="K63" s="140">
        <f>-(F61+F62+F71)/K67</f>
        <v>1.6329411764705883</v>
      </c>
      <c r="L63" s="140">
        <v>1</v>
      </c>
    </row>
    <row r="64" spans="1:12" ht="24" customHeight="1">
      <c r="A64" s="1969"/>
      <c r="B64" s="140" t="s">
        <v>753</v>
      </c>
      <c r="C64" s="290" t="s">
        <v>846</v>
      </c>
      <c r="D64" s="140">
        <f>INDEX('файл остатки'!$A$5:$DK$265,MATCH($O$1,'файл остатки'!$A$5:$A$228,0),MATCH(C64,'файл остатки'!$A$5:$DK$5,0))</f>
        <v>-941.40000000000009</v>
      </c>
      <c r="E64" s="1768">
        <f>INDEX('файл остатки'!$A$5:$DK$265,MATCH($O$2,'файл остатки'!$A$5:$A$228,0),MATCH(C64,'файл остатки'!$A$5:$DK$5,0))</f>
        <v>0</v>
      </c>
      <c r="F64" s="175">
        <v>-268</v>
      </c>
      <c r="G64" s="66"/>
      <c r="H64" s="144"/>
      <c r="I64" s="1954" t="s">
        <v>196</v>
      </c>
      <c r="J64" s="1955"/>
      <c r="K64" s="140">
        <f>-(F63+F64+F73+F74+F70)/K67</f>
        <v>1.2621176470588236</v>
      </c>
      <c r="L64" s="140">
        <v>1</v>
      </c>
    </row>
    <row r="65" spans="1:12" ht="24" customHeight="1">
      <c r="A65" s="1969"/>
      <c r="B65" s="1740" t="s">
        <v>293</v>
      </c>
      <c r="C65" s="1740" t="s">
        <v>818</v>
      </c>
      <c r="D65" s="140">
        <f>INDEX('файл остатки'!$A$5:$DK$265,MATCH($O$1,'файл остатки'!$A$5:$A$228,0),MATCH(C65,'файл остатки'!$A$5:$DK$5,0))</f>
        <v>-147.84000000000003</v>
      </c>
      <c r="E65" s="1733">
        <f>INDEX('файл остатки'!$A$5:$DK$265,MATCH($O$2,'файл остатки'!$A$5:$A$228,0),MATCH(C65,'файл остатки'!$A$5:$DK$5,0))</f>
        <v>0.21333333333333335</v>
      </c>
      <c r="F65" s="175">
        <v>-36</v>
      </c>
      <c r="G65" s="66"/>
      <c r="H65" s="144"/>
      <c r="I65" s="1954" t="s">
        <v>197</v>
      </c>
      <c r="J65" s="1955"/>
      <c r="K65" s="140">
        <f>-(F65+F66+F67)/K67</f>
        <v>4.2776470588235291</v>
      </c>
      <c r="L65" s="140">
        <v>5</v>
      </c>
    </row>
    <row r="66" spans="1:12" ht="24" customHeight="1">
      <c r="A66" s="1969"/>
      <c r="B66" s="140" t="s">
        <v>19</v>
      </c>
      <c r="C66" s="324" t="s">
        <v>474</v>
      </c>
      <c r="D66" s="140">
        <f>INDEX('файл остатки'!$A$5:$DK$265,MATCH($O$1,'файл остатки'!$A$5:$A$228,0),MATCH(C66,'файл остатки'!$A$5:$DK$5,0))</f>
        <v>-201.6</v>
      </c>
      <c r="E66" s="167"/>
      <c r="F66" s="175"/>
      <c r="G66" s="66"/>
      <c r="H66" s="144"/>
      <c r="I66" s="1954" t="s">
        <v>328</v>
      </c>
      <c r="J66" s="1955"/>
      <c r="K66" s="140">
        <f>-(F68+F69)/K67</f>
        <v>1.3247058823529412</v>
      </c>
      <c r="L66" s="140">
        <v>2</v>
      </c>
    </row>
    <row r="67" spans="1:12" ht="24" customHeight="1">
      <c r="A67" s="1969"/>
      <c r="B67" s="140" t="s">
        <v>20</v>
      </c>
      <c r="C67" s="324" t="s">
        <v>428</v>
      </c>
      <c r="D67" s="140">
        <f>INDEX('файл остатки'!$A$5:$DK$265,MATCH($O$1,'файл остатки'!$A$5:$A$228,0),MATCH(C67,'файл остатки'!$A$5:$DK$5,0))</f>
        <v>-4637.2000000000007</v>
      </c>
      <c r="E67" s="167">
        <f>INDEX('файл остатки'!$A$5:$DK$265,MATCH($O$2,'файл остатки'!$A$5:$A$228,0),MATCH(C67,'файл остатки'!$A$5:$DK$5,0))</f>
        <v>4801.1428571428569</v>
      </c>
      <c r="F67" s="175">
        <v>-3600</v>
      </c>
      <c r="G67" s="66"/>
      <c r="H67" s="144"/>
      <c r="I67" s="1944" t="s">
        <v>187</v>
      </c>
      <c r="J67" s="1945"/>
      <c r="K67" s="98">
        <v>850</v>
      </c>
    </row>
    <row r="68" spans="1:12" s="66" customFormat="1" ht="24" customHeight="1">
      <c r="A68" s="1969"/>
      <c r="B68" s="140"/>
      <c r="C68" s="1580" t="s">
        <v>784</v>
      </c>
      <c r="D68" s="140">
        <f>INDEX('файл остатки'!$A$5:$DK$265,MATCH($O$1,'файл остатки'!$A$5:$A$228,0),MATCH(C68,'файл остатки'!$A$5:$DK$5,0))</f>
        <v>-96</v>
      </c>
      <c r="E68" s="1579">
        <f>INDEX('файл остатки'!$A$5:$DK$265,MATCH($O$2,'файл остатки'!$A$5:$A$228,0),MATCH(C68,'файл остатки'!$A$5:$DK$5,0))</f>
        <v>1424.5523809523809</v>
      </c>
      <c r="F68" s="175">
        <v>-300</v>
      </c>
      <c r="H68" s="144"/>
      <c r="I68" s="325"/>
      <c r="J68" s="325"/>
      <c r="K68" s="325"/>
    </row>
    <row r="69" spans="1:12" ht="24" customHeight="1">
      <c r="A69" s="1969"/>
      <c r="B69" s="140" t="s">
        <v>20</v>
      </c>
      <c r="C69" s="290" t="s">
        <v>468</v>
      </c>
      <c r="D69" s="140">
        <f>INDEX('файл остатки'!$A$5:$DK$265,MATCH($O$1,'файл остатки'!$A$5:$A$228,0),MATCH(C69,'файл остатки'!$A$5:$DK$5,0))</f>
        <v>-1324.8</v>
      </c>
      <c r="E69" s="167"/>
      <c r="F69" s="175">
        <v>-826</v>
      </c>
      <c r="G69" s="66"/>
      <c r="H69" s="144"/>
    </row>
    <row r="70" spans="1:12" s="66" customFormat="1" ht="24" customHeight="1">
      <c r="A70" s="1969"/>
      <c r="B70" s="290" t="s">
        <v>294</v>
      </c>
      <c r="C70" s="290" t="s">
        <v>390</v>
      </c>
      <c r="D70" s="140">
        <f>INDEX('файл остатки'!$A$5:$DK$265,MATCH($O$1,'файл остатки'!$A$5:$A$228,0),MATCH(C70,'файл остатки'!$A$5:$DK$5,0))</f>
        <v>-4.7999999999999545</v>
      </c>
      <c r="E70" s="375">
        <f>INDEX('файл остатки'!$A$5:$DK$265,MATCH($O$2,'файл остатки'!$A$5:$A$228,0),MATCH(C70,'файл остатки'!$A$5:$DK$5,0))</f>
        <v>510.45714285714286</v>
      </c>
      <c r="F70" s="175">
        <v>-4.8</v>
      </c>
      <c r="H70" s="144"/>
    </row>
    <row r="71" spans="1:12" ht="24" customHeight="1">
      <c r="A71" s="1969"/>
      <c r="B71" s="141" t="s">
        <v>19</v>
      </c>
      <c r="C71" s="291" t="s">
        <v>304</v>
      </c>
      <c r="D71" s="140">
        <f>INDEX('файл остатки'!$A$5:$DK$265,MATCH($O$1,'файл остатки'!$A$5:$A$228,0),MATCH(C71,'файл остатки'!$A$5:$DK$5,0))</f>
        <v>-1890</v>
      </c>
      <c r="E71" s="167">
        <f>INDEX('файл остатки'!$A$5:$DK$265,MATCH($O$2,'файл остатки'!$A$5:$A$228,0),MATCH(C71,'файл остатки'!$A$5:$DK$5,0))</f>
        <v>609.14285714285711</v>
      </c>
      <c r="F71" s="175">
        <v>-486</v>
      </c>
      <c r="G71" s="66"/>
      <c r="H71" s="144"/>
    </row>
    <row r="72" spans="1:12" s="66" customFormat="1" ht="24" customHeight="1">
      <c r="A72" s="1969"/>
      <c r="B72" s="291" t="s">
        <v>19</v>
      </c>
      <c r="C72" s="291" t="s">
        <v>421</v>
      </c>
      <c r="D72" s="140">
        <f>INDEX('файл остатки'!$A$5:$DK$265,MATCH($O$1,'файл остатки'!$A$5:$A$228,0),MATCH(C72,'файл остатки'!$A$5:$DK$5,0))</f>
        <v>-3.5999999999999996</v>
      </c>
      <c r="E72" s="375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69"/>
      <c r="B73" s="140"/>
      <c r="C73" s="292"/>
      <c r="D73" s="140"/>
      <c r="E73" s="167"/>
      <c r="F73" s="175"/>
      <c r="G73" s="66"/>
      <c r="H73" s="144"/>
    </row>
    <row r="74" spans="1:12" ht="24" customHeight="1">
      <c r="A74" s="1969"/>
      <c r="B74" s="140" t="s">
        <v>174</v>
      </c>
      <c r="C74" s="292" t="s">
        <v>175</v>
      </c>
      <c r="D74" s="140">
        <f>INDEX('файл остатки'!$A$5:$DK$265,MATCH($O$1,'файл остатки'!$A$5:$A$228,0),MATCH(C74,'файл остатки'!$A$5:$DK$5,0))</f>
        <v>-634.80000000000007</v>
      </c>
      <c r="E74" s="167">
        <f>INDEX('файл остатки'!$A$5:$DK$265,MATCH($O$2,'файл остатки'!$A$5:$A$228,0),MATCH(C74,'файл остатки'!$A$5:$DK$5,0))</f>
        <v>679.07428571428557</v>
      </c>
      <c r="F74" s="175">
        <v>-500</v>
      </c>
      <c r="G74" s="66"/>
      <c r="H74" s="144"/>
    </row>
    <row r="75" spans="1:12" s="66" customFormat="1" ht="24" customHeight="1">
      <c r="A75" s="1970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76" t="s">
        <v>89</v>
      </c>
      <c r="B77" s="143"/>
      <c r="C77" s="288"/>
      <c r="D77" s="143"/>
      <c r="E77" s="143"/>
      <c r="F77" s="176"/>
    </row>
    <row r="78" spans="1:12" s="66" customFormat="1" ht="24" customHeight="1">
      <c r="A78" s="1977"/>
      <c r="B78" s="143" t="s">
        <v>19</v>
      </c>
      <c r="C78" s="288" t="s">
        <v>429</v>
      </c>
      <c r="D78" s="143">
        <f>INDEX('файл остатки'!$A$5:$DK$265,MATCH($O$1,'файл остатки'!$A$5:$A$228,0),MATCH(C78,'файл остатки'!$A$5:$DK$5,0))</f>
        <v>796.6400000000001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77"/>
      <c r="B79" s="143" t="s">
        <v>19</v>
      </c>
      <c r="C79" s="293" t="s">
        <v>305</v>
      </c>
      <c r="D79" s="143">
        <f>INDEX('файл остатки'!$A$5:$DK$265,MATCH($O$1,'файл остатки'!$A$5:$A$228,0),MATCH(C79,'файл остатки'!$A$5:$DK$5,0))</f>
        <v>-46.699999999999996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77"/>
      <c r="B80" s="143" t="s">
        <v>19</v>
      </c>
      <c r="C80" s="294" t="s">
        <v>306</v>
      </c>
      <c r="D80" s="143">
        <f>INDEX('файл остатки'!$A$5:$DK$265,MATCH($O$1,'файл остатки'!$A$5:$A$228,0),MATCH(C80,'файл остатки'!$A$5:$DK$5,0))</f>
        <v>-7.8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77"/>
      <c r="B81" s="143" t="s">
        <v>19</v>
      </c>
      <c r="C81" s="530" t="s">
        <v>775</v>
      </c>
      <c r="D81" s="143">
        <f>INDEX('файл остатки'!$A$5:$DK$265,MATCH($O$1,'файл остатки'!$A$5:$A$228,0),MATCH(C81,'файл остатки'!$A$5:$DK$5,0))</f>
        <v>-59.5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78"/>
      <c r="B82" s="143" t="s">
        <v>19</v>
      </c>
      <c r="C82" s="295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7">D82</f>
        <v>0</v>
      </c>
      <c r="G82" s="66"/>
      <c r="I82" s="1956"/>
      <c r="J82" s="1957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56" t="s">
        <v>217</v>
      </c>
      <c r="J83" s="1957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8">D84</f>
        <v>0</v>
      </c>
      <c r="G84" s="66"/>
      <c r="I84" s="1937" t="s">
        <v>187</v>
      </c>
      <c r="J84" s="1937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32" t="s">
        <v>80</v>
      </c>
      <c r="B85" s="475" t="s">
        <v>46</v>
      </c>
      <c r="C85" s="320" t="s">
        <v>124</v>
      </c>
      <c r="D85" s="475">
        <f>INDEX('файл остатки'!$A$5:$DK$265,MATCH($O$1,'файл остатки'!$A$5:$A$228,0),MATCH(C85,'файл остатки'!$A$5:$DK$5,0))</f>
        <v>-220.20000000000005</v>
      </c>
      <c r="E85" s="475">
        <f>INDEX('файл остатки'!$A$5:$DK$265,MATCH($O$2,'файл остатки'!$A$5:$A$228,0),MATCH(C85,'файл остатки'!$A$5:$DK$5,0))</f>
        <v>777.31076190476199</v>
      </c>
      <c r="F85" s="1795"/>
      <c r="G85" s="66"/>
      <c r="O85" s="264" t="s">
        <v>121</v>
      </c>
      <c r="P85" s="264" t="e">
        <f>INDEX('файл остатки'!$A$5:$CX$265,MATCH($O$84,'файл остатки'!$A$5:$A$228,0),MATCH(O85,'файл остатки'!$A$5:$CX$5,0))</f>
        <v>#N/A</v>
      </c>
      <c r="Q85" s="66"/>
      <c r="R85" s="265">
        <v>1</v>
      </c>
      <c r="S85" s="263" t="s">
        <v>258</v>
      </c>
    </row>
    <row r="86" spans="1:19" ht="24" customHeight="1">
      <c r="A86" s="1933"/>
      <c r="B86" s="475" t="s">
        <v>46</v>
      </c>
      <c r="C86" s="320" t="s">
        <v>131</v>
      </c>
      <c r="D86" s="475">
        <f>INDEX('файл остатки'!$A$5:$DK$265,MATCH($O$1,'файл остатки'!$A$5:$A$228,0),MATCH(C86,'файл остатки'!$A$5:$DK$5,0))</f>
        <v>-90</v>
      </c>
      <c r="E86" s="475">
        <f>INDEX('файл остатки'!$A$5:$DK$265,MATCH($O$2,'файл остатки'!$A$5:$A$228,0),MATCH(C86,'файл остатки'!$A$5:$DK$5,0))</f>
        <v>55.08790476190476</v>
      </c>
      <c r="F86" s="1795"/>
      <c r="G86" s="66"/>
      <c r="I86" s="1946"/>
      <c r="J86" s="1947"/>
      <c r="K86" s="181" t="s">
        <v>185</v>
      </c>
      <c r="L86" s="181" t="s">
        <v>186</v>
      </c>
      <c r="O86" s="264" t="s">
        <v>95</v>
      </c>
      <c r="P86" s="264" t="e">
        <f>INDEX('файл остатки'!$A$5:$CX$265,MATCH($O$84,'файл остатки'!$A$5:$A$228,0),MATCH(O86,'файл остатки'!$A$5:$CX$5,0))</f>
        <v>#N/A</v>
      </c>
      <c r="Q86" s="66"/>
      <c r="R86" s="265">
        <v>0.66</v>
      </c>
      <c r="S86" s="263" t="s">
        <v>259</v>
      </c>
    </row>
    <row r="87" spans="1:19" ht="24" customHeight="1">
      <c r="A87" s="1933"/>
      <c r="B87" s="475" t="s">
        <v>46</v>
      </c>
      <c r="C87" s="320" t="s">
        <v>297</v>
      </c>
      <c r="D87" s="475">
        <f>INDEX('файл остатки'!$A$5:$DK$265,MATCH($O$1,'файл остатки'!$A$5:$A$228,0),MATCH(C87,'файл остатки'!$A$5:$DK$5,0))</f>
        <v>-852</v>
      </c>
      <c r="E87" s="475">
        <f>INDEX('файл остатки'!$A$5:$DK$265,MATCH($O$2,'файл остатки'!$A$5:$A$228,0),MATCH(C87,'файл остатки'!$A$5:$DK$5,0))</f>
        <v>592.55361904761901</v>
      </c>
      <c r="F87" s="1795"/>
      <c r="G87" s="66"/>
      <c r="I87" s="1946" t="s">
        <v>184</v>
      </c>
      <c r="J87" s="1947"/>
      <c r="K87" s="181">
        <f>-(F85+F86+F87+F88+F89+F90+F91+F92+F94+F95+F96+F97+F101+F98+F99+F100)/K88</f>
        <v>0</v>
      </c>
      <c r="L87" s="181"/>
      <c r="O87" s="264" t="s">
        <v>94</v>
      </c>
      <c r="P87" s="264" t="e">
        <f>INDEX('файл остатки'!$A$5:$CX$265,MATCH($O$84,'файл остатки'!$A$5:$A$228,0),MATCH(O87,'файл остатки'!$A$5:$CX$5,0))</f>
        <v>#N/A</v>
      </c>
      <c r="Q87" s="66"/>
      <c r="R87" s="265">
        <v>0.61</v>
      </c>
      <c r="S87" s="263" t="s">
        <v>260</v>
      </c>
    </row>
    <row r="88" spans="1:19" ht="24" customHeight="1">
      <c r="A88" s="1933"/>
      <c r="B88" s="475" t="s">
        <v>46</v>
      </c>
      <c r="C88" s="320" t="s">
        <v>164</v>
      </c>
      <c r="D88" s="475">
        <f>INDEX('файл остатки'!$A$5:$DK$265,MATCH($O$1,'файл остатки'!$A$5:$A$228,0),MATCH(C88,'файл остатки'!$A$5:$DK$5,0))</f>
        <v>-189</v>
      </c>
      <c r="E88" s="475">
        <f>INDEX('файл остатки'!$A$5:$DK$265,MATCH($O$2,'файл остатки'!$A$5:$A$228,0),MATCH(C88,'файл остатки'!$A$5:$DK$5,0))</f>
        <v>92.359904761904758</v>
      </c>
      <c r="F88" s="1795"/>
      <c r="G88" s="66"/>
      <c r="I88" s="1937" t="s">
        <v>187</v>
      </c>
      <c r="J88" s="1937"/>
      <c r="K88" s="180">
        <v>65</v>
      </c>
      <c r="L88" s="174"/>
      <c r="O88" s="264" t="s">
        <v>33</v>
      </c>
      <c r="P88" s="264" t="e">
        <f>INDEX('файл остатки'!$A$5:$CX$265,MATCH($O$84,'файл остатки'!$A$5:$A$228,0),MATCH(O88,'файл остатки'!$A$5:$CX$5,0))</f>
        <v>#N/A</v>
      </c>
      <c r="Q88" s="66"/>
      <c r="R88" s="265">
        <v>0.51</v>
      </c>
      <c r="S88" s="263" t="s">
        <v>261</v>
      </c>
    </row>
    <row r="89" spans="1:19" ht="24" customHeight="1">
      <c r="A89" s="1933"/>
      <c r="B89" s="475" t="s">
        <v>46</v>
      </c>
      <c r="C89" s="320" t="s">
        <v>106</v>
      </c>
      <c r="D89" s="475">
        <f>INDEX('файл остатки'!$A$5:$DK$265,MATCH($O$1,'файл остатки'!$A$5:$A$228,0),MATCH(C89,'файл остатки'!$A$5:$DK$5,0))</f>
        <v>-840.6400000000001</v>
      </c>
      <c r="E89" s="475">
        <f>INDEX('файл остатки'!$A$5:$DK$265,MATCH($O$2,'файл остатки'!$A$5:$A$228,0),MATCH(C89,'файл остатки'!$A$5:$DK$5,0))</f>
        <v>614.37619047619057</v>
      </c>
      <c r="F89" s="1795"/>
      <c r="G89" s="66"/>
      <c r="I89" s="66"/>
      <c r="J89" s="66"/>
      <c r="K89" s="66"/>
      <c r="L89" s="66"/>
      <c r="O89" s="264" t="s">
        <v>140</v>
      </c>
      <c r="P89" s="264" t="e">
        <f>INDEX('файл остатки'!$A$5:$CX$265,MATCH($O$84,'файл остатки'!$A$5:$A$228,0),MATCH(O89,'файл остатки'!$A$5:$CX$5,0))</f>
        <v>#N/A</v>
      </c>
      <c r="Q89" s="66"/>
      <c r="R89" s="265">
        <v>0.41</v>
      </c>
      <c r="S89" s="263" t="s">
        <v>262</v>
      </c>
    </row>
    <row r="90" spans="1:19" ht="24" customHeight="1">
      <c r="A90" s="1933"/>
      <c r="B90" s="313" t="s">
        <v>88</v>
      </c>
      <c r="C90" s="320" t="s">
        <v>298</v>
      </c>
      <c r="D90" s="475">
        <f>INDEX('файл остатки'!$A$5:$DK$265,MATCH($O$1,'файл остатки'!$A$5:$A$228,0),MATCH(C90,'файл остатки'!$A$5:$DK$5,0))</f>
        <v>-36</v>
      </c>
      <c r="E90" s="475">
        <f>INDEX('файл остатки'!$A$5:$DK$265,MATCH($O$2,'файл остатки'!$A$5:$A$228,0),MATCH(C90,'файл остатки'!$A$5:$DK$5,0))</f>
        <v>35.428571428571431</v>
      </c>
      <c r="F90" s="1795"/>
      <c r="G90" s="66"/>
      <c r="I90" s="1974" t="s">
        <v>264</v>
      </c>
      <c r="J90" s="1974"/>
      <c r="K90" s="1974" t="s">
        <v>265</v>
      </c>
      <c r="L90" s="1974"/>
      <c r="O90" s="264" t="s">
        <v>87</v>
      </c>
      <c r="P90" s="264" t="e">
        <f>INDEX('файл остатки'!$A$5:$CX$265,MATCH($O$84,'файл остатки'!$A$5:$A$228,0),MATCH(O90,'файл остатки'!$A$5:$CX$5,0))</f>
        <v>#N/A</v>
      </c>
      <c r="Q90" s="66"/>
      <c r="R90" s="265">
        <v>0.31</v>
      </c>
      <c r="S90" s="263" t="s">
        <v>263</v>
      </c>
    </row>
    <row r="91" spans="1:19" ht="24" customHeight="1">
      <c r="A91" s="1933"/>
      <c r="B91" s="475" t="s">
        <v>46</v>
      </c>
      <c r="C91" s="320" t="s">
        <v>107</v>
      </c>
      <c r="D91" s="475">
        <f>INDEX('файл остатки'!$A$5:$DK$265,MATCH($O$1,'файл остатки'!$A$5:$A$228,0),MATCH(C91,'файл остатки'!$A$5:$DK$5,0))</f>
        <v>-53</v>
      </c>
      <c r="E91" s="475">
        <f>INDEX('файл остатки'!$A$5:$DK$265,MATCH($O$2,'файл остатки'!$A$5:$A$228,0),MATCH(C91,'файл остатки'!$A$5:$DK$5,0))</f>
        <v>231.44066666666671</v>
      </c>
      <c r="F91" s="1795"/>
      <c r="G91" s="66"/>
      <c r="I91" s="1974">
        <f>-(F89)</f>
        <v>0</v>
      </c>
      <c r="J91" s="1974"/>
      <c r="K91" s="1975" t="e">
        <f>-I91/SUM(F85:F102)</f>
        <v>#DIV/0!</v>
      </c>
      <c r="L91" s="1975"/>
      <c r="O91" s="264" t="s">
        <v>124</v>
      </c>
      <c r="P91" s="264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33"/>
      <c r="B92" s="1748" t="s">
        <v>293</v>
      </c>
      <c r="C92" s="1749" t="s">
        <v>815</v>
      </c>
      <c r="D92" s="1742">
        <f>INDEX('файл остатки'!$A$5:$DK$265,MATCH($O$1,'файл остатки'!$A$5:$A$228,0),MATCH(C92,'файл остатки'!$A$5:$DK$5,0))</f>
        <v>-150.96</v>
      </c>
      <c r="E92" s="1742">
        <f>INDEX('файл остатки'!$A$5:$DK$265,MATCH($O$2,'файл остатки'!$A$5:$A$228,0),MATCH(C92,'файл остатки'!$A$5:$DK$5,0))</f>
        <v>0</v>
      </c>
      <c r="F92" s="1795"/>
      <c r="G92" s="66"/>
      <c r="I92" s="1971" t="e">
        <f>INDEX(R85:S90,IF($K$91&lt;$R$90,6,IF($K$91&lt;$R$89,5,IF($K$91&lt;$R$88,4,IF($K$91&lt;$R$87,3,IF($K$91&lt;$R$86,2,1))))),2)</f>
        <v>#DIV/0!</v>
      </c>
      <c r="J92" s="1972"/>
      <c r="K92" s="1972"/>
      <c r="L92" s="1973"/>
      <c r="O92" s="264" t="s">
        <v>131</v>
      </c>
      <c r="P92" s="264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33"/>
      <c r="B93" s="1742" t="s">
        <v>46</v>
      </c>
      <c r="C93" s="320" t="s">
        <v>299</v>
      </c>
      <c r="D93" s="1742">
        <f>INDEX('файл остатки'!$A$5:$DK$265,MATCH($O$1,'файл остатки'!$A$5:$A$228,0),MATCH(C93,'файл остатки'!$A$5:$DK$5,0))</f>
        <v>-622.16000000000008</v>
      </c>
      <c r="E93" s="1742">
        <f>INDEX('файл остатки'!$A$5:$DK$265,MATCH($O$2,'файл остатки'!$A$5:$A$228,0),MATCH(C93,'файл остатки'!$A$5:$DK$5,0))</f>
        <v>461.70666666666665</v>
      </c>
      <c r="F93" s="1795"/>
      <c r="I93" s="326"/>
      <c r="J93" s="326"/>
      <c r="K93" s="326"/>
      <c r="L93" s="326"/>
      <c r="O93" s="1742"/>
      <c r="P93" s="1742"/>
    </row>
    <row r="94" spans="1:19" ht="24" customHeight="1">
      <c r="A94" s="1933"/>
      <c r="B94" s="475" t="s">
        <v>46</v>
      </c>
      <c r="C94" s="320" t="s">
        <v>406</v>
      </c>
      <c r="D94" s="475">
        <f>INDEX('файл остатки'!$A$5:$DK$265,MATCH($O$1,'файл остатки'!$A$5:$A$228,0),MATCH(C94,'файл остатки'!$A$5:$DK$5,0))</f>
        <v>-2016</v>
      </c>
      <c r="E94" s="475">
        <f>INDEX('файл остатки'!$A$5:$DK$265,MATCH($O$2,'файл остатки'!$A$5:$A$228,0),MATCH(C94,'файл остатки'!$A$5:$DK$5,0))</f>
        <v>84.782095238095238</v>
      </c>
      <c r="F94" s="1795"/>
      <c r="G94" s="66"/>
      <c r="I94" s="66"/>
      <c r="J94" s="66"/>
      <c r="K94" s="66"/>
      <c r="L94" s="66"/>
      <c r="O94" s="264" t="s">
        <v>132</v>
      </c>
      <c r="P94" s="264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33"/>
      <c r="B95" s="475" t="s">
        <v>46</v>
      </c>
      <c r="C95" s="320" t="s">
        <v>300</v>
      </c>
      <c r="D95" s="475">
        <f>INDEX('файл остатки'!$A$5:$DK$265,MATCH($O$1,'файл остатки'!$A$5:$A$228,0),MATCH(C95,'файл остатки'!$A$5:$DK$5,0))</f>
        <v>-41.88</v>
      </c>
      <c r="E95" s="475">
        <f>INDEX('файл остатки'!$A$5:$DK$265,MATCH($O$2,'файл остатки'!$A$5:$A$228,0),MATCH(C95,'файл остатки'!$A$5:$DK$5,0))</f>
        <v>97.155428571428573</v>
      </c>
      <c r="F95" s="1795"/>
      <c r="G95" s="66"/>
      <c r="I95" s="1974" t="s">
        <v>266</v>
      </c>
      <c r="J95" s="1974"/>
      <c r="K95" s="1974" t="s">
        <v>267</v>
      </c>
      <c r="L95" s="1974"/>
      <c r="O95" s="264" t="s">
        <v>164</v>
      </c>
      <c r="P95" s="264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33"/>
      <c r="B96" s="475" t="s">
        <v>46</v>
      </c>
      <c r="C96" s="475" t="s">
        <v>422</v>
      </c>
      <c r="D96" s="519">
        <f>INDEX('файл остатки'!$A$5:$DK$265,MATCH($O$1,'файл остатки'!$A$5:$A$228,0),MATCH(C96,'файл остатки'!$A$5:$DK$5,0))</f>
        <v>0</v>
      </c>
      <c r="E96" s="519">
        <f>INDEX('файл остатки'!$A$5:$DK$265,MATCH($O$2,'файл остатки'!$A$5:$A$228,0),MATCH(C96,'файл остатки'!$A$5:$DK$5,0))</f>
        <v>0</v>
      </c>
      <c r="F96" s="1795"/>
      <c r="G96" s="66"/>
      <c r="I96" s="1974" t="e">
        <f>(P88+P90+P96)</f>
        <v>#N/A</v>
      </c>
      <c r="J96" s="1974"/>
      <c r="K96" s="1975" t="e">
        <f>I96/SUM(P85:P102)</f>
        <v>#N/A</v>
      </c>
      <c r="L96" s="1975"/>
      <c r="O96" s="264" t="s">
        <v>106</v>
      </c>
      <c r="P96" s="264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33"/>
      <c r="B97" s="519" t="s">
        <v>19</v>
      </c>
      <c r="C97" s="519" t="s">
        <v>482</v>
      </c>
      <c r="D97" s="519">
        <f>INDEX('файл остатки'!$A$5:$DK$265,MATCH($O$1,'файл остатки'!$A$5:$A$228,0),MATCH(C97,'файл остатки'!$A$5:$DK$5,0))</f>
        <v>-72.000000000000014</v>
      </c>
      <c r="E97" s="519">
        <f>INDEX('файл остатки'!$A$5:$DK$265,MATCH($O$2,'файл остатки'!$A$5:$A$228,0),MATCH(C97,'файл остатки'!$A$5:$DK$5,0))</f>
        <v>0</v>
      </c>
      <c r="F97" s="1795"/>
      <c r="G97" s="66"/>
      <c r="I97" s="1971" t="e">
        <f>INDEX(R85:S90,IF($K$96&lt;$R$90,6,IF($K$96&lt;$R$89,5,IF($K$96&lt;R88,4,IF($K$96&lt;$R$87,3,IF($K$96&lt;$R$86,2,1))))),2)</f>
        <v>#N/A</v>
      </c>
      <c r="J97" s="1972"/>
      <c r="K97" s="1972"/>
      <c r="L97" s="1973"/>
      <c r="O97" s="264" t="s">
        <v>154</v>
      </c>
      <c r="P97" s="264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33"/>
      <c r="B98" s="519" t="s">
        <v>19</v>
      </c>
      <c r="C98" s="519" t="s">
        <v>483</v>
      </c>
      <c r="D98" s="519">
        <f>INDEX('файл остатки'!$A$5:$DK$265,MATCH($O$1,'файл остатки'!$A$5:$A$228,0),MATCH(C98,'файл остатки'!$A$5:$DK$5,0))</f>
        <v>0</v>
      </c>
      <c r="E98" s="519">
        <f>INDEX('файл остатки'!$A$5:$DK$265,MATCH($O$2,'файл остатки'!$A$5:$A$228,0),MATCH(C98,'файл остатки'!$A$5:$DK$5,0))</f>
        <v>0</v>
      </c>
      <c r="F98" s="1795">
        <f t="shared" si="8"/>
        <v>0</v>
      </c>
      <c r="I98" s="326"/>
      <c r="J98" s="326"/>
      <c r="K98" s="326"/>
      <c r="L98" s="326"/>
      <c r="O98" s="282" t="s">
        <v>107</v>
      </c>
      <c r="P98" s="282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33"/>
      <c r="B99" s="475"/>
      <c r="C99" s="320"/>
      <c r="D99" s="475"/>
      <c r="E99" s="475"/>
      <c r="F99" s="524">
        <f t="shared" si="8"/>
        <v>0</v>
      </c>
      <c r="I99" s="326"/>
      <c r="J99" s="326"/>
      <c r="K99" s="326"/>
      <c r="L99" s="326"/>
    </row>
    <row r="100" spans="1:19" s="66" customFormat="1" ht="24" customHeight="1">
      <c r="I100" s="326"/>
      <c r="J100" s="326"/>
      <c r="K100" s="326"/>
      <c r="L100" s="326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6"/>
      <c r="B102" s="326"/>
      <c r="C102" s="326"/>
      <c r="D102" s="326"/>
      <c r="I102" s="1956"/>
      <c r="J102" s="1957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4" t="s">
        <v>19</v>
      </c>
      <c r="C103" s="321" t="s">
        <v>87</v>
      </c>
      <c r="D103" s="139">
        <f>INDEX('файл остатки'!$A$5:$DK$265,MATCH($O$1,'файл остатки'!$A$5:$A$228,0),MATCH(C103,'файл остатки'!$A$5:$DK$5,0))</f>
        <v>-156.88</v>
      </c>
      <c r="E103" s="139">
        <f>INDEX('файл остатки'!$A$5:$DK$265,MATCH($O$2,'файл остатки'!$A$5:$A$228,0),MATCH(C103,'файл остатки'!$A$5:$DK$5,0))</f>
        <v>165.79523809523809</v>
      </c>
      <c r="F103" s="139"/>
      <c r="G103" s="66"/>
      <c r="I103" s="1956" t="s">
        <v>208</v>
      </c>
      <c r="J103" s="1957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1" t="s">
        <v>162</v>
      </c>
      <c r="D104" s="139">
        <f>INDEX('файл остатки'!$A$5:$DK$265,MATCH($O$1,'файл остатки'!$A$5:$A$228,0),MATCH(C104,'файл остатки'!$A$5:$DK$5,0))</f>
        <v>-917.6</v>
      </c>
      <c r="E104" s="139">
        <f>INDEX('файл остатки'!$A$5:$DK$265,MATCH($O$2,'файл остатки'!$A$5:$A$228,0),MATCH(C104,'файл остатки'!$A$5:$DK$5,0))</f>
        <v>235.10857142857142</v>
      </c>
      <c r="F104" s="139"/>
      <c r="G104" s="66"/>
      <c r="I104" s="1937" t="s">
        <v>187</v>
      </c>
      <c r="J104" s="1937"/>
      <c r="K104" s="180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9">D105</f>
        <v>0</v>
      </c>
      <c r="I105" s="1956"/>
      <c r="J105" s="1957"/>
      <c r="K105" s="143" t="s">
        <v>185</v>
      </c>
      <c r="L105" s="143" t="s">
        <v>186</v>
      </c>
    </row>
    <row r="106" spans="1:19" ht="24" customHeight="1">
      <c r="A106" s="327"/>
      <c r="B106" s="327"/>
      <c r="C106" s="328"/>
      <c r="D106" s="272"/>
      <c r="E106" s="272"/>
      <c r="F106" s="139">
        <f t="shared" si="9"/>
        <v>0</v>
      </c>
      <c r="G106" s="66"/>
      <c r="I106" s="1956" t="s">
        <v>206</v>
      </c>
      <c r="J106" s="1957"/>
      <c r="K106" s="143">
        <f>-(F103+F104)/K107</f>
        <v>0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37" t="s">
        <v>187</v>
      </c>
      <c r="J107" s="1937"/>
      <c r="K107" s="281">
        <v>300</v>
      </c>
    </row>
    <row r="108" spans="1:19" s="66" customFormat="1" ht="24" customHeight="1">
      <c r="A108" s="1934" t="s">
        <v>16</v>
      </c>
      <c r="B108" s="284"/>
      <c r="C108" s="322"/>
      <c r="D108" s="284"/>
      <c r="E108" s="284"/>
      <c r="F108" s="151"/>
    </row>
    <row r="109" spans="1:19" s="66" customFormat="1" ht="24" customHeight="1">
      <c r="A109" s="1935"/>
      <c r="B109" s="284"/>
      <c r="C109" s="322"/>
      <c r="D109" s="284"/>
      <c r="E109" s="284"/>
      <c r="F109" s="151"/>
    </row>
    <row r="110" spans="1:19" s="66" customFormat="1" ht="24" customHeight="1">
      <c r="A110" s="1935"/>
      <c r="B110" s="284" t="s">
        <v>20</v>
      </c>
      <c r="C110" s="323" t="s">
        <v>155</v>
      </c>
      <c r="D110" s="284">
        <f>INDEX('файл остатки'!$A$5:$DK$265,MATCH($O$1,'файл остатки'!$A$5:$A$228,0),MATCH(C110,'файл остатки'!$A$5:$DK$5,0))</f>
        <v>-213.12</v>
      </c>
      <c r="E110" s="284">
        <f>INDEX('файл остатки'!$A$5:$DK$265,MATCH($O$2,'файл остатки'!$A$5:$A$228,0),MATCH(C110,'файл остатки'!$A$5:$DK$5,0))</f>
        <v>174.92190476190476</v>
      </c>
      <c r="F110" s="151"/>
    </row>
    <row r="111" spans="1:19" ht="24" customHeight="1">
      <c r="A111" s="1935"/>
      <c r="B111" s="149"/>
      <c r="C111" s="322"/>
      <c r="D111" s="284"/>
      <c r="E111" s="284"/>
      <c r="F111" s="151">
        <f t="shared" ref="F111:F112" si="10">D111</f>
        <v>0</v>
      </c>
      <c r="G111" s="66"/>
      <c r="I111" s="66"/>
      <c r="J111" s="66"/>
      <c r="K111" s="66"/>
      <c r="L111" s="174"/>
    </row>
    <row r="112" spans="1:19" ht="24" customHeight="1">
      <c r="A112" s="1936"/>
      <c r="B112" s="149"/>
      <c r="C112" s="323"/>
      <c r="D112" s="149"/>
      <c r="E112" s="149"/>
      <c r="F112" s="151">
        <f t="shared" si="10"/>
        <v>0</v>
      </c>
      <c r="G112" s="66"/>
      <c r="I112" s="1942"/>
      <c r="J112" s="1943"/>
      <c r="K112" s="284" t="s">
        <v>185</v>
      </c>
      <c r="L112" s="284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42" t="s">
        <v>276</v>
      </c>
      <c r="J113" s="1943"/>
      <c r="K113" s="284">
        <f>-(F108+F109+F111+F112+F110)/K114</f>
        <v>0</v>
      </c>
      <c r="L113" s="284"/>
    </row>
    <row r="114" spans="1:12" ht="24" customHeight="1">
      <c r="D114" s="66"/>
      <c r="G114" s="66"/>
      <c r="I114" s="1944" t="s">
        <v>187</v>
      </c>
      <c r="J114" s="1945"/>
      <c r="K114" s="525">
        <v>150</v>
      </c>
      <c r="L114" s="174"/>
    </row>
    <row r="115" spans="1:12" ht="24" customHeight="1">
      <c r="A115" s="1938" t="s">
        <v>16</v>
      </c>
      <c r="B115" s="150" t="s">
        <v>19</v>
      </c>
      <c r="C115" s="301" t="s">
        <v>312</v>
      </c>
      <c r="D115" s="149">
        <f>INDEX('файл остатки'!$A$5:$DK$265,MATCH($O$1,'файл остатки'!$A$5:$A$228,0),MATCH(C115,'файл остатки'!$A$5:$DK$5,0))</f>
        <v>-675.75</v>
      </c>
      <c r="E115" s="177">
        <f>INDEX('файл остатки'!$A$5:$DK$265,MATCH($O$2,'файл остатки'!$A$5:$A$228,0),MATCH(C115,'файл остатки'!$A$5:$DK$5,0))</f>
        <v>2237.8214285714284</v>
      </c>
      <c r="F115" s="151">
        <v>-4500</v>
      </c>
      <c r="G115" s="66"/>
    </row>
    <row r="116" spans="1:12" ht="24" customHeight="1">
      <c r="A116" s="1939"/>
      <c r="B116" s="150" t="s">
        <v>19</v>
      </c>
      <c r="C116" s="302" t="s">
        <v>313</v>
      </c>
      <c r="D116" s="284">
        <f>INDEX('файл остатки'!$A$5:$DK$265,MATCH($O$1,'файл остатки'!$A$5:$A$228,0),MATCH(C116,'файл остатки'!$A$5:$DK$5,0))</f>
        <v>489</v>
      </c>
      <c r="E116" s="280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39"/>
      <c r="B117" s="1754" t="s">
        <v>753</v>
      </c>
      <c r="C117" s="1754" t="s">
        <v>756</v>
      </c>
      <c r="D117" s="284">
        <f>INDEX('файл остатки'!$A$5:$DK$265,MATCH($O$1,'файл остатки'!$A$5:$A$228,0),MATCH(C117,'файл остатки'!$A$5:$DK$5,0))</f>
        <v>117.59999999999997</v>
      </c>
      <c r="E117" s="280">
        <f>INDEX('файл остатки'!$A$5:$DK$265,MATCH($O$2,'файл остатки'!$A$5:$A$228,0),MATCH(C117,'файл остатки'!$A$5:$DK$5,0))</f>
        <v>82.800000000000011</v>
      </c>
      <c r="F117" s="151">
        <v>-720</v>
      </c>
      <c r="G117" s="66"/>
      <c r="I117" s="66"/>
      <c r="J117" s="66"/>
      <c r="K117" s="66"/>
      <c r="L117" s="66"/>
    </row>
    <row r="118" spans="1:12" s="66" customFormat="1" ht="24" customHeight="1">
      <c r="A118" s="1939"/>
      <c r="B118" s="150" t="s">
        <v>19</v>
      </c>
      <c r="C118" s="303" t="s">
        <v>452</v>
      </c>
      <c r="D118" s="284">
        <f>INDEX('файл остатки'!$A$5:$DK$265,MATCH($O$1,'файл остатки'!$A$5:$A$228,0),MATCH(C118,'файл остатки'!$A$5:$DK$5,0))</f>
        <v>-73.080000000000013</v>
      </c>
      <c r="E118" s="480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39"/>
      <c r="B119" s="303"/>
      <c r="C119" s="303"/>
      <c r="D119" s="284"/>
      <c r="E119" s="480"/>
      <c r="F119" s="151"/>
    </row>
    <row r="120" spans="1:12" ht="24" customHeight="1">
      <c r="A120" s="1939"/>
      <c r="B120" s="150" t="s">
        <v>19</v>
      </c>
      <c r="C120" s="303" t="s">
        <v>417</v>
      </c>
      <c r="D120" s="284">
        <f>INDEX('файл остатки'!$A$5:$DK$265,MATCH($O$1,'файл остатки'!$A$5:$A$228,0),MATCH(C120,'файл остатки'!$A$5:$DK$5,0))</f>
        <v>-72.36</v>
      </c>
      <c r="E120" s="280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39"/>
      <c r="B121" s="150" t="s">
        <v>490</v>
      </c>
      <c r="C121" s="303" t="s">
        <v>489</v>
      </c>
      <c r="D121" s="284">
        <f>INDEX('файл остатки'!$A$5:$DK$265,MATCH($O$1,'файл остатки'!$A$5:$A$228,0),MATCH(C121,'файл остатки'!$A$5:$DK$5,0))</f>
        <v>-198</v>
      </c>
      <c r="E121" s="517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39"/>
      <c r="B122" s="150" t="s">
        <v>490</v>
      </c>
      <c r="C122" s="303" t="s">
        <v>488</v>
      </c>
      <c r="D122" s="284">
        <f>INDEX('файл остатки'!$A$5:$DK$265,MATCH($O$1,'файл остатки'!$A$5:$A$228,0),MATCH(C122,'файл остатки'!$A$5:$DK$5,0))</f>
        <v>36.200000000000017</v>
      </c>
      <c r="E122" s="517">
        <f>INDEX('файл остатки'!$A$5:$DK$265,MATCH($O$2,'файл остатки'!$A$5:$A$228,0),MATCH(C122,'файл остатки'!$A$5:$DK$5,0))</f>
        <v>563.25714285714298</v>
      </c>
      <c r="F122" s="151"/>
    </row>
    <row r="123" spans="1:12" s="66" customFormat="1" ht="24" customHeight="1">
      <c r="A123" s="1939"/>
      <c r="B123" s="150" t="s">
        <v>490</v>
      </c>
      <c r="C123" s="303" t="s">
        <v>487</v>
      </c>
      <c r="D123" s="284">
        <f>INDEX('файл остатки'!$A$5:$DK$265,MATCH($O$1,'файл остатки'!$A$5:$A$228,0),MATCH(C123,'файл остатки'!$A$5:$DK$5,0))</f>
        <v>-757.19999999999993</v>
      </c>
      <c r="E123" s="517">
        <f>INDEX('файл остатки'!$A$5:$DK$265,MATCH($O$2,'файл остатки'!$A$5:$A$228,0),MATCH(C123,'файл остатки'!$A$5:$DK$5,0))</f>
        <v>448.94285714285706</v>
      </c>
      <c r="F123" s="151"/>
    </row>
    <row r="124" spans="1:12" ht="24" customHeight="1">
      <c r="A124" s="1939"/>
      <c r="B124" s="149" t="s">
        <v>20</v>
      </c>
      <c r="C124" s="304" t="s">
        <v>314</v>
      </c>
      <c r="D124" s="284">
        <f>INDEX('файл остатки'!$A$5:$DK$265,MATCH($O$1,'файл остатки'!$A$5:$A$228,0),MATCH(C124,'файл остатки'!$A$5:$DK$5,0))</f>
        <v>5028</v>
      </c>
      <c r="E124" s="517">
        <f>INDEX('файл остатки'!$A$5:$DK$265,MATCH($O$2,'файл остатки'!$A$5:$A$228,0),MATCH(C124,'файл остатки'!$A$5:$DK$5,0))</f>
        <v>27928.71428571429</v>
      </c>
      <c r="F124" s="151"/>
      <c r="G124" s="66"/>
      <c r="I124" s="66"/>
      <c r="J124" s="66"/>
      <c r="K124" s="66"/>
      <c r="L124" s="66"/>
    </row>
    <row r="125" spans="1:12" ht="24" customHeight="1">
      <c r="A125" s="1939"/>
      <c r="B125" s="149" t="s">
        <v>20</v>
      </c>
      <c r="C125" s="304" t="s">
        <v>315</v>
      </c>
      <c r="D125" s="284">
        <f>INDEX('файл остатки'!$A$5:$DK$265,MATCH($O$1,'файл остатки'!$A$5:$A$228,0),MATCH(C125,'файл остатки'!$A$5:$DK$5,0))</f>
        <v>-10504.8</v>
      </c>
      <c r="E125" s="280">
        <f>INDEX('файл остатки'!$A$5:$DK$265,MATCH($O$2,'файл остатки'!$A$5:$A$228,0),MATCH(C125,'файл остатки'!$A$5:$DK$5,0))</f>
        <v>13233.942857142858</v>
      </c>
      <c r="F125" s="151"/>
      <c r="G125" s="66"/>
      <c r="I125" s="66"/>
      <c r="J125" s="66"/>
      <c r="K125" s="66"/>
      <c r="L125" s="66"/>
    </row>
    <row r="126" spans="1:12" ht="24" customHeight="1">
      <c r="A126" s="1939"/>
      <c r="B126" s="284" t="s">
        <v>20</v>
      </c>
      <c r="C126" s="304" t="s">
        <v>473</v>
      </c>
      <c r="D126" s="284">
        <f>INDEX('файл остатки'!$A$5:$DK$265,MATCH($O$1,'файл остатки'!$A$5:$A$228,0),MATCH(C126,'файл остатки'!$A$5:$DK$5,0))</f>
        <v>136.80000000000001</v>
      </c>
      <c r="E126" s="491">
        <f>INDEX('файл остатки'!$A$5:$DK$265,MATCH($O$2,'файл остатки'!$A$5:$A$228,0),MATCH(C126,'файл остатки'!$A$5:$DK$5,0))</f>
        <v>212.57142857142858</v>
      </c>
      <c r="F126" s="151">
        <v>-800</v>
      </c>
      <c r="G126" s="66"/>
    </row>
    <row r="127" spans="1:12" ht="24" customHeight="1">
      <c r="A127" s="1939"/>
      <c r="B127" s="304" t="s">
        <v>295</v>
      </c>
      <c r="C127" s="304" t="s">
        <v>806</v>
      </c>
      <c r="D127" s="284">
        <f>INDEX('файл остатки'!$A$5:$DK$265,MATCH($O$1,'файл остатки'!$A$5:$A$228,0),MATCH(C127,'файл остатки'!$A$5:$DK$5,0))</f>
        <v>-37.799999999999955</v>
      </c>
      <c r="E127" s="491">
        <f>INDEX('файл остатки'!$A$5:$DK$265,MATCH($O$2,'файл остатки'!$A$5:$A$228,0),MATCH(C127,'файл остатки'!$A$5:$DK$5,0))</f>
        <v>2083.4742857142855</v>
      </c>
      <c r="F127" s="151"/>
      <c r="G127" s="66"/>
    </row>
    <row r="128" spans="1:12" s="66" customFormat="1" ht="24" customHeight="1">
      <c r="A128" s="1939"/>
      <c r="B128" s="303" t="s">
        <v>293</v>
      </c>
      <c r="C128" s="303" t="s">
        <v>465</v>
      </c>
      <c r="D128" s="284">
        <f>INDEX('файл остатки'!$A$5:$DK$265,MATCH($O$1,'файл остатки'!$A$5:$A$228,0),MATCH(C128,'файл остатки'!$A$5:$DK$5,0))</f>
        <v>570</v>
      </c>
      <c r="E128" s="491">
        <f>INDEX('файл остатки'!$A$5:$DK$265,MATCH($O$2,'файл остатки'!$A$5:$A$228,0),MATCH(C128,'файл остатки'!$A$5:$DK$5,0))</f>
        <v>787.28571428571433</v>
      </c>
      <c r="F128" s="151">
        <v>-1500</v>
      </c>
    </row>
    <row r="129" spans="1:12" s="66" customFormat="1" ht="24" customHeight="1">
      <c r="A129" s="1939"/>
      <c r="B129" s="303" t="s">
        <v>296</v>
      </c>
      <c r="C129" s="303" t="s">
        <v>317</v>
      </c>
      <c r="D129" s="284">
        <f>INDEX('файл остатки'!$A$5:$DK$265,MATCH($O$1,'файл остатки'!$A$5:$A$228,0),MATCH(C129,'файл остатки'!$A$5:$DK$5,0))</f>
        <v>652.79999999999995</v>
      </c>
      <c r="E129" s="491">
        <f>INDEX('файл остатки'!$A$5:$DK$265,MATCH($O$2,'файл остатки'!$A$5:$A$228,0),MATCH(C129,'файл остатки'!$A$5:$DK$5,0))</f>
        <v>188.57142857142856</v>
      </c>
      <c r="F129" s="151">
        <v>-200</v>
      </c>
    </row>
    <row r="130" spans="1:12" s="66" customFormat="1" ht="24" customHeight="1">
      <c r="A130" s="1939"/>
      <c r="B130" s="303" t="s">
        <v>88</v>
      </c>
      <c r="C130" s="303" t="s">
        <v>101</v>
      </c>
      <c r="D130" s="284">
        <f>INDEX('файл остатки'!$A$5:$DK$265,MATCH($O$1,'файл остатки'!$A$5:$A$228,0),MATCH(C130,'файл остатки'!$A$5:$DK$5,0))</f>
        <v>112.5</v>
      </c>
      <c r="E130" s="491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39"/>
      <c r="B131" s="1751" t="s">
        <v>293</v>
      </c>
      <c r="C131" s="1750" t="s">
        <v>821</v>
      </c>
      <c r="D131" s="284">
        <f>INDEX('файл остатки'!$A$5:$DK$265,MATCH($O$1,'файл остатки'!$A$5:$A$228,0),MATCH(C131,'файл остатки'!$A$5:$DK$5,0))</f>
        <v>86.4</v>
      </c>
      <c r="E131" s="1743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39"/>
      <c r="B132" s="1751" t="s">
        <v>293</v>
      </c>
      <c r="C132" s="1750" t="s">
        <v>822</v>
      </c>
      <c r="D132" s="284">
        <f>INDEX('файл остатки'!$A$5:$DK$265,MATCH($O$1,'файл остатки'!$A$5:$A$228,0),MATCH(C132,'файл остатки'!$A$5:$DK$5,0))</f>
        <v>-24</v>
      </c>
      <c r="E132" s="1743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40"/>
      <c r="B133" s="317"/>
      <c r="C133" s="305"/>
      <c r="D133" s="284"/>
      <c r="E133" s="491"/>
      <c r="F133" s="151"/>
    </row>
    <row r="134" spans="1:12" ht="24" customHeight="1">
      <c r="A134" s="484"/>
      <c r="B134" s="484"/>
      <c r="C134" s="484"/>
      <c r="D134" s="484"/>
      <c r="E134" s="484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46"/>
      <c r="J136" s="1947"/>
      <c r="K136" s="181" t="s">
        <v>185</v>
      </c>
      <c r="L136" s="181" t="s">
        <v>186</v>
      </c>
    </row>
    <row r="137" spans="1:12" ht="24" customHeight="1">
      <c r="A137" s="1932" t="s">
        <v>178</v>
      </c>
      <c r="B137" s="137" t="s">
        <v>19</v>
      </c>
      <c r="C137" s="575" t="s">
        <v>778</v>
      </c>
      <c r="D137" s="1581">
        <f>INDEX('файл остатки'!$A$5:$DK$265,MATCH($O$1,'файл остатки'!$A$5:$A$228,0),MATCH(C137,'файл остатки'!$A$5:$DK$5,0))</f>
        <v>-1674</v>
      </c>
      <c r="E137" s="535">
        <f>INDEX('файл остатки'!$A$5:$DK$265,MATCH($O$2,'файл остатки'!$A$5:$A$228,0),MATCH(C137,'файл остатки'!$A$5:$DK$5,0))</f>
        <v>507.5</v>
      </c>
      <c r="F137" s="145"/>
      <c r="G137" s="66"/>
      <c r="H137" s="66"/>
      <c r="I137" s="1946" t="s">
        <v>210</v>
      </c>
      <c r="J137" s="1947"/>
      <c r="K137" s="536">
        <f>-(F137+F138+F139+F143)/K138</f>
        <v>0</v>
      </c>
      <c r="L137" s="536"/>
    </row>
    <row r="138" spans="1:12" ht="24" customHeight="1">
      <c r="A138" s="1933"/>
      <c r="B138" s="137" t="s">
        <v>20</v>
      </c>
      <c r="C138" s="306" t="s">
        <v>176</v>
      </c>
      <c r="D138" s="137">
        <f>INDEX('файл остатки'!$A$5:$DK$265,MATCH($O$1,'файл остатки'!$A$5:$A$228,0),MATCH(C138,'файл остатки'!$A$5:$DK$5,0))</f>
        <v>-961.6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37" t="s">
        <v>209</v>
      </c>
      <c r="J138" s="1937"/>
      <c r="K138" s="190">
        <v>0.54</v>
      </c>
      <c r="L138" s="174"/>
    </row>
    <row r="139" spans="1:12" s="66" customFormat="1" ht="24" customHeight="1">
      <c r="A139" s="1933"/>
      <c r="B139" s="318" t="s">
        <v>295</v>
      </c>
      <c r="C139" s="1582" t="s">
        <v>807</v>
      </c>
      <c r="D139" s="282">
        <f>INDEX('файл остатки'!$A$5:$DK$265,MATCH($O$1,'файл остатки'!$A$5:$A$228,0),MATCH(C139,'файл остатки'!$A$5:$DK$5,0))</f>
        <v>-618.84</v>
      </c>
      <c r="E139" s="283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33"/>
      <c r="B140" s="490"/>
      <c r="C140" s="318" t="s">
        <v>471</v>
      </c>
      <c r="D140" s="489">
        <f>INDEX('файл остатки'!$A$5:$DK$265,MATCH($O$1,'файл остатки'!$A$5:$A$228,0),MATCH(C140,'файл остатки'!$A$5:$DK$5,0))</f>
        <v>0</v>
      </c>
      <c r="E140" s="488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33"/>
      <c r="B141" s="1582" t="s">
        <v>293</v>
      </c>
      <c r="C141" s="1582" t="s">
        <v>824</v>
      </c>
      <c r="D141" s="1746">
        <f>INDEX('файл остатки'!$A$5:$DK$265,MATCH($O$1,'файл остатки'!$A$5:$A$228,0),MATCH(C141,'файл остатки'!$A$5:$DK$5,0))</f>
        <v>-20.399999999999999</v>
      </c>
      <c r="E141" s="1744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33"/>
      <c r="B142" s="499" t="s">
        <v>19</v>
      </c>
      <c r="C142" s="296" t="s">
        <v>418</v>
      </c>
      <c r="D142" s="514">
        <f>INDEX('файл остатки'!$A$5:$DK$265,MATCH($O$1,'файл остатки'!$A$5:$A$228,0),MATCH(C142,'файл остатки'!$A$5:$DK$5,0))</f>
        <v>-1008.72</v>
      </c>
      <c r="E142" s="498"/>
      <c r="F142" s="145"/>
    </row>
    <row r="143" spans="1:12" s="66" customFormat="1" ht="24" customHeight="1">
      <c r="A143" s="1941"/>
      <c r="B143" s="307" t="s">
        <v>20</v>
      </c>
      <c r="C143" s="307" t="s">
        <v>318</v>
      </c>
      <c r="D143" s="282">
        <f>INDEX('файл остатки'!$A$5:$DK$265,MATCH($O$1,'файл остатки'!$A$5:$A$228,0),MATCH(C143,'файл остатки'!$A$5:$DK$5,0))</f>
        <v>-588.6</v>
      </c>
      <c r="E143" s="283">
        <f>INDEX('файл остатки'!$A$5:$DK$265,MATCH($O$2,'файл остатки'!$A$5:$A$228,0),MATCH(C143,'файл остатки'!$A$5:$DK$5,0))</f>
        <v>599.65714285714284</v>
      </c>
      <c r="F143" s="145"/>
    </row>
    <row r="144" spans="1:12" ht="24" customHeight="1">
      <c r="A144" s="307" t="s">
        <v>57</v>
      </c>
      <c r="B144" s="308"/>
      <c r="C144" s="307" t="s">
        <v>472</v>
      </c>
      <c r="D144" s="282">
        <f>INDEX('файл остатки'!$A$5:$DK$265,MATCH($O$1,'файл остатки'!$A$5:$A$228,0),MATCH(C144,'файл остатки'!$A$5:$DK$5,0))</f>
        <v>-66.960000000000008</v>
      </c>
      <c r="E144" s="283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46"/>
      <c r="J144" s="1947"/>
      <c r="K144" s="181" t="s">
        <v>185</v>
      </c>
      <c r="L144" s="181" t="s">
        <v>186</v>
      </c>
    </row>
    <row r="145" spans="1:12" ht="24" customHeight="1">
      <c r="A145" s="308"/>
      <c r="B145" s="318"/>
      <c r="C145" s="307"/>
      <c r="D145" s="489"/>
      <c r="E145" s="488"/>
      <c r="F145" s="145"/>
      <c r="G145" s="66"/>
      <c r="I145" s="1946" t="s">
        <v>211</v>
      </c>
      <c r="J145" s="1947"/>
      <c r="K145" s="181">
        <f>-(F144)/K146</f>
        <v>0</v>
      </c>
      <c r="L145" s="181"/>
    </row>
    <row r="146" spans="1:12" ht="24" customHeight="1">
      <c r="A146" s="296" t="s">
        <v>78</v>
      </c>
      <c r="B146" s="296" t="s">
        <v>19</v>
      </c>
      <c r="C146" s="296" t="s">
        <v>135</v>
      </c>
      <c r="D146" s="137">
        <f>INDEX('файл остатки'!$A$5:$DK$265,MATCH($O$1,'файл остатки'!$A$5:$A$228,0),MATCH(C146,'файл остатки'!$A$5:$DK$5,0))</f>
        <v>93.78</v>
      </c>
      <c r="E146" s="161">
        <f>INDEX('файл остатки'!$A$5:$DK$265,MATCH($O$2,'файл остатки'!$A$5:$A$228,0),MATCH(C146,'файл остатки'!$A$5:$DK$5,0))</f>
        <v>355.3971428571428</v>
      </c>
      <c r="F146" s="145"/>
      <c r="G146" s="66"/>
      <c r="I146" s="1937" t="s">
        <v>209</v>
      </c>
      <c r="J146" s="1937"/>
      <c r="K146" s="190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46"/>
      <c r="J147" s="1947"/>
      <c r="K147" s="181" t="s">
        <v>185</v>
      </c>
      <c r="L147" s="181" t="s">
        <v>186</v>
      </c>
    </row>
    <row r="148" spans="1:12" ht="24" customHeight="1">
      <c r="D148" s="66"/>
      <c r="G148" s="66"/>
      <c r="I148" s="1946" t="s">
        <v>212</v>
      </c>
      <c r="J148" s="1947"/>
      <c r="K148" s="181">
        <f>-(F144+F146)/K149</f>
        <v>0</v>
      </c>
      <c r="L148" s="181"/>
    </row>
    <row r="149" spans="1:12" ht="24" customHeight="1">
      <c r="A149" s="1929" t="s">
        <v>3</v>
      </c>
      <c r="B149" s="178" t="s">
        <v>85</v>
      </c>
      <c r="C149" s="309" t="s">
        <v>420</v>
      </c>
      <c r="D149" s="178">
        <f>INDEX('файл остатки'!$A$5:$DK$265,MATCH($O$1,'файл остатки'!$A$5:$A$228,0),MATCH(C149,'файл остатки'!$A$5:$DK$5,0))</f>
        <v>-702.75</v>
      </c>
      <c r="E149" s="179">
        <f>INDEX('файл остатки'!$A$5:$DK$265,MATCH($O$2,'файл остатки'!$A$5:$A$228,0),MATCH(C149,'файл остатки'!$A$5:$DK$5,0))</f>
        <v>10542.928571428572</v>
      </c>
      <c r="F149" s="154">
        <v>-710</v>
      </c>
      <c r="G149" s="66"/>
      <c r="I149" s="1937" t="s">
        <v>209</v>
      </c>
      <c r="J149" s="1937"/>
      <c r="K149" s="190">
        <v>0.46</v>
      </c>
      <c r="L149" s="174"/>
    </row>
    <row r="150" spans="1:12" ht="24" customHeight="1">
      <c r="A150" s="1930"/>
      <c r="B150" s="178" t="s">
        <v>20</v>
      </c>
      <c r="C150" s="310" t="s">
        <v>91</v>
      </c>
      <c r="D150" s="526">
        <f>INDEX('файл остатки'!$A$5:$DK$265,MATCH($O$1,'файл остатки'!$A$5:$A$228,0),MATCH(C150,'файл остатки'!$A$5:$DK$5,0))</f>
        <v>-2623.5</v>
      </c>
      <c r="E150" s="179">
        <f>INDEX('файл остатки'!$A$5:$DK$265,MATCH($O$2,'файл остатки'!$A$5:$A$228,0),MATCH(C150,'файл остатки'!$A$5:$DK$5,0))</f>
        <v>4422.4642857142862</v>
      </c>
      <c r="F150" s="154">
        <v>-2650</v>
      </c>
      <c r="G150" s="66"/>
    </row>
    <row r="151" spans="1:12" ht="24" customHeight="1">
      <c r="A151" s="1930"/>
      <c r="B151" s="178" t="s">
        <v>20</v>
      </c>
      <c r="C151" s="310" t="s">
        <v>92</v>
      </c>
      <c r="D151" s="526">
        <f>INDEX('файл остатки'!$A$5:$DK$265,MATCH($O$1,'файл остатки'!$A$5:$A$228,0),MATCH(C151,'файл остатки'!$A$5:$DK$5,0))</f>
        <v>-327</v>
      </c>
      <c r="E151" s="179">
        <f>INDEX('файл остатки'!$A$5:$DK$265,MATCH($O$2,'файл остатки'!$A$5:$A$228,0),MATCH(C151,'файл остатки'!$A$5:$DK$5,0))</f>
        <v>4579.8571428571431</v>
      </c>
      <c r="F151" s="154">
        <f t="shared" ref="F151:F158" si="11">D151</f>
        <v>-327</v>
      </c>
      <c r="G151" s="66"/>
      <c r="I151" s="1979"/>
      <c r="J151" s="1980"/>
      <c r="K151" s="182" t="s">
        <v>185</v>
      </c>
      <c r="L151" s="182" t="s">
        <v>186</v>
      </c>
    </row>
    <row r="152" spans="1:12" ht="31.5" customHeight="1">
      <c r="A152" s="1930"/>
      <c r="B152" s="178" t="s">
        <v>81</v>
      </c>
      <c r="C152" s="310" t="s">
        <v>466</v>
      </c>
      <c r="D152" s="526">
        <f>INDEX('файл остатки'!$A$5:$DK$265,MATCH($O$1,'файл остатки'!$A$5:$A$228,0),MATCH(C152,'файл остатки'!$A$5:$DK$5,0))</f>
        <v>-687</v>
      </c>
      <c r="E152" s="285">
        <f>INDEX('файл остатки'!$A$5:$DK$265,MATCH($O$2,'файл остатки'!$A$5:$A$228,0),MATCH(C152,'файл остатки'!$A$5:$DK$5,0))</f>
        <v>983.57142857142844</v>
      </c>
      <c r="F152" s="154">
        <f t="shared" si="11"/>
        <v>-687</v>
      </c>
      <c r="G152" s="66"/>
      <c r="I152" s="1979" t="s">
        <v>213</v>
      </c>
      <c r="J152" s="1980"/>
      <c r="K152" s="182">
        <f>-(F149+F150+F151+F152+F153+F155+F156+F158+F157)/K153</f>
        <v>15.953333333333333</v>
      </c>
      <c r="L152" s="182"/>
    </row>
    <row r="153" spans="1:12" ht="24" customHeight="1">
      <c r="A153" s="1930"/>
      <c r="B153" s="310" t="s">
        <v>294</v>
      </c>
      <c r="C153" s="310" t="s">
        <v>319</v>
      </c>
      <c r="D153" s="526">
        <f>INDEX('файл остатки'!$A$5:$DK$265,MATCH($O$1,'файл остатки'!$A$5:$A$228,0),MATCH(C153,'файл остатки'!$A$5:$DK$5,0))</f>
        <v>24</v>
      </c>
      <c r="E153" s="285">
        <f>INDEX('файл остатки'!$A$5:$DK$265,MATCH($O$2,'файл остатки'!$A$5:$A$228,0),MATCH(C153,'файл остатки'!$A$5:$DK$5,0))</f>
        <v>1132.9285714285716</v>
      </c>
      <c r="F153" s="154"/>
      <c r="G153" s="66"/>
      <c r="I153" s="1937" t="s">
        <v>209</v>
      </c>
      <c r="J153" s="1937"/>
      <c r="K153" s="191">
        <v>450</v>
      </c>
      <c r="L153" s="174"/>
    </row>
    <row r="154" spans="1:12" s="66" customFormat="1" ht="24" customHeight="1">
      <c r="A154" s="1930"/>
      <c r="B154" s="310" t="s">
        <v>88</v>
      </c>
      <c r="C154" s="310" t="s">
        <v>96</v>
      </c>
      <c r="D154" s="526">
        <f>INDEX('файл остатки'!$A$5:$DK$265,MATCH($O$1,'файл остатки'!$A$5:$A$228,0),MATCH(C154,'файл остатки'!$A$5:$DK$5,0))</f>
        <v>42</v>
      </c>
      <c r="E154" s="285">
        <f>INDEX('файл остатки'!$A$5:$DK$265,MATCH($O$2,'файл остатки'!$A$5:$A$228,0),MATCH(C154,'файл остатки'!$A$5:$DK$5,0))</f>
        <v>42.214285714285715</v>
      </c>
      <c r="F154" s="154"/>
      <c r="I154" s="325"/>
      <c r="J154" s="325"/>
      <c r="K154" s="286"/>
      <c r="L154" s="174"/>
    </row>
    <row r="155" spans="1:12" ht="24" customHeight="1">
      <c r="A155" s="1930"/>
      <c r="B155" s="1753" t="s">
        <v>293</v>
      </c>
      <c r="C155" s="1753" t="s">
        <v>825</v>
      </c>
      <c r="D155" s="526">
        <f>INDEX('файл остатки'!$A$5:$DK$265,MATCH($O$1,'файл остатки'!$A$5:$A$228,0),MATCH(C155,'файл остатки'!$A$5:$DK$5,0))</f>
        <v>117.60000000000001</v>
      </c>
      <c r="E155" s="1756">
        <f>INDEX('файл остатки'!$A$5:$DK$265,MATCH($O$2,'файл остатки'!$A$5:$A$228,0),MATCH(C155,'файл остатки'!$A$5:$DK$5,0))</f>
        <v>0.17142857142857143</v>
      </c>
      <c r="F155" s="154"/>
      <c r="G155" s="66"/>
    </row>
    <row r="156" spans="1:12" s="66" customFormat="1" ht="24" customHeight="1">
      <c r="A156" s="1930"/>
      <c r="B156" s="310"/>
      <c r="C156" s="310"/>
      <c r="D156" s="526"/>
      <c r="E156" s="1756"/>
      <c r="F156" s="154">
        <f t="shared" si="11"/>
        <v>0</v>
      </c>
    </row>
    <row r="157" spans="1:12" s="66" customFormat="1" ht="24" customHeight="1">
      <c r="A157" s="1930"/>
      <c r="B157" s="577" t="s">
        <v>516</v>
      </c>
      <c r="C157" s="577" t="s">
        <v>491</v>
      </c>
      <c r="D157" s="526">
        <f>INDEX('файл остатки'!$A$5:$DK$265,MATCH($O$1,'файл остатки'!$A$5:$A$228,0),MATCH(C157,'файл остатки'!$A$5:$DK$5,0))</f>
        <v>-104.40000000000003</v>
      </c>
      <c r="E157" s="1747"/>
      <c r="F157" s="154">
        <v>-300</v>
      </c>
    </row>
    <row r="158" spans="1:12" ht="24" customHeight="1">
      <c r="A158" s="1931"/>
      <c r="B158" s="310"/>
      <c r="C158" s="577" t="s">
        <v>469</v>
      </c>
      <c r="D158" s="526">
        <f>INDEX('файл остатки'!$A$5:$DK$265,MATCH($O$1,'файл остатки'!$A$5:$A$228,0),MATCH(C158,'файл остатки'!$A$5:$DK$5,0))</f>
        <v>-2505</v>
      </c>
      <c r="E158" s="1747"/>
      <c r="F158" s="154">
        <f t="shared" si="11"/>
        <v>-2505</v>
      </c>
      <c r="G158" s="66"/>
    </row>
    <row r="159" spans="1:12" s="66" customFormat="1" ht="24" customHeight="1">
      <c r="A159" s="1929" t="s">
        <v>4</v>
      </c>
      <c r="B159" s="526" t="s">
        <v>293</v>
      </c>
      <c r="C159" s="527" t="s">
        <v>823</v>
      </c>
      <c r="D159" s="526">
        <f>INDEX('файл остатки'!$A$5:$DK$265,MATCH($O$1,'файл остатки'!$A$5:$A$228,0),MATCH(C159,'файл остатки'!$A$5:$DK$5,0))</f>
        <v>-64.5</v>
      </c>
      <c r="E159" s="1747">
        <f>INDEX('файл остатки'!$A$5:$DK$265,MATCH($O$2,'файл остатки'!$A$5:$A$228,0),MATCH(C159,'файл остатки'!$A$5:$DK$5,0))</f>
        <v>7.1428571428571425E-2</v>
      </c>
      <c r="F159" s="154"/>
    </row>
    <row r="160" spans="1:12" s="66" customFormat="1" ht="24" customHeight="1">
      <c r="A160" s="1931"/>
      <c r="B160" s="526" t="s">
        <v>19</v>
      </c>
      <c r="C160" s="527" t="s">
        <v>419</v>
      </c>
      <c r="D160" s="526">
        <f>INDEX('файл остатки'!$A$5:$DK$265,MATCH($O$1,'файл остатки'!$A$5:$A$228,0),MATCH(C160,'файл остатки'!$A$5:$DK$5,0))</f>
        <v>59</v>
      </c>
      <c r="E160" s="1747">
        <f>INDEX('файл остатки'!$A$5:$DK$265,MATCH($O$2,'файл остатки'!$A$5:$A$228,0),MATCH(C160,'файл остатки'!$A$5:$DK$5,0))</f>
        <v>132.4047619047619</v>
      </c>
      <c r="F160" s="154"/>
    </row>
    <row r="161" spans="1:9" s="66" customFormat="1" ht="24" customHeight="1">
      <c r="A161" s="528"/>
      <c r="B161" s="178"/>
      <c r="C161" s="178"/>
      <c r="D161" s="178"/>
      <c r="E161" s="179"/>
      <c r="F161" s="154">
        <f>D161</f>
        <v>0</v>
      </c>
      <c r="I161"/>
    </row>
    <row r="162" spans="1:9" ht="24" customHeight="1">
      <c r="G162" s="66"/>
    </row>
    <row r="163" spans="1:9" ht="24" customHeight="1">
      <c r="A163" s="1948" t="s">
        <v>68</v>
      </c>
      <c r="B163" s="311" t="s">
        <v>75</v>
      </c>
      <c r="C163" s="311" t="s">
        <v>320</v>
      </c>
      <c r="D163" s="152">
        <f>INDEX('файл остатки'!$A$5:$DK$265,MATCH($O$1,'файл остатки'!$A$5:$A$228,0),MATCH(C163,'файл остатки'!$A$5:$DK$5,0))</f>
        <v>2889</v>
      </c>
      <c r="E163" s="153">
        <f>INDEX('файл остатки'!$A$5:$DK$265,MATCH($O$2,'файл остатки'!$A$5:$A$228,0),MATCH(C163,'файл остатки'!$A$5:$DK$5,0))</f>
        <v>638.90476190476193</v>
      </c>
      <c r="F163" s="154">
        <v>-900</v>
      </c>
      <c r="G163" s="66"/>
    </row>
    <row r="164" spans="1:9" ht="24" customHeight="1">
      <c r="A164" s="1949"/>
      <c r="B164" s="152" t="s">
        <v>75</v>
      </c>
      <c r="C164" s="312" t="s">
        <v>321</v>
      </c>
      <c r="D164" s="169">
        <f>INDEX('файл остатки'!$A$5:$DK$265,MATCH($O$1,'файл остатки'!$A$5:$A$228,0),MATCH(C164,'файл остатки'!$A$5:$DK$5,0))</f>
        <v>2494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" customHeight="1">
      <c r="A165" s="1949"/>
      <c r="B165" s="538" t="s">
        <v>19</v>
      </c>
      <c r="C165" s="537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49"/>
      <c r="B166" s="538" t="s">
        <v>19</v>
      </c>
      <c r="C166" s="537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49"/>
      <c r="B167" s="312" t="s">
        <v>75</v>
      </c>
      <c r="C167" s="319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49"/>
      <c r="B168" s="538" t="s">
        <v>19</v>
      </c>
      <c r="C168" s="319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" customHeight="1">
      <c r="A169" s="1949"/>
      <c r="B169" s="152" t="s">
        <v>75</v>
      </c>
      <c r="C169" s="312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49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I102:J102"/>
    <mergeCell ref="I103:J103"/>
    <mergeCell ref="I104:J104"/>
    <mergeCell ref="I105:J105"/>
    <mergeCell ref="I106:J106"/>
    <mergeCell ref="I151:J151"/>
    <mergeCell ref="I144:J144"/>
    <mergeCell ref="I145:J145"/>
    <mergeCell ref="I152:J152"/>
    <mergeCell ref="I148:J148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I1:J1"/>
    <mergeCell ref="I21:J21"/>
    <mergeCell ref="I22:J22"/>
    <mergeCell ref="I23:J23"/>
    <mergeCell ref="I25:J25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</mergeCells>
  <conditionalFormatting sqref="B18 A2 B4 D115:E125 D126:D133 L153:L154 D149:F160 F115:F135 D163:F170 F149:F161">
    <cfRule type="cellIs" dxfId="1347" priority="1253" operator="equal">
      <formula>0</formula>
    </cfRule>
  </conditionalFormatting>
  <conditionalFormatting sqref="F21:F31">
    <cfRule type="cellIs" dxfId="1346" priority="1204" operator="equal">
      <formula>0</formula>
    </cfRule>
  </conditionalFormatting>
  <conditionalFormatting sqref="C18">
    <cfRule type="cellIs" dxfId="1345" priority="1251" operator="equal">
      <formula>0</formula>
    </cfRule>
  </conditionalFormatting>
  <conditionalFormatting sqref="D1:E1">
    <cfRule type="cellIs" dxfId="1344" priority="1224" operator="equal">
      <formula>0</formula>
    </cfRule>
  </conditionalFormatting>
  <conditionalFormatting sqref="B1">
    <cfRule type="cellIs" dxfId="1343" priority="1226" operator="equal">
      <formula>0</formula>
    </cfRule>
  </conditionalFormatting>
  <conditionalFormatting sqref="I63:I66">
    <cfRule type="cellIs" dxfId="1342" priority="1115" operator="equal">
      <formula>0</formula>
    </cfRule>
  </conditionalFormatting>
  <conditionalFormatting sqref="B27">
    <cfRule type="cellIs" dxfId="1341" priority="1215" operator="equal">
      <formula>0</formula>
    </cfRule>
  </conditionalFormatting>
  <conditionalFormatting sqref="F33:F36">
    <cfRule type="cellIs" dxfId="1340" priority="1198" operator="equal">
      <formula>0</formula>
    </cfRule>
  </conditionalFormatting>
  <conditionalFormatting sqref="B50 B56:B58 B52:B53">
    <cfRule type="cellIs" dxfId="1339" priority="1191" operator="equal">
      <formula>0</formula>
    </cfRule>
  </conditionalFormatting>
  <conditionalFormatting sqref="B36">
    <cfRule type="cellIs" dxfId="1338" priority="1202" operator="equal">
      <formula>0</formula>
    </cfRule>
  </conditionalFormatting>
  <conditionalFormatting sqref="C1">
    <cfRule type="cellIs" dxfId="1337" priority="1225" operator="equal">
      <formula>0</formula>
    </cfRule>
  </conditionalFormatting>
  <conditionalFormatting sqref="F1">
    <cfRule type="cellIs" dxfId="1336" priority="1223" operator="equal">
      <formula>0</formula>
    </cfRule>
  </conditionalFormatting>
  <conditionalFormatting sqref="A1">
    <cfRule type="cellIs" dxfId="1335" priority="1220" operator="equal">
      <formula>0</formula>
    </cfRule>
  </conditionalFormatting>
  <conditionalFormatting sqref="A21">
    <cfRule type="cellIs" dxfId="1334" priority="1219" operator="equal">
      <formula>0</formula>
    </cfRule>
  </conditionalFormatting>
  <conditionalFormatting sqref="C27:C28">
    <cfRule type="cellIs" dxfId="1333" priority="1214" operator="equal">
      <formula>0</formula>
    </cfRule>
  </conditionalFormatting>
  <conditionalFormatting sqref="A49:B49">
    <cfRule type="cellIs" dxfId="1332" priority="1193" operator="equal">
      <formula>0</formula>
    </cfRule>
  </conditionalFormatting>
  <conditionalFormatting sqref="A61:B61 B75:C75 B71 B73:B74 B62:B64 B66:B69">
    <cfRule type="cellIs" dxfId="1331" priority="1187" operator="equal">
      <formula>0</formula>
    </cfRule>
  </conditionalFormatting>
  <conditionalFormatting sqref="A33">
    <cfRule type="cellIs" dxfId="1330" priority="1201" operator="equal">
      <formula>0</formula>
    </cfRule>
  </conditionalFormatting>
  <conditionalFormatting sqref="A39 B40 B45">
    <cfRule type="cellIs" dxfId="1329" priority="1195" operator="equal">
      <formula>0</formula>
    </cfRule>
  </conditionalFormatting>
  <conditionalFormatting sqref="C83">
    <cfRule type="cellIs" dxfId="1328" priority="1182" operator="equal">
      <formula>0</formula>
    </cfRule>
  </conditionalFormatting>
  <conditionalFormatting sqref="A50:A58">
    <cfRule type="cellIs" dxfId="1327" priority="1192" operator="equal">
      <formula>0</formula>
    </cfRule>
  </conditionalFormatting>
  <conditionalFormatting sqref="C50 C53 C57:C58">
    <cfRule type="cellIs" dxfId="1326" priority="1190" operator="equal">
      <formula>0</formula>
    </cfRule>
  </conditionalFormatting>
  <conditionalFormatting sqref="A77:B78 A83:B83 B78:B82">
    <cfRule type="cellIs" dxfId="1325" priority="1183" operator="equal">
      <formula>0</formula>
    </cfRule>
  </conditionalFormatting>
  <conditionalFormatting sqref="I22:I23">
    <cfRule type="cellIs" dxfId="1324" priority="1149" operator="equal">
      <formula>0</formula>
    </cfRule>
  </conditionalFormatting>
  <conditionalFormatting sqref="K22:L23">
    <cfRule type="cellIs" dxfId="1323" priority="1148" operator="equal">
      <formula>0</formula>
    </cfRule>
  </conditionalFormatting>
  <conditionalFormatting sqref="K40:L45">
    <cfRule type="cellIs" dxfId="1322" priority="1131" operator="equal">
      <formula>0</formula>
    </cfRule>
  </conditionalFormatting>
  <conditionalFormatting sqref="I62 K62:L62">
    <cfRule type="cellIs" dxfId="1321" priority="1116" operator="equal">
      <formula>0</formula>
    </cfRule>
  </conditionalFormatting>
  <conditionalFormatting sqref="I50:I52">
    <cfRule type="cellIs" dxfId="1320" priority="1124" operator="equal">
      <formula>0</formula>
    </cfRule>
  </conditionalFormatting>
  <conditionalFormatting sqref="B164">
    <cfRule type="cellIs" dxfId="1319" priority="999" operator="equal">
      <formula>0</formula>
    </cfRule>
  </conditionalFormatting>
  <conditionalFormatting sqref="B91">
    <cfRule type="cellIs" dxfId="1318" priority="1104" operator="equal">
      <formula>0</formula>
    </cfRule>
  </conditionalFormatting>
  <conditionalFormatting sqref="B96">
    <cfRule type="cellIs" dxfId="1317" priority="1106" operator="equal">
      <formula>0</formula>
    </cfRule>
  </conditionalFormatting>
  <conditionalFormatting sqref="A104:B105 A103">
    <cfRule type="cellIs" dxfId="1316" priority="1091" operator="equal">
      <formula>0</formula>
    </cfRule>
  </conditionalFormatting>
  <conditionalFormatting sqref="B85">
    <cfRule type="cellIs" dxfId="1315" priority="1110" operator="equal">
      <formula>0</formula>
    </cfRule>
  </conditionalFormatting>
  <conditionalFormatting sqref="I1">
    <cfRule type="cellIs" dxfId="1314" priority="1161" operator="equal">
      <formula>0</formula>
    </cfRule>
  </conditionalFormatting>
  <conditionalFormatting sqref="I2:I3">
    <cfRule type="cellIs" dxfId="1313" priority="1160" operator="equal">
      <formula>0</formula>
    </cfRule>
  </conditionalFormatting>
  <conditionalFormatting sqref="K1:L1">
    <cfRule type="cellIs" dxfId="1312" priority="1159" operator="equal">
      <formula>0</formula>
    </cfRule>
  </conditionalFormatting>
  <conditionalFormatting sqref="K2:K3">
    <cfRule type="cellIs" dxfId="1311" priority="1158" operator="equal">
      <formula>0</formula>
    </cfRule>
  </conditionalFormatting>
  <conditionalFormatting sqref="L2:L3">
    <cfRule type="cellIs" dxfId="1310" priority="1157" operator="equal">
      <formula>0</formula>
    </cfRule>
  </conditionalFormatting>
  <conditionalFormatting sqref="I39 K39:L39">
    <cfRule type="cellIs" dxfId="1309" priority="1133" operator="equal">
      <formula>0</formula>
    </cfRule>
  </conditionalFormatting>
  <conditionalFormatting sqref="I49 K49:L49">
    <cfRule type="cellIs" dxfId="1308" priority="1125" operator="equal">
      <formula>0</formula>
    </cfRule>
  </conditionalFormatting>
  <conditionalFormatting sqref="L53:L59 K50:L52">
    <cfRule type="cellIs" dxfId="1307" priority="1123" operator="equal">
      <formula>0</formula>
    </cfRule>
  </conditionalFormatting>
  <conditionalFormatting sqref="K21:L21">
    <cfRule type="cellIs" dxfId="1306" priority="1151" operator="equal">
      <formula>0</formula>
    </cfRule>
  </conditionalFormatting>
  <conditionalFormatting sqref="I21">
    <cfRule type="cellIs" dxfId="1305" priority="1150" operator="equal">
      <formula>0</formula>
    </cfRule>
  </conditionalFormatting>
  <conditionalFormatting sqref="I82">
    <cfRule type="cellIs" dxfId="1304" priority="951" operator="equal">
      <formula>0</formula>
    </cfRule>
  </conditionalFormatting>
  <conditionalFormatting sqref="K33:L33">
    <cfRule type="cellIs" dxfId="1303" priority="1143" operator="equal">
      <formula>0</formula>
    </cfRule>
  </conditionalFormatting>
  <conditionalFormatting sqref="I34">
    <cfRule type="cellIs" dxfId="1302" priority="1142" operator="equal">
      <formula>0</formula>
    </cfRule>
  </conditionalFormatting>
  <conditionalFormatting sqref="I33">
    <cfRule type="cellIs" dxfId="1301" priority="1141" operator="equal">
      <formula>0</formula>
    </cfRule>
  </conditionalFormatting>
  <conditionalFormatting sqref="I35">
    <cfRule type="cellIs" dxfId="1300" priority="1140" operator="equal">
      <formula>0</formula>
    </cfRule>
  </conditionalFormatting>
  <conditionalFormatting sqref="K34:L35">
    <cfRule type="cellIs" dxfId="1299" priority="1139" operator="equal">
      <formula>0</formula>
    </cfRule>
  </conditionalFormatting>
  <conditionalFormatting sqref="K63:L66">
    <cfRule type="cellIs" dxfId="1298" priority="1114" operator="equal">
      <formula>0</formula>
    </cfRule>
  </conditionalFormatting>
  <conditionalFormatting sqref="B86:B89">
    <cfRule type="cellIs" dxfId="1297" priority="1113" operator="equal">
      <formula>0</formula>
    </cfRule>
  </conditionalFormatting>
  <conditionalFormatting sqref="F108:F113">
    <cfRule type="cellIs" dxfId="1296" priority="1086" operator="equal">
      <formula>0</formula>
    </cfRule>
  </conditionalFormatting>
  <conditionalFormatting sqref="A163 B170:C170 B169">
    <cfRule type="cellIs" dxfId="1295" priority="1001" operator="equal">
      <formula>0</formula>
    </cfRule>
  </conditionalFormatting>
  <conditionalFormatting sqref="A85">
    <cfRule type="cellIs" dxfId="1294" priority="1105" operator="equal">
      <formula>0</formula>
    </cfRule>
  </conditionalFormatting>
  <conditionalFormatting sqref="B112:B113">
    <cfRule type="cellIs" dxfId="1293" priority="1093" operator="equal">
      <formula>0</formula>
    </cfRule>
  </conditionalFormatting>
  <conditionalFormatting sqref="B94:B95">
    <cfRule type="cellIs" dxfId="1292" priority="1102" operator="equal">
      <formula>0</formula>
    </cfRule>
  </conditionalFormatting>
  <conditionalFormatting sqref="A108:B109 B108:B111">
    <cfRule type="cellIs" dxfId="1291" priority="1095" operator="equal">
      <formula>0</formula>
    </cfRule>
  </conditionalFormatting>
  <conditionalFormatting sqref="B116">
    <cfRule type="cellIs" dxfId="1290" priority="1080" operator="equal">
      <formula>0</formula>
    </cfRule>
  </conditionalFormatting>
  <conditionalFormatting sqref="C113">
    <cfRule type="cellIs" dxfId="1289" priority="1092" operator="equal">
      <formula>0</formula>
    </cfRule>
  </conditionalFormatting>
  <conditionalFormatting sqref="C105">
    <cfRule type="cellIs" dxfId="1288" priority="1090" operator="equal">
      <formula>0</formula>
    </cfRule>
  </conditionalFormatting>
  <conditionalFormatting sqref="E85:E99">
    <cfRule type="cellIs" dxfId="1287" priority="1034" operator="equal">
      <formula>0</formula>
    </cfRule>
  </conditionalFormatting>
  <conditionalFormatting sqref="E21:E30">
    <cfRule type="cellIs" dxfId="1286" priority="1040" operator="equal">
      <formula>0</formula>
    </cfRule>
  </conditionalFormatting>
  <conditionalFormatting sqref="E103:E105">
    <cfRule type="cellIs" dxfId="1285" priority="1033" operator="equal">
      <formula>0</formula>
    </cfRule>
  </conditionalFormatting>
  <conditionalFormatting sqref="A115:B115">
    <cfRule type="cellIs" dxfId="1284" priority="1082" operator="equal">
      <formula>0</formula>
    </cfRule>
  </conditionalFormatting>
  <conditionalFormatting sqref="E137:E147">
    <cfRule type="cellIs" dxfId="1283" priority="1030" operator="equal">
      <formula>0</formula>
    </cfRule>
  </conditionalFormatting>
  <conditionalFormatting sqref="B124">
    <cfRule type="cellIs" dxfId="1282" priority="1079" operator="equal">
      <formula>0</formula>
    </cfRule>
  </conditionalFormatting>
  <conditionalFormatting sqref="B118 B120">
    <cfRule type="cellIs" dxfId="1281" priority="1077" operator="equal">
      <formula>0</formula>
    </cfRule>
  </conditionalFormatting>
  <conditionalFormatting sqref="E49:E58">
    <cfRule type="cellIs" dxfId="1280" priority="1037" operator="equal">
      <formula>0</formula>
    </cfRule>
  </conditionalFormatting>
  <conditionalFormatting sqref="B125:B126">
    <cfRule type="cellIs" dxfId="1279" priority="1074" operator="equal">
      <formula>0</formula>
    </cfRule>
  </conditionalFormatting>
  <conditionalFormatting sqref="A137:B137 B138">
    <cfRule type="cellIs" dxfId="1278" priority="1070" operator="equal">
      <formula>0</formula>
    </cfRule>
  </conditionalFormatting>
  <conditionalFormatting sqref="A147:C147">
    <cfRule type="cellIs" dxfId="1277" priority="1067" operator="equal">
      <formula>0</formula>
    </cfRule>
  </conditionalFormatting>
  <conditionalFormatting sqref="F137:F147">
    <cfRule type="cellIs" dxfId="1276" priority="1064" operator="equal">
      <formula>0</formula>
    </cfRule>
  </conditionalFormatting>
  <conditionalFormatting sqref="A149:B149 B150 B152">
    <cfRule type="cellIs" dxfId="1275" priority="1062" operator="equal">
      <formula>0</formula>
    </cfRule>
  </conditionalFormatting>
  <conditionalFormatting sqref="B160">
    <cfRule type="cellIs" dxfId="1274" priority="1060" operator="equal">
      <formula>0</formula>
    </cfRule>
  </conditionalFormatting>
  <conditionalFormatting sqref="B151">
    <cfRule type="cellIs" dxfId="1273" priority="1059" operator="equal">
      <formula>0</formula>
    </cfRule>
  </conditionalFormatting>
  <conditionalFormatting sqref="E4 E17:E18">
    <cfRule type="cellIs" dxfId="1272" priority="1041" operator="equal">
      <formula>0</formula>
    </cfRule>
  </conditionalFormatting>
  <conditionalFormatting sqref="E33:E34 E36">
    <cfRule type="cellIs" dxfId="1271" priority="1039" operator="equal">
      <formula>0</formula>
    </cfRule>
  </conditionalFormatting>
  <conditionalFormatting sqref="E40:E47">
    <cfRule type="cellIs" dxfId="1270" priority="1038" operator="equal">
      <formula>0</formula>
    </cfRule>
  </conditionalFormatting>
  <conditionalFormatting sqref="E61:E75">
    <cfRule type="cellIs" dxfId="1269" priority="1036" operator="equal">
      <formula>0</formula>
    </cfRule>
  </conditionalFormatting>
  <conditionalFormatting sqref="E77:E83">
    <cfRule type="cellIs" dxfId="1268" priority="1035" operator="equal">
      <formula>0</formula>
    </cfRule>
  </conditionalFormatting>
  <conditionalFormatting sqref="E108:E113">
    <cfRule type="cellIs" dxfId="1267" priority="1032" operator="equal">
      <formula>0</formula>
    </cfRule>
  </conditionalFormatting>
  <conditionalFormatting sqref="D4 D17:D18">
    <cfRule type="cellIs" dxfId="1266" priority="1017" operator="equal">
      <formula>0</formula>
    </cfRule>
  </conditionalFormatting>
  <conditionalFormatting sqref="D33:D34 D36">
    <cfRule type="cellIs" dxfId="1265" priority="1015" operator="equal">
      <formula>0</formula>
    </cfRule>
  </conditionalFormatting>
  <conditionalFormatting sqref="D22:D30">
    <cfRule type="cellIs" dxfId="1264" priority="1016" operator="equal">
      <formula>0</formula>
    </cfRule>
  </conditionalFormatting>
  <conditionalFormatting sqref="D40:D47">
    <cfRule type="cellIs" dxfId="1263" priority="1014" operator="equal">
      <formula>0</formula>
    </cfRule>
  </conditionalFormatting>
  <conditionalFormatting sqref="D49:D58">
    <cfRule type="cellIs" dxfId="1262" priority="1013" operator="equal">
      <formula>0</formula>
    </cfRule>
  </conditionalFormatting>
  <conditionalFormatting sqref="D61:D75">
    <cfRule type="cellIs" dxfId="1261" priority="1012" operator="equal">
      <formula>0</formula>
    </cfRule>
  </conditionalFormatting>
  <conditionalFormatting sqref="D77:D83">
    <cfRule type="cellIs" dxfId="1260" priority="1011" operator="equal">
      <formula>0</formula>
    </cfRule>
  </conditionalFormatting>
  <conditionalFormatting sqref="D85:D99">
    <cfRule type="cellIs" dxfId="1259" priority="1010" operator="equal">
      <formula>0</formula>
    </cfRule>
  </conditionalFormatting>
  <conditionalFormatting sqref="D103:D105">
    <cfRule type="cellIs" dxfId="1258" priority="1009" operator="equal">
      <formula>0</formula>
    </cfRule>
  </conditionalFormatting>
  <conditionalFormatting sqref="D108:D113">
    <cfRule type="cellIs" dxfId="1257" priority="1008" operator="equal">
      <formula>0</formula>
    </cfRule>
  </conditionalFormatting>
  <conditionalFormatting sqref="D137:D147">
    <cfRule type="cellIs" dxfId="1256" priority="1006" operator="equal">
      <formula>0</formula>
    </cfRule>
  </conditionalFormatting>
  <conditionalFormatting sqref="I83">
    <cfRule type="cellIs" dxfId="1255" priority="990" operator="equal">
      <formula>0</formula>
    </cfRule>
  </conditionalFormatting>
  <conditionalFormatting sqref="K83:L83 L84">
    <cfRule type="cellIs" dxfId="1254" priority="989" operator="equal">
      <formula>0</formula>
    </cfRule>
  </conditionalFormatting>
  <conditionalFormatting sqref="C36">
    <cfRule type="cellIs" dxfId="1253" priority="988" operator="equal">
      <formula>0</formula>
    </cfRule>
  </conditionalFormatting>
  <conditionalFormatting sqref="B19">
    <cfRule type="cellIs" dxfId="1252" priority="987" operator="equal">
      <formula>0</formula>
    </cfRule>
  </conditionalFormatting>
  <conditionalFormatting sqref="C19">
    <cfRule type="cellIs" dxfId="1251" priority="986" operator="equal">
      <formula>0</formula>
    </cfRule>
  </conditionalFormatting>
  <conditionalFormatting sqref="E19">
    <cfRule type="cellIs" dxfId="1250" priority="982" operator="equal">
      <formula>0</formula>
    </cfRule>
  </conditionalFormatting>
  <conditionalFormatting sqref="D19">
    <cfRule type="cellIs" dxfId="1249" priority="981" operator="equal">
      <formula>0</formula>
    </cfRule>
  </conditionalFormatting>
  <conditionalFormatting sqref="B31">
    <cfRule type="cellIs" dxfId="1248" priority="980" operator="equal">
      <formula>0</formula>
    </cfRule>
  </conditionalFormatting>
  <conditionalFormatting sqref="C31">
    <cfRule type="cellIs" dxfId="1247" priority="979" operator="equal">
      <formula>0</formula>
    </cfRule>
  </conditionalFormatting>
  <conditionalFormatting sqref="D31">
    <cfRule type="cellIs" dxfId="1246" priority="975" operator="equal">
      <formula>0</formula>
    </cfRule>
  </conditionalFormatting>
  <conditionalFormatting sqref="E31">
    <cfRule type="cellIs" dxfId="1245" priority="976" operator="equal">
      <formula>0</formula>
    </cfRule>
  </conditionalFormatting>
  <conditionalFormatting sqref="C46:C47">
    <cfRule type="cellIs" dxfId="1244" priority="974" operator="equal">
      <formula>0</formula>
    </cfRule>
  </conditionalFormatting>
  <conditionalFormatting sqref="I40:I45">
    <cfRule type="cellIs" dxfId="1243" priority="971" operator="equal">
      <formula>0</formula>
    </cfRule>
  </conditionalFormatting>
  <conditionalFormatting sqref="D135">
    <cfRule type="cellIs" dxfId="1242" priority="946" operator="equal">
      <formula>0</formula>
    </cfRule>
  </conditionalFormatting>
  <conditionalFormatting sqref="K82:L82">
    <cfRule type="cellIs" dxfId="1241" priority="950" operator="equal">
      <formula>0</formula>
    </cfRule>
  </conditionalFormatting>
  <conditionalFormatting sqref="D161:E161">
    <cfRule type="cellIs" dxfId="1240" priority="944" operator="equal">
      <formula>0</formula>
    </cfRule>
  </conditionalFormatting>
  <conditionalFormatting sqref="F61:F75">
    <cfRule type="cellIs" dxfId="1239" priority="955" operator="equal">
      <formula>0</formula>
    </cfRule>
  </conditionalFormatting>
  <conditionalFormatting sqref="F77:F84">
    <cfRule type="cellIs" dxfId="1238" priority="953" operator="equal">
      <formula>0</formula>
    </cfRule>
  </conditionalFormatting>
  <conditionalFormatting sqref="A135:C135">
    <cfRule type="cellIs" dxfId="1237" priority="948" operator="equal">
      <formula>0</formula>
    </cfRule>
  </conditionalFormatting>
  <conditionalFormatting sqref="E135">
    <cfRule type="cellIs" dxfId="1236" priority="947" operator="equal">
      <formula>0</formula>
    </cfRule>
  </conditionalFormatting>
  <conditionalFormatting sqref="B161:C161">
    <cfRule type="cellIs" dxfId="1235" priority="945" operator="equal">
      <formula>0</formula>
    </cfRule>
  </conditionalFormatting>
  <conditionalFormatting sqref="L88">
    <cfRule type="cellIs" dxfId="1234" priority="939" operator="equal">
      <formula>0</formula>
    </cfRule>
  </conditionalFormatting>
  <conditionalFormatting sqref="K103:L103 L104">
    <cfRule type="cellIs" dxfId="1233" priority="935" operator="equal">
      <formula>0</formula>
    </cfRule>
  </conditionalFormatting>
  <conditionalFormatting sqref="I102">
    <cfRule type="cellIs" dxfId="1232" priority="934" operator="equal">
      <formula>0</formula>
    </cfRule>
  </conditionalFormatting>
  <conditionalFormatting sqref="I103">
    <cfRule type="cellIs" dxfId="1231" priority="936" operator="equal">
      <formula>0</formula>
    </cfRule>
  </conditionalFormatting>
  <conditionalFormatting sqref="I87">
    <cfRule type="cellIs" dxfId="1230" priority="918" operator="equal">
      <formula>0</formula>
    </cfRule>
  </conditionalFormatting>
  <conditionalFormatting sqref="K102:L102">
    <cfRule type="cellIs" dxfId="1229" priority="933" operator="equal">
      <formula>0</formula>
    </cfRule>
  </conditionalFormatting>
  <conditionalFormatting sqref="L111">
    <cfRule type="cellIs" dxfId="1228" priority="931" operator="equal">
      <formula>0</formula>
    </cfRule>
  </conditionalFormatting>
  <conditionalFormatting sqref="K87:L87">
    <cfRule type="cellIs" dxfId="1227" priority="919" operator="equal">
      <formula>0</formula>
    </cfRule>
  </conditionalFormatting>
  <conditionalFormatting sqref="L114">
    <cfRule type="cellIs" dxfId="1226" priority="927" operator="equal">
      <formula>0</formula>
    </cfRule>
  </conditionalFormatting>
  <conditionalFormatting sqref="I113">
    <cfRule type="cellIs" dxfId="1225" priority="912" operator="equal">
      <formula>0</formula>
    </cfRule>
  </conditionalFormatting>
  <conditionalFormatting sqref="I86 K86:L86">
    <cfRule type="cellIs" dxfId="1224" priority="920" operator="equal">
      <formula>0</formula>
    </cfRule>
  </conditionalFormatting>
  <conditionalFormatting sqref="I112 K112:L112">
    <cfRule type="cellIs" dxfId="1223" priority="913" operator="equal">
      <formula>0</formula>
    </cfRule>
  </conditionalFormatting>
  <conditionalFormatting sqref="K113:L113">
    <cfRule type="cellIs" dxfId="1222" priority="911" operator="equal">
      <formula>0</formula>
    </cfRule>
  </conditionalFormatting>
  <conditionalFormatting sqref="L138">
    <cfRule type="cellIs" dxfId="1221" priority="910" operator="equal">
      <formula>0</formula>
    </cfRule>
  </conditionalFormatting>
  <conditionalFormatting sqref="I136:I137 K136:L137">
    <cfRule type="cellIs" dxfId="1220" priority="901" operator="equal">
      <formula>0</formula>
    </cfRule>
  </conditionalFormatting>
  <conditionalFormatting sqref="K106:L106">
    <cfRule type="cellIs" dxfId="1219" priority="904" operator="equal">
      <formula>0</formula>
    </cfRule>
  </conditionalFormatting>
  <conditionalFormatting sqref="I105">
    <cfRule type="cellIs" dxfId="1218" priority="903" operator="equal">
      <formula>0</formula>
    </cfRule>
  </conditionalFormatting>
  <conditionalFormatting sqref="I106">
    <cfRule type="cellIs" dxfId="1217" priority="905" operator="equal">
      <formula>0</formula>
    </cfRule>
  </conditionalFormatting>
  <conditionalFormatting sqref="K105:L105">
    <cfRule type="cellIs" dxfId="1216" priority="902" operator="equal">
      <formula>0</formula>
    </cfRule>
  </conditionalFormatting>
  <conditionalFormatting sqref="L146">
    <cfRule type="cellIs" dxfId="1215" priority="900" operator="equal">
      <formula>0</formula>
    </cfRule>
  </conditionalFormatting>
  <conditionalFormatting sqref="I144:I145 K144:L145">
    <cfRule type="cellIs" dxfId="1214" priority="899" operator="equal">
      <formula>0</formula>
    </cfRule>
  </conditionalFormatting>
  <conditionalFormatting sqref="L149">
    <cfRule type="cellIs" dxfId="1213" priority="898" operator="equal">
      <formula>0</formula>
    </cfRule>
  </conditionalFormatting>
  <conditionalFormatting sqref="I147:I148 K147:L148">
    <cfRule type="cellIs" dxfId="1212" priority="897" operator="equal">
      <formula>0</formula>
    </cfRule>
  </conditionalFormatting>
  <conditionalFormatting sqref="I151:I152 K151:L152">
    <cfRule type="cellIs" dxfId="1211" priority="894" operator="equal">
      <formula>0</formula>
    </cfRule>
  </conditionalFormatting>
  <conditionalFormatting sqref="O85">
    <cfRule type="cellIs" dxfId="1210" priority="882" operator="equal">
      <formula>0</formula>
    </cfRule>
  </conditionalFormatting>
  <conditionalFormatting sqref="O86:O97">
    <cfRule type="cellIs" dxfId="1209" priority="883" operator="equal">
      <formula>0</formula>
    </cfRule>
  </conditionalFormatting>
  <conditionalFormatting sqref="O97">
    <cfRule type="cellIs" dxfId="1208" priority="881" operator="equal">
      <formula>0</formula>
    </cfRule>
  </conditionalFormatting>
  <conditionalFormatting sqref="P85:P97">
    <cfRule type="cellIs" dxfId="1207" priority="880" operator="equal">
      <formula>0</formula>
    </cfRule>
  </conditionalFormatting>
  <conditionalFormatting sqref="K91">
    <cfRule type="cellIs" dxfId="1206" priority="876" operator="equal">
      <formula>0</formula>
    </cfRule>
  </conditionalFormatting>
  <conditionalFormatting sqref="K96">
    <cfRule type="cellIs" dxfId="1205" priority="872" operator="equal">
      <formula>0</formula>
    </cfRule>
  </conditionalFormatting>
  <conditionalFormatting sqref="I90">
    <cfRule type="cellIs" dxfId="1204" priority="879" operator="equal">
      <formula>0</formula>
    </cfRule>
  </conditionalFormatting>
  <conditionalFormatting sqref="I91">
    <cfRule type="cellIs" dxfId="1203" priority="878" operator="equal">
      <formula>0</formula>
    </cfRule>
  </conditionalFormatting>
  <conditionalFormatting sqref="K90">
    <cfRule type="cellIs" dxfId="1202" priority="877" operator="equal">
      <formula>0</formula>
    </cfRule>
  </conditionalFormatting>
  <conditionalFormatting sqref="I95">
    <cfRule type="cellIs" dxfId="1201" priority="875" operator="equal">
      <formula>0</formula>
    </cfRule>
  </conditionalFormatting>
  <conditionalFormatting sqref="I96">
    <cfRule type="cellIs" dxfId="1200" priority="874" operator="equal">
      <formula>0</formula>
    </cfRule>
  </conditionalFormatting>
  <conditionalFormatting sqref="K95">
    <cfRule type="cellIs" dxfId="1199" priority="873" operator="equal">
      <formula>0</formula>
    </cfRule>
  </conditionalFormatting>
  <conditionalFormatting sqref="C26">
    <cfRule type="cellIs" dxfId="1198" priority="845" operator="equal">
      <formula>0</formula>
    </cfRule>
  </conditionalFormatting>
  <conditionalFormatting sqref="C44">
    <cfRule type="cellIs" dxfId="1197" priority="833" operator="equal">
      <formula>0</formula>
    </cfRule>
  </conditionalFormatting>
  <conditionalFormatting sqref="B34">
    <cfRule type="cellIs" dxfId="1196" priority="840" operator="equal">
      <formula>0</formula>
    </cfRule>
  </conditionalFormatting>
  <conditionalFormatting sqref="C72">
    <cfRule type="cellIs" dxfId="1195" priority="709" operator="equal">
      <formula>0</formula>
    </cfRule>
  </conditionalFormatting>
  <conditionalFormatting sqref="C150">
    <cfRule type="cellIs" dxfId="1194" priority="735" operator="equal">
      <formula>0</formula>
    </cfRule>
  </conditionalFormatting>
  <conditionalFormatting sqref="C146">
    <cfRule type="cellIs" dxfId="1193" priority="741" operator="equal">
      <formula>0</formula>
    </cfRule>
  </conditionalFormatting>
  <conditionalFormatting sqref="B146">
    <cfRule type="cellIs" dxfId="1192" priority="740" operator="equal">
      <formula>0</formula>
    </cfRule>
  </conditionalFormatting>
  <conditionalFormatting sqref="C45">
    <cfRule type="cellIs" dxfId="1191" priority="832" operator="equal">
      <formula>0</formula>
    </cfRule>
  </conditionalFormatting>
  <conditionalFormatting sqref="C13">
    <cfRule type="cellIs" dxfId="1190" priority="858" operator="equal">
      <formula>0</formula>
    </cfRule>
  </conditionalFormatting>
  <conditionalFormatting sqref="C73">
    <cfRule type="cellIs" dxfId="1189" priority="817" operator="equal">
      <formula>0</formula>
    </cfRule>
  </conditionalFormatting>
  <conditionalFormatting sqref="C77">
    <cfRule type="cellIs" dxfId="1188" priority="815" operator="equal">
      <formula>0</formula>
    </cfRule>
  </conditionalFormatting>
  <conditionalFormatting sqref="B24">
    <cfRule type="cellIs" dxfId="1187" priority="850" operator="equal">
      <formula>0</formula>
    </cfRule>
  </conditionalFormatting>
  <conditionalFormatting sqref="B26">
    <cfRule type="cellIs" dxfId="1186" priority="846" operator="equal">
      <formula>0</formula>
    </cfRule>
  </conditionalFormatting>
  <conditionalFormatting sqref="E33">
    <cfRule type="cellIs" dxfId="1185" priority="843" operator="equal">
      <formula>0</formula>
    </cfRule>
  </conditionalFormatting>
  <conditionalFormatting sqref="B33">
    <cfRule type="cellIs" dxfId="1184" priority="844" operator="equal">
      <formula>0</formula>
    </cfRule>
  </conditionalFormatting>
  <conditionalFormatting sqref="D33">
    <cfRule type="cellIs" dxfId="1183" priority="842" operator="equal">
      <formula>0</formula>
    </cfRule>
  </conditionalFormatting>
  <conditionalFormatting sqref="C33">
    <cfRule type="cellIs" dxfId="1182" priority="841" operator="equal">
      <formula>0</formula>
    </cfRule>
  </conditionalFormatting>
  <conditionalFormatting sqref="C34">
    <cfRule type="cellIs" dxfId="1181" priority="839" operator="equal">
      <formula>0</formula>
    </cfRule>
  </conditionalFormatting>
  <conditionalFormatting sqref="C74">
    <cfRule type="cellIs" dxfId="1180" priority="816" operator="equal">
      <formula>0</formula>
    </cfRule>
  </conditionalFormatting>
  <conditionalFormatting sqref="B44">
    <cfRule type="cellIs" dxfId="1179" priority="835" operator="equal">
      <formula>0</formula>
    </cfRule>
  </conditionalFormatting>
  <conditionalFormatting sqref="C61">
    <cfRule type="cellIs" dxfId="1178" priority="828" operator="equal">
      <formula>0</formula>
    </cfRule>
  </conditionalFormatting>
  <conditionalFormatting sqref="C80">
    <cfRule type="cellIs" dxfId="1177" priority="813" operator="equal">
      <formula>0</formula>
    </cfRule>
  </conditionalFormatting>
  <conditionalFormatting sqref="C63">
    <cfRule type="cellIs" dxfId="1176" priority="826" operator="equal">
      <formula>0</formula>
    </cfRule>
  </conditionalFormatting>
  <conditionalFormatting sqref="C71">
    <cfRule type="cellIs" dxfId="1175" priority="818" operator="equal">
      <formula>0</formula>
    </cfRule>
  </conditionalFormatting>
  <conditionalFormatting sqref="C79">
    <cfRule type="cellIs" dxfId="1174" priority="814" operator="equal">
      <formula>0</formula>
    </cfRule>
  </conditionalFormatting>
  <conditionalFormatting sqref="C82">
    <cfRule type="cellIs" dxfId="1173" priority="811" operator="equal">
      <formula>0</formula>
    </cfRule>
  </conditionalFormatting>
  <conditionalFormatting sqref="C85">
    <cfRule type="cellIs" dxfId="1172" priority="810" operator="equal">
      <formula>0</formula>
    </cfRule>
  </conditionalFormatting>
  <conditionalFormatting sqref="C86">
    <cfRule type="cellIs" dxfId="1171" priority="809" operator="equal">
      <formula>0</formula>
    </cfRule>
  </conditionalFormatting>
  <conditionalFormatting sqref="C87">
    <cfRule type="cellIs" dxfId="1170" priority="808" operator="equal">
      <formula>0</formula>
    </cfRule>
  </conditionalFormatting>
  <conditionalFormatting sqref="C88">
    <cfRule type="cellIs" dxfId="1169" priority="807" operator="equal">
      <formula>0</formula>
    </cfRule>
  </conditionalFormatting>
  <conditionalFormatting sqref="C89">
    <cfRule type="cellIs" dxfId="1168" priority="806" operator="equal">
      <formula>0</formula>
    </cfRule>
  </conditionalFormatting>
  <conditionalFormatting sqref="C90">
    <cfRule type="cellIs" dxfId="1167" priority="805" operator="equal">
      <formula>0</formula>
    </cfRule>
  </conditionalFormatting>
  <conditionalFormatting sqref="C91">
    <cfRule type="cellIs" dxfId="1166" priority="804" operator="equal">
      <formula>0</formula>
    </cfRule>
  </conditionalFormatting>
  <conditionalFormatting sqref="C94">
    <cfRule type="cellIs" dxfId="1165" priority="802" operator="equal">
      <formula>0</formula>
    </cfRule>
  </conditionalFormatting>
  <conditionalFormatting sqref="C95">
    <cfRule type="cellIs" dxfId="1164" priority="801" operator="equal">
      <formula>0</formula>
    </cfRule>
  </conditionalFormatting>
  <conditionalFormatting sqref="C96">
    <cfRule type="cellIs" dxfId="1163" priority="800" operator="equal">
      <formula>0</formula>
    </cfRule>
  </conditionalFormatting>
  <conditionalFormatting sqref="C99">
    <cfRule type="cellIs" dxfId="1162" priority="791" operator="equal">
      <formula>0</formula>
    </cfRule>
  </conditionalFormatting>
  <conditionalFormatting sqref="B99">
    <cfRule type="cellIs" dxfId="1161" priority="795" operator="equal">
      <formula>0</formula>
    </cfRule>
  </conditionalFormatting>
  <conditionalFormatting sqref="B99">
    <cfRule type="cellIs" dxfId="1160" priority="796" operator="equal">
      <formula>0</formula>
    </cfRule>
  </conditionalFormatting>
  <conditionalFormatting sqref="C103">
    <cfRule type="cellIs" dxfId="1159" priority="787" operator="equal">
      <formula>0</formula>
    </cfRule>
  </conditionalFormatting>
  <conditionalFormatting sqref="B103">
    <cfRule type="cellIs" dxfId="1158" priority="786" operator="equal">
      <formula>0</formula>
    </cfRule>
  </conditionalFormatting>
  <conditionalFormatting sqref="C104">
    <cfRule type="cellIs" dxfId="1157" priority="788" operator="equal">
      <formula>0</formula>
    </cfRule>
  </conditionalFormatting>
  <conditionalFormatting sqref="O98">
    <cfRule type="cellIs" dxfId="1156" priority="790" operator="equal">
      <formula>0</formula>
    </cfRule>
  </conditionalFormatting>
  <conditionalFormatting sqref="P98">
    <cfRule type="cellIs" dxfId="1155" priority="789" operator="equal">
      <formula>0</formula>
    </cfRule>
  </conditionalFormatting>
  <conditionalFormatting sqref="C108">
    <cfRule type="cellIs" dxfId="1154" priority="780" operator="equal">
      <formula>0</formula>
    </cfRule>
  </conditionalFormatting>
  <conditionalFormatting sqref="B106:B107">
    <cfRule type="cellIs" dxfId="1153" priority="784" operator="equal">
      <formula>0</formula>
    </cfRule>
  </conditionalFormatting>
  <conditionalFormatting sqref="C106:C107">
    <cfRule type="cellIs" dxfId="1152" priority="783" operator="equal">
      <formula>0</formula>
    </cfRule>
  </conditionalFormatting>
  <conditionalFormatting sqref="A106:A107">
    <cfRule type="cellIs" dxfId="1151" priority="785" operator="equal">
      <formula>0</formula>
    </cfRule>
  </conditionalFormatting>
  <conditionalFormatting sqref="D107:E107">
    <cfRule type="cellIs" dxfId="1150" priority="782" operator="equal">
      <formula>0</formula>
    </cfRule>
  </conditionalFormatting>
  <conditionalFormatting sqref="D106:E106">
    <cfRule type="cellIs" dxfId="1149" priority="781" operator="equal">
      <formula>0</formula>
    </cfRule>
  </conditionalFormatting>
  <conditionalFormatting sqref="C112">
    <cfRule type="cellIs" dxfId="1148" priority="776" operator="equal">
      <formula>0</formula>
    </cfRule>
  </conditionalFormatting>
  <conditionalFormatting sqref="C111">
    <cfRule type="cellIs" dxfId="1147" priority="775" operator="equal">
      <formula>0</formula>
    </cfRule>
  </conditionalFormatting>
  <conditionalFormatting sqref="C109">
    <cfRule type="cellIs" dxfId="1146" priority="779" operator="equal">
      <formula>0</formula>
    </cfRule>
  </conditionalFormatting>
  <conditionalFormatting sqref="B144">
    <cfRule type="cellIs" dxfId="1145" priority="744" operator="equal">
      <formula>0</formula>
    </cfRule>
  </conditionalFormatting>
  <conditionalFormatting sqref="A145">
    <cfRule type="cellIs" dxfId="1144" priority="738" operator="equal">
      <formula>0</formula>
    </cfRule>
  </conditionalFormatting>
  <conditionalFormatting sqref="C115">
    <cfRule type="cellIs" dxfId="1143" priority="774" operator="equal">
      <formula>0</formula>
    </cfRule>
  </conditionalFormatting>
  <conditionalFormatting sqref="C116">
    <cfRule type="cellIs" dxfId="1142" priority="773" operator="equal">
      <formula>0</formula>
    </cfRule>
  </conditionalFormatting>
  <conditionalFormatting sqref="C120">
    <cfRule type="cellIs" dxfId="1141" priority="771" operator="equal">
      <formula>0</formula>
    </cfRule>
  </conditionalFormatting>
  <conditionalFormatting sqref="C124">
    <cfRule type="cellIs" dxfId="1140" priority="770" operator="equal">
      <formula>0</formula>
    </cfRule>
  </conditionalFormatting>
  <conditionalFormatting sqref="C125">
    <cfRule type="cellIs" dxfId="1139" priority="769" operator="equal">
      <formula>0</formula>
    </cfRule>
  </conditionalFormatting>
  <conditionalFormatting sqref="B127">
    <cfRule type="cellIs" dxfId="1138" priority="767" operator="equal">
      <formula>0</formula>
    </cfRule>
  </conditionalFormatting>
  <conditionalFormatting sqref="B128">
    <cfRule type="cellIs" dxfId="1137" priority="765" operator="equal">
      <formula>0</formula>
    </cfRule>
  </conditionalFormatting>
  <conditionalFormatting sqref="C129">
    <cfRule type="cellIs" dxfId="1136" priority="764" operator="equal">
      <formula>0</formula>
    </cfRule>
  </conditionalFormatting>
  <conditionalFormatting sqref="B129">
    <cfRule type="cellIs" dxfId="1135" priority="763" operator="equal">
      <formula>0</formula>
    </cfRule>
  </conditionalFormatting>
  <conditionalFormatting sqref="C130">
    <cfRule type="cellIs" dxfId="1134" priority="762" operator="equal">
      <formula>0</formula>
    </cfRule>
  </conditionalFormatting>
  <conditionalFormatting sqref="B130">
    <cfRule type="cellIs" dxfId="1133" priority="761" operator="equal">
      <formula>0</formula>
    </cfRule>
  </conditionalFormatting>
  <conditionalFormatting sqref="C133">
    <cfRule type="cellIs" dxfId="1132" priority="760" operator="equal">
      <formula>0</formula>
    </cfRule>
  </conditionalFormatting>
  <conditionalFormatting sqref="B133">
    <cfRule type="cellIs" dxfId="1131" priority="759" operator="equal">
      <formula>0</formula>
    </cfRule>
  </conditionalFormatting>
  <conditionalFormatting sqref="C153">
    <cfRule type="cellIs" dxfId="1130" priority="732" operator="equal">
      <formula>0</formula>
    </cfRule>
  </conditionalFormatting>
  <conditionalFormatting sqref="C138">
    <cfRule type="cellIs" dxfId="1129" priority="753" operator="equal">
      <formula>0</formula>
    </cfRule>
  </conditionalFormatting>
  <conditionalFormatting sqref="A144">
    <cfRule type="cellIs" dxfId="1128" priority="737" operator="equal">
      <formula>0</formula>
    </cfRule>
  </conditionalFormatting>
  <conditionalFormatting sqref="B139:B140 B142">
    <cfRule type="cellIs" dxfId="1127" priority="748" operator="equal">
      <formula>0</formula>
    </cfRule>
  </conditionalFormatting>
  <conditionalFormatting sqref="B143">
    <cfRule type="cellIs" dxfId="1126" priority="747" operator="equal">
      <formula>0</formula>
    </cfRule>
  </conditionalFormatting>
  <conditionalFormatting sqref="C143">
    <cfRule type="cellIs" dxfId="1125" priority="746" operator="equal">
      <formula>0</formula>
    </cfRule>
  </conditionalFormatting>
  <conditionalFormatting sqref="C144">
    <cfRule type="cellIs" dxfId="1124" priority="745" operator="equal">
      <formula>0</formula>
    </cfRule>
  </conditionalFormatting>
  <conditionalFormatting sqref="C151">
    <cfRule type="cellIs" dxfId="1123" priority="734" operator="equal">
      <formula>0</formula>
    </cfRule>
  </conditionalFormatting>
  <conditionalFormatting sqref="A146">
    <cfRule type="cellIs" dxfId="1122" priority="739" operator="equal">
      <formula>0</formula>
    </cfRule>
  </conditionalFormatting>
  <conditionalFormatting sqref="C149">
    <cfRule type="cellIs" dxfId="1121" priority="736" operator="equal">
      <formula>0</formula>
    </cfRule>
  </conditionalFormatting>
  <conditionalFormatting sqref="B153">
    <cfRule type="cellIs" dxfId="1120" priority="731" operator="equal">
      <formula>0</formula>
    </cfRule>
  </conditionalFormatting>
  <conditionalFormatting sqref="C154">
    <cfRule type="cellIs" dxfId="1119" priority="730" operator="equal">
      <formula>0</formula>
    </cfRule>
  </conditionalFormatting>
  <conditionalFormatting sqref="B154">
    <cfRule type="cellIs" dxfId="1118" priority="729" operator="equal">
      <formula>0</formula>
    </cfRule>
  </conditionalFormatting>
  <conditionalFormatting sqref="B163">
    <cfRule type="cellIs" dxfId="1117" priority="726" operator="equal">
      <formula>0</formula>
    </cfRule>
  </conditionalFormatting>
  <conditionalFormatting sqref="C163">
    <cfRule type="cellIs" dxfId="1116" priority="725" operator="equal">
      <formula>0</formula>
    </cfRule>
  </conditionalFormatting>
  <conditionalFormatting sqref="C164">
    <cfRule type="cellIs" dxfId="1115" priority="724" operator="equal">
      <formula>0</formula>
    </cfRule>
  </conditionalFormatting>
  <conditionalFormatting sqref="C167">
    <cfRule type="cellIs" dxfId="1114" priority="718" operator="equal">
      <formula>0</formula>
    </cfRule>
  </conditionalFormatting>
  <conditionalFormatting sqref="B167">
    <cfRule type="cellIs" dxfId="1113" priority="717" operator="equal">
      <formula>0</formula>
    </cfRule>
  </conditionalFormatting>
  <conditionalFormatting sqref="C169">
    <cfRule type="cellIs" dxfId="1112" priority="714" operator="equal">
      <formula>0</formula>
    </cfRule>
  </conditionalFormatting>
  <conditionalFormatting sqref="B70">
    <cfRule type="cellIs" dxfId="1111" priority="712" operator="equal">
      <formula>0</formula>
    </cfRule>
  </conditionalFormatting>
  <conditionalFormatting sqref="C70">
    <cfRule type="cellIs" dxfId="1110" priority="711" operator="equal">
      <formula>0</formula>
    </cfRule>
  </conditionalFormatting>
  <conditionalFormatting sqref="B72">
    <cfRule type="cellIs" dxfId="1109" priority="710" operator="equal">
      <formula>0</formula>
    </cfRule>
  </conditionalFormatting>
  <conditionalFormatting sqref="B25">
    <cfRule type="cellIs" dxfId="1108" priority="708" operator="equal">
      <formula>0</formula>
    </cfRule>
  </conditionalFormatting>
  <conditionalFormatting sqref="C25">
    <cfRule type="cellIs" dxfId="1107" priority="707" operator="equal">
      <formula>0</formula>
    </cfRule>
  </conditionalFormatting>
  <conditionalFormatting sqref="C110">
    <cfRule type="cellIs" dxfId="1106" priority="700" operator="equal">
      <formula>0</formula>
    </cfRule>
  </conditionalFormatting>
  <conditionalFormatting sqref="F49:F58">
    <cfRule type="cellIs" dxfId="1105" priority="704" operator="equal">
      <formula>0</formula>
    </cfRule>
  </conditionalFormatting>
  <conditionalFormatting sqref="D7">
    <cfRule type="cellIs" dxfId="1104" priority="554" operator="equal">
      <formula>0</formula>
    </cfRule>
  </conditionalFormatting>
  <conditionalFormatting sqref="D9">
    <cfRule type="cellIs" dxfId="1103" priority="519" operator="equal">
      <formula>0</formula>
    </cfRule>
  </conditionalFormatting>
  <conditionalFormatting sqref="B24">
    <cfRule type="cellIs" dxfId="1102" priority="682" operator="equal">
      <formula>0</formula>
    </cfRule>
  </conditionalFormatting>
  <conditionalFormatting sqref="F39:F47">
    <cfRule type="cellIs" dxfId="1101" priority="693" operator="equal">
      <formula>0</formula>
    </cfRule>
  </conditionalFormatting>
  <conditionalFormatting sqref="C4">
    <cfRule type="cellIs" dxfId="1100" priority="685" operator="equal">
      <formula>0</formula>
    </cfRule>
  </conditionalFormatting>
  <conditionalFormatting sqref="C62">
    <cfRule type="cellIs" dxfId="1099" priority="691" operator="equal">
      <formula>0</formula>
    </cfRule>
  </conditionalFormatting>
  <conditionalFormatting sqref="C4">
    <cfRule type="cellIs" dxfId="1098" priority="686" operator="equal">
      <formula>0</formula>
    </cfRule>
  </conditionalFormatting>
  <conditionalFormatting sqref="B26">
    <cfRule type="cellIs" dxfId="1097" priority="669" operator="equal">
      <formula>0</formula>
    </cfRule>
  </conditionalFormatting>
  <conditionalFormatting sqref="B35">
    <cfRule type="cellIs" dxfId="1096" priority="649" operator="equal">
      <formula>0</formula>
    </cfRule>
  </conditionalFormatting>
  <conditionalFormatting sqref="C35">
    <cfRule type="cellIs" dxfId="1095" priority="648" operator="equal">
      <formula>0</formula>
    </cfRule>
  </conditionalFormatting>
  <conditionalFormatting sqref="C26">
    <cfRule type="cellIs" dxfId="1094" priority="675" operator="equal">
      <formula>0</formula>
    </cfRule>
  </conditionalFormatting>
  <conditionalFormatting sqref="E7:E11">
    <cfRule type="cellIs" dxfId="1093" priority="547" operator="equal">
      <formula>0</formula>
    </cfRule>
  </conditionalFormatting>
  <conditionalFormatting sqref="D7:D11">
    <cfRule type="cellIs" dxfId="1092" priority="546" operator="equal">
      <formula>0</formula>
    </cfRule>
  </conditionalFormatting>
  <conditionalFormatting sqref="C25">
    <cfRule type="cellIs" dxfId="1091" priority="677" operator="equal">
      <formula>0</formula>
    </cfRule>
  </conditionalFormatting>
  <conditionalFormatting sqref="C25">
    <cfRule type="cellIs" dxfId="1090" priority="672" operator="equal">
      <formula>0</formula>
    </cfRule>
  </conditionalFormatting>
  <conditionalFormatting sqref="C25">
    <cfRule type="cellIs" dxfId="1089" priority="666" operator="equal">
      <formula>0</formula>
    </cfRule>
  </conditionalFormatting>
  <conditionalFormatting sqref="B26">
    <cfRule type="cellIs" dxfId="1088" priority="665" operator="equal">
      <formula>0</formula>
    </cfRule>
  </conditionalFormatting>
  <conditionalFormatting sqref="B25">
    <cfRule type="cellIs" dxfId="1087" priority="678" operator="equal">
      <formula>0</formula>
    </cfRule>
  </conditionalFormatting>
  <conditionalFormatting sqref="B26">
    <cfRule type="cellIs" dxfId="1086" priority="676" operator="equal">
      <formula>0</formula>
    </cfRule>
  </conditionalFormatting>
  <conditionalFormatting sqref="C26">
    <cfRule type="cellIs" dxfId="1085" priority="664" operator="equal">
      <formula>0</formula>
    </cfRule>
  </conditionalFormatting>
  <conditionalFormatting sqref="B27">
    <cfRule type="cellIs" dxfId="1084" priority="671" operator="equal">
      <formula>0</formula>
    </cfRule>
  </conditionalFormatting>
  <conditionalFormatting sqref="B25">
    <cfRule type="cellIs" dxfId="1083" priority="667" operator="equal">
      <formula>0</formula>
    </cfRule>
  </conditionalFormatting>
  <conditionalFormatting sqref="B25">
    <cfRule type="cellIs" dxfId="1082" priority="673" operator="equal">
      <formula>0</formula>
    </cfRule>
  </conditionalFormatting>
  <conditionalFormatting sqref="C26">
    <cfRule type="cellIs" dxfId="1081" priority="668" operator="equal">
      <formula>0</formula>
    </cfRule>
  </conditionalFormatting>
  <conditionalFormatting sqref="C27">
    <cfRule type="cellIs" dxfId="1080" priority="670" operator="equal">
      <formula>0</formula>
    </cfRule>
  </conditionalFormatting>
  <conditionalFormatting sqref="C24">
    <cfRule type="cellIs" dxfId="1079" priority="661" operator="equal">
      <formula>0</formula>
    </cfRule>
  </conditionalFormatting>
  <conditionalFormatting sqref="B27">
    <cfRule type="cellIs" dxfId="1078" priority="663" operator="equal">
      <formula>0</formula>
    </cfRule>
  </conditionalFormatting>
  <conditionalFormatting sqref="C27">
    <cfRule type="cellIs" dxfId="1077" priority="662" operator="equal">
      <formula>0</formula>
    </cfRule>
  </conditionalFormatting>
  <conditionalFormatting sqref="C24">
    <cfRule type="cellIs" dxfId="1076" priority="660" operator="equal">
      <formula>0</formula>
    </cfRule>
  </conditionalFormatting>
  <conditionalFormatting sqref="B34">
    <cfRule type="cellIs" dxfId="1075" priority="659" operator="equal">
      <formula>0</formula>
    </cfRule>
  </conditionalFormatting>
  <conditionalFormatting sqref="B33">
    <cfRule type="cellIs" dxfId="1074" priority="658" operator="equal">
      <formula>0</formula>
    </cfRule>
  </conditionalFormatting>
  <conditionalFormatting sqref="C33">
    <cfRule type="cellIs" dxfId="1073" priority="657" operator="equal">
      <formula>0</formula>
    </cfRule>
  </conditionalFormatting>
  <conditionalFormatting sqref="C34">
    <cfRule type="cellIs" dxfId="1072" priority="656" operator="equal">
      <formula>0</formula>
    </cfRule>
  </conditionalFormatting>
  <conditionalFormatting sqref="E35">
    <cfRule type="cellIs" dxfId="1071" priority="653" operator="equal">
      <formula>0</formula>
    </cfRule>
  </conditionalFormatting>
  <conditionalFormatting sqref="D35">
    <cfRule type="cellIs" dxfId="1070" priority="652" operator="equal">
      <formula>0</formula>
    </cfRule>
  </conditionalFormatting>
  <conditionalFormatting sqref="B35">
    <cfRule type="cellIs" dxfId="1069" priority="651" operator="equal">
      <formula>0</formula>
    </cfRule>
  </conditionalFormatting>
  <conditionalFormatting sqref="C35">
    <cfRule type="cellIs" dxfId="1068" priority="650" operator="equal">
      <formula>0</formula>
    </cfRule>
  </conditionalFormatting>
  <conditionalFormatting sqref="C96">
    <cfRule type="cellIs" dxfId="1067" priority="647" operator="equal">
      <formula>0</formula>
    </cfRule>
  </conditionalFormatting>
  <conditionalFormatting sqref="C85">
    <cfRule type="cellIs" dxfId="1066" priority="646" operator="equal">
      <formula>0</formula>
    </cfRule>
  </conditionalFormatting>
  <conditionalFormatting sqref="C86">
    <cfRule type="cellIs" dxfId="1065" priority="645" operator="equal">
      <formula>0</formula>
    </cfRule>
  </conditionalFormatting>
  <conditionalFormatting sqref="C87">
    <cfRule type="cellIs" dxfId="1064" priority="644" operator="equal">
      <formula>0</formula>
    </cfRule>
  </conditionalFormatting>
  <conditionalFormatting sqref="C88">
    <cfRule type="cellIs" dxfId="1063" priority="643" operator="equal">
      <formula>0</formula>
    </cfRule>
  </conditionalFormatting>
  <conditionalFormatting sqref="C89">
    <cfRule type="cellIs" dxfId="1062" priority="642" operator="equal">
      <formula>0</formula>
    </cfRule>
  </conditionalFormatting>
  <conditionalFormatting sqref="C90">
    <cfRule type="cellIs" dxfId="1061" priority="641" operator="equal">
      <formula>0</formula>
    </cfRule>
  </conditionalFormatting>
  <conditionalFormatting sqref="C95">
    <cfRule type="cellIs" dxfId="1060" priority="639" operator="equal">
      <formula>0</formula>
    </cfRule>
  </conditionalFormatting>
  <conditionalFormatting sqref="C91">
    <cfRule type="cellIs" dxfId="1059" priority="640" operator="equal">
      <formula>0</formula>
    </cfRule>
  </conditionalFormatting>
  <conditionalFormatting sqref="C94">
    <cfRule type="cellIs" dxfId="1058" priority="638" operator="equal">
      <formula>0</formula>
    </cfRule>
  </conditionalFormatting>
  <conditionalFormatting sqref="B90">
    <cfRule type="cellIs" dxfId="1057" priority="637" operator="equal">
      <formula>0</formula>
    </cfRule>
  </conditionalFormatting>
  <conditionalFormatting sqref="F103:F107">
    <cfRule type="cellIs" dxfId="1056" priority="632" operator="equal">
      <formula>0</formula>
    </cfRule>
  </conditionalFormatting>
  <conditionalFormatting sqref="C52">
    <cfRule type="cellIs" dxfId="1055" priority="621" operator="equal">
      <formula>0</formula>
    </cfRule>
  </conditionalFormatting>
  <conditionalFormatting sqref="B46:B47">
    <cfRule type="cellIs" dxfId="1054" priority="611" operator="equal">
      <formula>0</formula>
    </cfRule>
  </conditionalFormatting>
  <conditionalFormatting sqref="C40">
    <cfRule type="cellIs" dxfId="1053" priority="601" operator="equal">
      <formula>0</formula>
    </cfRule>
  </conditionalFormatting>
  <conditionalFormatting sqref="C64">
    <cfRule type="cellIs" dxfId="1052" priority="598" operator="equal">
      <formula>0</formula>
    </cfRule>
  </conditionalFormatting>
  <conditionalFormatting sqref="B110">
    <cfRule type="cellIs" dxfId="1051" priority="636" operator="equal">
      <formula>0</formula>
    </cfRule>
  </conditionalFormatting>
  <conditionalFormatting sqref="C110">
    <cfRule type="cellIs" dxfId="1050" priority="635" operator="equal">
      <formula>0</formula>
    </cfRule>
  </conditionalFormatting>
  <conditionalFormatting sqref="C109">
    <cfRule type="cellIs" dxfId="1049" priority="634" operator="equal">
      <formula>0</formula>
    </cfRule>
  </conditionalFormatting>
  <conditionalFormatting sqref="C108">
    <cfRule type="cellIs" dxfId="1048" priority="633" operator="equal">
      <formula>0</formula>
    </cfRule>
  </conditionalFormatting>
  <conditionalFormatting sqref="A50:B50">
    <cfRule type="cellIs" dxfId="1047" priority="631" operator="equal">
      <formula>0</formula>
    </cfRule>
  </conditionalFormatting>
  <conditionalFormatting sqref="C50">
    <cfRule type="cellIs" dxfId="1046" priority="628" operator="equal">
      <formula>0</formula>
    </cfRule>
  </conditionalFormatting>
  <conditionalFormatting sqref="C53">
    <cfRule type="cellIs" dxfId="1045" priority="629" operator="equal">
      <formula>0</formula>
    </cfRule>
  </conditionalFormatting>
  <conditionalFormatting sqref="C49">
    <cfRule type="cellIs" dxfId="1044" priority="627" operator="equal">
      <formula>0</formula>
    </cfRule>
  </conditionalFormatting>
  <conditionalFormatting sqref="C49">
    <cfRule type="cellIs" dxfId="1043" priority="626" operator="equal">
      <formula>0</formula>
    </cfRule>
  </conditionalFormatting>
  <conditionalFormatting sqref="C53">
    <cfRule type="cellIs" dxfId="1042" priority="625" operator="equal">
      <formula>0</formula>
    </cfRule>
  </conditionalFormatting>
  <conditionalFormatting sqref="C53">
    <cfRule type="cellIs" dxfId="1041" priority="624" operator="equal">
      <formula>0</formula>
    </cfRule>
  </conditionalFormatting>
  <conditionalFormatting sqref="C57">
    <cfRule type="cellIs" dxfId="1040" priority="623" operator="equal">
      <formula>0</formula>
    </cfRule>
  </conditionalFormatting>
  <conditionalFormatting sqref="C52">
    <cfRule type="cellIs" dxfId="1039" priority="622" operator="equal">
      <formula>0</formula>
    </cfRule>
  </conditionalFormatting>
  <conditionalFormatting sqref="B39">
    <cfRule type="cellIs" dxfId="1038" priority="605" operator="equal">
      <formula>0</formula>
    </cfRule>
  </conditionalFormatting>
  <conditionalFormatting sqref="E39">
    <cfRule type="cellIs" dxfId="1037" priority="604" operator="equal">
      <formula>0</formula>
    </cfRule>
  </conditionalFormatting>
  <conditionalFormatting sqref="D39">
    <cfRule type="cellIs" dxfId="1036" priority="603" operator="equal">
      <formula>0</formula>
    </cfRule>
  </conditionalFormatting>
  <conditionalFormatting sqref="C67">
    <cfRule type="cellIs" dxfId="1035" priority="596" operator="equal">
      <formula>0</formula>
    </cfRule>
  </conditionalFormatting>
  <conditionalFormatting sqref="C78">
    <cfRule type="cellIs" dxfId="1034" priority="599" operator="equal">
      <formula>0</formula>
    </cfRule>
  </conditionalFormatting>
  <conditionalFormatting sqref="C118">
    <cfRule type="cellIs" dxfId="1033" priority="595" operator="equal">
      <formula>0</formula>
    </cfRule>
  </conditionalFormatting>
  <conditionalFormatting sqref="C128">
    <cfRule type="cellIs" dxfId="1032" priority="590" operator="equal">
      <formula>0</formula>
    </cfRule>
  </conditionalFormatting>
  <conditionalFormatting sqref="B119">
    <cfRule type="cellIs" dxfId="1031" priority="591" operator="equal">
      <formula>0</formula>
    </cfRule>
  </conditionalFormatting>
  <conditionalFormatting sqref="B2">
    <cfRule type="cellIs" dxfId="1030" priority="589" operator="equal">
      <formula>0</formula>
    </cfRule>
  </conditionalFormatting>
  <conditionalFormatting sqref="E2">
    <cfRule type="cellIs" dxfId="1029" priority="585" operator="equal">
      <formula>0</formula>
    </cfRule>
  </conditionalFormatting>
  <conditionalFormatting sqref="E5">
    <cfRule type="cellIs" dxfId="1028" priority="505" operator="equal">
      <formula>0</formula>
    </cfRule>
  </conditionalFormatting>
  <conditionalFormatting sqref="D5">
    <cfRule type="cellIs" dxfId="1027" priority="504" operator="equal">
      <formula>0</formula>
    </cfRule>
  </conditionalFormatting>
  <conditionalFormatting sqref="C3">
    <cfRule type="cellIs" dxfId="1026" priority="495" operator="equal">
      <formula>0</formula>
    </cfRule>
  </conditionalFormatting>
  <conditionalFormatting sqref="E3">
    <cfRule type="cellIs" dxfId="1025" priority="490" operator="equal">
      <formula>0</formula>
    </cfRule>
  </conditionalFormatting>
  <conditionalFormatting sqref="D2:D3">
    <cfRule type="cellIs" dxfId="1024" priority="489" operator="equal">
      <formula>0</formula>
    </cfRule>
  </conditionalFormatting>
  <conditionalFormatting sqref="C3">
    <cfRule type="cellIs" dxfId="1023" priority="488" operator="equal">
      <formula>0</formula>
    </cfRule>
  </conditionalFormatting>
  <conditionalFormatting sqref="C13">
    <cfRule type="cellIs" dxfId="1022" priority="510" operator="equal">
      <formula>0</formula>
    </cfRule>
  </conditionalFormatting>
  <conditionalFormatting sqref="C5">
    <cfRule type="cellIs" dxfId="1021" priority="503" operator="equal">
      <formula>0</formula>
    </cfRule>
  </conditionalFormatting>
  <conditionalFormatting sqref="C8">
    <cfRule type="cellIs" dxfId="1020" priority="545" operator="equal">
      <formula>0</formula>
    </cfRule>
  </conditionalFormatting>
  <conditionalFormatting sqref="E7">
    <cfRule type="cellIs" dxfId="1019" priority="555" operator="equal">
      <formula>0</formula>
    </cfRule>
  </conditionalFormatting>
  <conditionalFormatting sqref="E7">
    <cfRule type="cellIs" dxfId="1018" priority="535" operator="equal">
      <formula>0</formula>
    </cfRule>
  </conditionalFormatting>
  <conditionalFormatting sqref="B8">
    <cfRule type="cellIs" dxfId="1017" priority="552" operator="equal">
      <formula>0</formula>
    </cfRule>
  </conditionalFormatting>
  <conditionalFormatting sqref="E9">
    <cfRule type="cellIs" dxfId="1016" priority="520" operator="equal">
      <formula>0</formula>
    </cfRule>
  </conditionalFormatting>
  <conditionalFormatting sqref="B11">
    <cfRule type="cellIs" dxfId="1015" priority="541" operator="equal">
      <formula>0</formula>
    </cfRule>
  </conditionalFormatting>
  <conditionalFormatting sqref="B5">
    <cfRule type="cellIs" dxfId="1014" priority="509" operator="equal">
      <formula>0</formula>
    </cfRule>
  </conditionalFormatting>
  <conditionalFormatting sqref="C11">
    <cfRule type="cellIs" dxfId="1013" priority="540" operator="equal">
      <formula>0</formula>
    </cfRule>
  </conditionalFormatting>
  <conditionalFormatting sqref="C8">
    <cfRule type="cellIs" dxfId="1012" priority="525" operator="equal">
      <formula>0</formula>
    </cfRule>
  </conditionalFormatting>
  <conditionalFormatting sqref="D7">
    <cfRule type="cellIs" dxfId="1011" priority="534" operator="equal">
      <formula>0</formula>
    </cfRule>
  </conditionalFormatting>
  <conditionalFormatting sqref="B11">
    <cfRule type="cellIs" dxfId="1010" priority="514" operator="equal">
      <formula>0</formula>
    </cfRule>
  </conditionalFormatting>
  <conditionalFormatting sqref="B8">
    <cfRule type="cellIs" dxfId="1009" priority="531" operator="equal">
      <formula>0</formula>
    </cfRule>
  </conditionalFormatting>
  <conditionalFormatting sqref="E8">
    <cfRule type="cellIs" dxfId="1008" priority="527" operator="equal">
      <formula>0</formula>
    </cfRule>
  </conditionalFormatting>
  <conditionalFormatting sqref="D8">
    <cfRule type="cellIs" dxfId="1007" priority="526" operator="equal">
      <formula>0</formula>
    </cfRule>
  </conditionalFormatting>
  <conditionalFormatting sqref="B3">
    <cfRule type="cellIs" dxfId="1006" priority="501" operator="equal">
      <formula>0</formula>
    </cfRule>
  </conditionalFormatting>
  <conditionalFormatting sqref="D6">
    <cfRule type="cellIs" dxfId="1005" priority="482" operator="equal">
      <formula>0</formula>
    </cfRule>
  </conditionalFormatting>
  <conditionalFormatting sqref="C11">
    <cfRule type="cellIs" dxfId="1004" priority="513" operator="equal">
      <formula>0</formula>
    </cfRule>
  </conditionalFormatting>
  <conditionalFormatting sqref="C5">
    <cfRule type="cellIs" dxfId="1003" priority="502" operator="equal">
      <formula>0</formula>
    </cfRule>
  </conditionalFormatting>
  <conditionalFormatting sqref="E3">
    <cfRule type="cellIs" dxfId="1002" priority="497" operator="equal">
      <formula>0</formula>
    </cfRule>
  </conditionalFormatting>
  <conditionalFormatting sqref="D2:D3">
    <cfRule type="cellIs" dxfId="1001" priority="496" operator="equal">
      <formula>0</formula>
    </cfRule>
  </conditionalFormatting>
  <conditionalFormatting sqref="B3">
    <cfRule type="cellIs" dxfId="1000" priority="494" operator="equal">
      <formula>0</formula>
    </cfRule>
  </conditionalFormatting>
  <conditionalFormatting sqref="C3">
    <cfRule type="cellIs" dxfId="999" priority="487" operator="equal">
      <formula>0</formula>
    </cfRule>
  </conditionalFormatting>
  <conditionalFormatting sqref="E6">
    <cfRule type="cellIs" dxfId="998" priority="483" operator="equal">
      <formula>0</formula>
    </cfRule>
  </conditionalFormatting>
  <conditionalFormatting sqref="B6">
    <cfRule type="cellIs" dxfId="997" priority="481" operator="equal">
      <formula>0</formula>
    </cfRule>
  </conditionalFormatting>
  <conditionalFormatting sqref="E6">
    <cfRule type="cellIs" dxfId="996" priority="476" operator="equal">
      <formula>0</formula>
    </cfRule>
  </conditionalFormatting>
  <conditionalFormatting sqref="D6">
    <cfRule type="cellIs" dxfId="995" priority="475" operator="equal">
      <formula>0</formula>
    </cfRule>
  </conditionalFormatting>
  <conditionalFormatting sqref="B6">
    <cfRule type="cellIs" dxfId="994" priority="474" operator="equal">
      <formula>0</formula>
    </cfRule>
  </conditionalFormatting>
  <conditionalFormatting sqref="B11">
    <cfRule type="cellIs" dxfId="993" priority="472" operator="equal">
      <formula>0</formula>
    </cfRule>
  </conditionalFormatting>
  <conditionalFormatting sqref="E11">
    <cfRule type="cellIs" dxfId="992" priority="468" operator="equal">
      <formula>0</formula>
    </cfRule>
  </conditionalFormatting>
  <conditionalFormatting sqref="D11">
    <cfRule type="cellIs" dxfId="991" priority="467" operator="equal">
      <formula>0</formula>
    </cfRule>
  </conditionalFormatting>
  <conditionalFormatting sqref="C11">
    <cfRule type="cellIs" dxfId="990" priority="466" operator="equal">
      <formula>0</formula>
    </cfRule>
  </conditionalFormatting>
  <conditionalFormatting sqref="B12">
    <cfRule type="cellIs" dxfId="989" priority="437" operator="equal">
      <formula>0</formula>
    </cfRule>
  </conditionalFormatting>
  <conditionalFormatting sqref="D8">
    <cfRule type="cellIs" dxfId="988" priority="445" operator="equal">
      <formula>0</formula>
    </cfRule>
  </conditionalFormatting>
  <conditionalFormatting sqref="B8">
    <cfRule type="cellIs" dxfId="987" priority="462" operator="equal">
      <formula>0</formula>
    </cfRule>
  </conditionalFormatting>
  <conditionalFormatting sqref="C8">
    <cfRule type="cellIs" dxfId="986" priority="461" operator="equal">
      <formula>0</formula>
    </cfRule>
  </conditionalFormatting>
  <conditionalFormatting sqref="C160">
    <cfRule type="cellIs" dxfId="985" priority="427" operator="equal">
      <formula>0</formula>
    </cfRule>
  </conditionalFormatting>
  <conditionalFormatting sqref="E7">
    <cfRule type="cellIs" dxfId="984" priority="453" operator="equal">
      <formula>0</formula>
    </cfRule>
  </conditionalFormatting>
  <conditionalFormatting sqref="D7">
    <cfRule type="cellIs" dxfId="983" priority="452" operator="equal">
      <formula>0</formula>
    </cfRule>
  </conditionalFormatting>
  <conditionalFormatting sqref="E12:E16">
    <cfRule type="cellIs" dxfId="982" priority="433" operator="equal">
      <formula>0</formula>
    </cfRule>
  </conditionalFormatting>
  <conditionalFormatting sqref="B8">
    <cfRule type="cellIs" dxfId="981" priority="450" operator="equal">
      <formula>0</formula>
    </cfRule>
  </conditionalFormatting>
  <conditionalFormatting sqref="E8">
    <cfRule type="cellIs" dxfId="980" priority="446" operator="equal">
      <formula>0</formula>
    </cfRule>
  </conditionalFormatting>
  <conditionalFormatting sqref="C8">
    <cfRule type="cellIs" dxfId="979" priority="444" operator="equal">
      <formula>0</formula>
    </cfRule>
  </conditionalFormatting>
  <conditionalFormatting sqref="C126">
    <cfRule type="cellIs" dxfId="978" priority="420" operator="equal">
      <formula>0</formula>
    </cfRule>
  </conditionalFormatting>
  <conditionalFormatting sqref="B11">
    <cfRule type="cellIs" dxfId="977" priority="442" operator="equal">
      <formula>0</formula>
    </cfRule>
  </conditionalFormatting>
  <conditionalFormatting sqref="C2">
    <cfRule type="cellIs" dxfId="976" priority="418" operator="equal">
      <formula>0</formula>
    </cfRule>
  </conditionalFormatting>
  <conditionalFormatting sqref="C145">
    <cfRule type="cellIs" dxfId="975" priority="409" operator="equal">
      <formula>0</formula>
    </cfRule>
  </conditionalFormatting>
  <conditionalFormatting sqref="B145">
    <cfRule type="cellIs" dxfId="974" priority="408" operator="equal">
      <formula>0</formula>
    </cfRule>
  </conditionalFormatting>
  <conditionalFormatting sqref="C11">
    <cfRule type="cellIs" dxfId="973" priority="438" operator="equal">
      <formula>0</formula>
    </cfRule>
  </conditionalFormatting>
  <conditionalFormatting sqref="D12:D16">
    <cfRule type="cellIs" dxfId="972" priority="432" operator="equal">
      <formula>0</formula>
    </cfRule>
  </conditionalFormatting>
  <conditionalFormatting sqref="C12">
    <cfRule type="cellIs" dxfId="971" priority="431" operator="equal">
      <formula>0</formula>
    </cfRule>
  </conditionalFormatting>
  <conditionalFormatting sqref="C69">
    <cfRule type="cellIs" dxfId="970" priority="430" operator="equal">
      <formula>0</formula>
    </cfRule>
  </conditionalFormatting>
  <conditionalFormatting sqref="A134:E134 E126:E133">
    <cfRule type="cellIs" dxfId="969" priority="429" operator="equal">
      <formula>0</formula>
    </cfRule>
  </conditionalFormatting>
  <conditionalFormatting sqref="C39">
    <cfRule type="cellIs" dxfId="968" priority="426" operator="equal">
      <formula>0</formula>
    </cfRule>
  </conditionalFormatting>
  <conditionalFormatting sqref="C6">
    <cfRule type="cellIs" dxfId="967" priority="425" operator="equal">
      <formula>0</formula>
    </cfRule>
  </conditionalFormatting>
  <conditionalFormatting sqref="C6">
    <cfRule type="cellIs" dxfId="966" priority="424" operator="equal">
      <formula>0</formula>
    </cfRule>
  </conditionalFormatting>
  <conditionalFormatting sqref="B142">
    <cfRule type="cellIs" dxfId="965" priority="416" operator="equal">
      <formula>0</formula>
    </cfRule>
  </conditionalFormatting>
  <conditionalFormatting sqref="C140 C142">
    <cfRule type="cellIs" dxfId="964" priority="422" operator="equal">
      <formula>0</formula>
    </cfRule>
  </conditionalFormatting>
  <conditionalFormatting sqref="C66">
    <cfRule type="cellIs" dxfId="963" priority="421" operator="equal">
      <formula>0</formula>
    </cfRule>
  </conditionalFormatting>
  <conditionalFormatting sqref="C2">
    <cfRule type="cellIs" dxfId="962" priority="419" operator="equal">
      <formula>0</formula>
    </cfRule>
  </conditionalFormatting>
  <conditionalFormatting sqref="C2">
    <cfRule type="cellIs" dxfId="961" priority="417" operator="equal">
      <formula>0</formula>
    </cfRule>
  </conditionalFormatting>
  <conditionalFormatting sqref="B143">
    <cfRule type="cellIs" dxfId="960" priority="413" operator="equal">
      <formula>0</formula>
    </cfRule>
  </conditionalFormatting>
  <conditionalFormatting sqref="B144">
    <cfRule type="cellIs" dxfId="959" priority="412" operator="equal">
      <formula>0</formula>
    </cfRule>
  </conditionalFormatting>
  <conditionalFormatting sqref="C143">
    <cfRule type="cellIs" dxfId="958" priority="414" operator="equal">
      <formula>0</formula>
    </cfRule>
  </conditionalFormatting>
  <conditionalFormatting sqref="C142">
    <cfRule type="cellIs" dxfId="957" priority="415" operator="equal">
      <formula>0</formula>
    </cfRule>
  </conditionalFormatting>
  <conditionalFormatting sqref="C144">
    <cfRule type="cellIs" dxfId="956" priority="411" operator="equal">
      <formula>0</formula>
    </cfRule>
  </conditionalFormatting>
  <conditionalFormatting sqref="C145">
    <cfRule type="cellIs" dxfId="955" priority="410" operator="equal">
      <formula>0</formula>
    </cfRule>
  </conditionalFormatting>
  <conditionalFormatting sqref="C56">
    <cfRule type="cellIs" dxfId="954" priority="407" operator="equal">
      <formula>0</formula>
    </cfRule>
  </conditionalFormatting>
  <conditionalFormatting sqref="C56">
    <cfRule type="cellIs" dxfId="953" priority="406" operator="equal">
      <formula>0</formula>
    </cfRule>
  </conditionalFormatting>
  <conditionalFormatting sqref="B121:B123">
    <cfRule type="cellIs" dxfId="952" priority="401" operator="equal">
      <formula>0</formula>
    </cfRule>
  </conditionalFormatting>
  <conditionalFormatting sqref="C121:C123">
    <cfRule type="cellIs" dxfId="951" priority="400" operator="equal">
      <formula>0</formula>
    </cfRule>
  </conditionalFormatting>
  <conditionalFormatting sqref="C41">
    <cfRule type="cellIs" dxfId="950" priority="389" operator="equal">
      <formula>0</formula>
    </cfRule>
  </conditionalFormatting>
  <conditionalFormatting sqref="B41">
    <cfRule type="cellIs" dxfId="949" priority="388" operator="equal">
      <formula>0</formula>
    </cfRule>
  </conditionalFormatting>
  <conditionalFormatting sqref="B13">
    <cfRule type="cellIs" dxfId="948" priority="387" operator="equal">
      <formula>0</formula>
    </cfRule>
  </conditionalFormatting>
  <conditionalFormatting sqref="B28">
    <cfRule type="cellIs" dxfId="947" priority="386" operator="equal">
      <formula>0</formula>
    </cfRule>
  </conditionalFormatting>
  <conditionalFormatting sqref="B28">
    <cfRule type="cellIs" dxfId="946" priority="385" operator="equal">
      <formula>0</formula>
    </cfRule>
  </conditionalFormatting>
  <conditionalFormatting sqref="B28">
    <cfRule type="cellIs" dxfId="945" priority="384" operator="equal">
      <formula>0</formula>
    </cfRule>
  </conditionalFormatting>
  <conditionalFormatting sqref="B97:C98">
    <cfRule type="cellIs" dxfId="944" priority="381" operator="equal">
      <formula>0</formula>
    </cfRule>
  </conditionalFormatting>
  <conditionalFormatting sqref="B97:C98">
    <cfRule type="cellIs" dxfId="943" priority="380" operator="equal">
      <formula>0</formula>
    </cfRule>
  </conditionalFormatting>
  <conditionalFormatting sqref="F85:F99">
    <cfRule type="cellIs" dxfId="942" priority="379" operator="equal">
      <formula>0</formula>
    </cfRule>
  </conditionalFormatting>
  <conditionalFormatting sqref="C54">
    <cfRule type="cellIs" dxfId="941" priority="373" operator="equal">
      <formula>0</formula>
    </cfRule>
  </conditionalFormatting>
  <conditionalFormatting sqref="C54">
    <cfRule type="cellIs" dxfId="940" priority="372" operator="equal">
      <formula>0</formula>
    </cfRule>
  </conditionalFormatting>
  <conditionalFormatting sqref="B54">
    <cfRule type="cellIs" dxfId="939" priority="376" operator="equal">
      <formula>0</formula>
    </cfRule>
  </conditionalFormatting>
  <conditionalFormatting sqref="C54">
    <cfRule type="cellIs" dxfId="938" priority="375" operator="equal">
      <formula>0</formula>
    </cfRule>
  </conditionalFormatting>
  <conditionalFormatting sqref="C54">
    <cfRule type="cellIs" dxfId="937" priority="374" operator="equal">
      <formula>0</formula>
    </cfRule>
  </conditionalFormatting>
  <conditionalFormatting sqref="B14">
    <cfRule type="cellIs" dxfId="936" priority="351" operator="equal">
      <formula>0</formula>
    </cfRule>
  </conditionalFormatting>
  <conditionalFormatting sqref="C168">
    <cfRule type="cellIs" dxfId="935" priority="294" operator="equal">
      <formula>0</formula>
    </cfRule>
  </conditionalFormatting>
  <conditionalFormatting sqref="C127">
    <cfRule type="cellIs" dxfId="934" priority="194" operator="equal">
      <formula>0</formula>
    </cfRule>
  </conditionalFormatting>
  <conditionalFormatting sqref="C119">
    <cfRule type="cellIs" dxfId="933" priority="120" operator="equal">
      <formula>0</formula>
    </cfRule>
  </conditionalFormatting>
  <conditionalFormatting sqref="B17">
    <cfRule type="cellIs" dxfId="932" priority="81" operator="equal">
      <formula>0</formula>
    </cfRule>
  </conditionalFormatting>
  <conditionalFormatting sqref="C17">
    <cfRule type="cellIs" dxfId="931" priority="80" operator="equal">
      <formula>0</formula>
    </cfRule>
  </conditionalFormatting>
  <conditionalFormatting sqref="B17">
    <cfRule type="cellIs" dxfId="930" priority="79" operator="equal">
      <formula>0</formula>
    </cfRule>
  </conditionalFormatting>
  <conditionalFormatting sqref="C17">
    <cfRule type="cellIs" dxfId="929" priority="78" operator="equal">
      <formula>0</formula>
    </cfRule>
  </conditionalFormatting>
  <conditionalFormatting sqref="B17">
    <cfRule type="cellIs" dxfId="928" priority="77" operator="equal">
      <formula>0</formula>
    </cfRule>
  </conditionalFormatting>
  <conditionalFormatting sqref="C17">
    <cfRule type="cellIs" dxfId="927" priority="76" operator="equal">
      <formula>0</formula>
    </cfRule>
  </conditionalFormatting>
  <conditionalFormatting sqref="B17">
    <cfRule type="cellIs" dxfId="926" priority="75" operator="equal">
      <formula>0</formula>
    </cfRule>
  </conditionalFormatting>
  <conditionalFormatting sqref="C17">
    <cfRule type="cellIs" dxfId="925" priority="74" operator="equal">
      <formula>0</formula>
    </cfRule>
  </conditionalFormatting>
  <conditionalFormatting sqref="B10">
    <cfRule type="cellIs" dxfId="924" priority="73" operator="equal">
      <formula>0</formula>
    </cfRule>
  </conditionalFormatting>
  <conditionalFormatting sqref="C10">
    <cfRule type="cellIs" dxfId="923" priority="72" operator="equal">
      <formula>0</formula>
    </cfRule>
  </conditionalFormatting>
  <conditionalFormatting sqref="B10">
    <cfRule type="cellIs" dxfId="922" priority="71" operator="equal">
      <formula>0</formula>
    </cfRule>
  </conditionalFormatting>
  <conditionalFormatting sqref="C10">
    <cfRule type="cellIs" dxfId="921" priority="70" operator="equal">
      <formula>0</formula>
    </cfRule>
  </conditionalFormatting>
  <conditionalFormatting sqref="B10">
    <cfRule type="cellIs" dxfId="920" priority="69" operator="equal">
      <formula>0</formula>
    </cfRule>
  </conditionalFormatting>
  <conditionalFormatting sqref="C10">
    <cfRule type="cellIs" dxfId="919" priority="68" operator="equal">
      <formula>0</formula>
    </cfRule>
  </conditionalFormatting>
  <conditionalFormatting sqref="B10">
    <cfRule type="cellIs" dxfId="918" priority="67" operator="equal">
      <formula>0</formula>
    </cfRule>
  </conditionalFormatting>
  <conditionalFormatting sqref="C10">
    <cfRule type="cellIs" dxfId="917" priority="66" operator="equal">
      <formula>0</formula>
    </cfRule>
  </conditionalFormatting>
  <conditionalFormatting sqref="B9">
    <cfRule type="cellIs" dxfId="916" priority="65" operator="equal">
      <formula>0</formula>
    </cfRule>
  </conditionalFormatting>
  <conditionalFormatting sqref="C9">
    <cfRule type="cellIs" dxfId="915" priority="64" operator="equal">
      <formula>0</formula>
    </cfRule>
  </conditionalFormatting>
  <conditionalFormatting sqref="B9">
    <cfRule type="cellIs" dxfId="914" priority="63" operator="equal">
      <formula>0</formula>
    </cfRule>
  </conditionalFormatting>
  <conditionalFormatting sqref="C9">
    <cfRule type="cellIs" dxfId="913" priority="62" operator="equal">
      <formula>0</formula>
    </cfRule>
  </conditionalFormatting>
  <conditionalFormatting sqref="C9">
    <cfRule type="cellIs" dxfId="912" priority="61" operator="equal">
      <formula>0</formula>
    </cfRule>
  </conditionalFormatting>
  <conditionalFormatting sqref="B9">
    <cfRule type="cellIs" dxfId="911" priority="60" operator="equal">
      <formula>0</formula>
    </cfRule>
  </conditionalFormatting>
  <conditionalFormatting sqref="C9">
    <cfRule type="cellIs" dxfId="910" priority="59" operator="equal">
      <formula>0</formula>
    </cfRule>
  </conditionalFormatting>
  <conditionalFormatting sqref="B9">
    <cfRule type="cellIs" dxfId="909" priority="58" operator="equal">
      <formula>0</formula>
    </cfRule>
  </conditionalFormatting>
  <conditionalFormatting sqref="C9">
    <cfRule type="cellIs" dxfId="908" priority="57" operator="equal">
      <formula>0</formula>
    </cfRule>
  </conditionalFormatting>
  <conditionalFormatting sqref="B16">
    <cfRule type="cellIs" dxfId="907" priority="56" operator="equal">
      <formula>0</formula>
    </cfRule>
  </conditionalFormatting>
  <conditionalFormatting sqref="C16">
    <cfRule type="cellIs" dxfId="906" priority="55" operator="equal">
      <formula>0</formula>
    </cfRule>
  </conditionalFormatting>
  <conditionalFormatting sqref="B16">
    <cfRule type="cellIs" dxfId="905" priority="54" operator="equal">
      <formula>0</formula>
    </cfRule>
  </conditionalFormatting>
  <conditionalFormatting sqref="C16">
    <cfRule type="cellIs" dxfId="904" priority="53" operator="equal">
      <formula>0</formula>
    </cfRule>
  </conditionalFormatting>
  <conditionalFormatting sqref="B16">
    <cfRule type="cellIs" dxfId="903" priority="52" operator="equal">
      <formula>0</formula>
    </cfRule>
  </conditionalFormatting>
  <conditionalFormatting sqref="C16">
    <cfRule type="cellIs" dxfId="902" priority="51" operator="equal">
      <formula>0</formula>
    </cfRule>
  </conditionalFormatting>
  <conditionalFormatting sqref="B16">
    <cfRule type="cellIs" dxfId="901" priority="50" operator="equal">
      <formula>0</formula>
    </cfRule>
  </conditionalFormatting>
  <conditionalFormatting sqref="C16">
    <cfRule type="cellIs" dxfId="900" priority="49" operator="equal">
      <formula>0</formula>
    </cfRule>
  </conditionalFormatting>
  <conditionalFormatting sqref="B21">
    <cfRule type="cellIs" dxfId="899" priority="48" operator="equal">
      <formula>0</formula>
    </cfRule>
  </conditionalFormatting>
  <conditionalFormatting sqref="D21">
    <cfRule type="cellIs" dxfId="898" priority="47" operator="equal">
      <formula>0</formula>
    </cfRule>
  </conditionalFormatting>
  <conditionalFormatting sqref="C21">
    <cfRule type="cellIs" dxfId="897" priority="46" operator="equal">
      <formula>0</formula>
    </cfRule>
  </conditionalFormatting>
  <conditionalFormatting sqref="B22">
    <cfRule type="cellIs" dxfId="896" priority="45" operator="equal">
      <formula>0</formula>
    </cfRule>
  </conditionalFormatting>
  <conditionalFormatting sqref="C22">
    <cfRule type="cellIs" dxfId="895" priority="44" operator="equal">
      <formula>0</formula>
    </cfRule>
  </conditionalFormatting>
  <conditionalFormatting sqref="C22">
    <cfRule type="cellIs" dxfId="894" priority="43" operator="equal">
      <formula>0</formula>
    </cfRule>
  </conditionalFormatting>
  <conditionalFormatting sqref="C42">
    <cfRule type="cellIs" dxfId="893" priority="41" operator="equal">
      <formula>0</formula>
    </cfRule>
  </conditionalFormatting>
  <conditionalFormatting sqref="B42">
    <cfRule type="cellIs" dxfId="892" priority="42" operator="equal">
      <formula>0</formula>
    </cfRule>
  </conditionalFormatting>
  <conditionalFormatting sqref="B51:C51">
    <cfRule type="cellIs" dxfId="891" priority="39" operator="equal">
      <formula>0</formula>
    </cfRule>
  </conditionalFormatting>
  <conditionalFormatting sqref="B51:C51">
    <cfRule type="cellIs" dxfId="890" priority="40" operator="equal">
      <formula>0</formula>
    </cfRule>
  </conditionalFormatting>
  <conditionalFormatting sqref="B93">
    <cfRule type="cellIs" dxfId="889" priority="32" operator="equal">
      <formula>0</formula>
    </cfRule>
  </conditionalFormatting>
  <conditionalFormatting sqref="C93">
    <cfRule type="cellIs" dxfId="888" priority="31" operator="equal">
      <formula>0</formula>
    </cfRule>
  </conditionalFormatting>
  <conditionalFormatting sqref="C93">
    <cfRule type="cellIs" dxfId="887" priority="30" operator="equal">
      <formula>0</formula>
    </cfRule>
  </conditionalFormatting>
  <conditionalFormatting sqref="C159">
    <cfRule type="cellIs" dxfId="886" priority="29" operator="equal">
      <formula>0</formula>
    </cfRule>
  </conditionalFormatting>
  <conditionalFormatting sqref="B159">
    <cfRule type="cellIs" dxfId="885" priority="28" operator="equal">
      <formula>0</formula>
    </cfRule>
  </conditionalFormatting>
  <conditionalFormatting sqref="B55">
    <cfRule type="cellIs" dxfId="884" priority="19" operator="equal">
      <formula>0</formula>
    </cfRule>
  </conditionalFormatting>
  <conditionalFormatting sqref="C55">
    <cfRule type="cellIs" dxfId="883" priority="22" operator="equal">
      <formula>0</formula>
    </cfRule>
  </conditionalFormatting>
  <conditionalFormatting sqref="A55">
    <cfRule type="cellIs" dxfId="882" priority="25" operator="equal">
      <formula>0</formula>
    </cfRule>
  </conditionalFormatting>
  <conditionalFormatting sqref="C55">
    <cfRule type="cellIs" dxfId="881" priority="21" operator="equal">
      <formula>0</formula>
    </cfRule>
  </conditionalFormatting>
  <conditionalFormatting sqref="C55">
    <cfRule type="cellIs" dxfId="880" priority="24" operator="equal">
      <formula>0</formula>
    </cfRule>
  </conditionalFormatting>
  <conditionalFormatting sqref="C55">
    <cfRule type="cellIs" dxfId="879" priority="23" operator="equal">
      <formula>0</formula>
    </cfRule>
  </conditionalFormatting>
  <conditionalFormatting sqref="B55">
    <cfRule type="cellIs" dxfId="878" priority="18" operator="equal">
      <formula>0</formula>
    </cfRule>
  </conditionalFormatting>
  <conditionalFormatting sqref="B55">
    <cfRule type="cellIs" dxfId="877" priority="17" operator="equal">
      <formula>0</formula>
    </cfRule>
  </conditionalFormatting>
  <conditionalFormatting sqref="B55">
    <cfRule type="cellIs" dxfId="876" priority="20" operator="equal">
      <formula>0</formula>
    </cfRule>
  </conditionalFormatting>
  <conditionalFormatting sqref="C152">
    <cfRule type="cellIs" dxfId="875" priority="16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showWhiteSpace="0" topLeftCell="A74" zoomScale="55" zoomScaleNormal="55" zoomScalePageLayoutView="90" workbookViewId="0">
      <selection activeCell="O66" sqref="O66"/>
    </sheetView>
  </sheetViews>
  <sheetFormatPr defaultRowHeight="14.4"/>
  <cols>
    <col min="1" max="1" width="4.5546875" customWidth="1"/>
    <col min="2" max="2" width="5.5546875" customWidth="1"/>
    <col min="3" max="3" width="14.44140625" customWidth="1"/>
    <col min="4" max="4" width="17.44140625" customWidth="1"/>
    <col min="5" max="5" width="21.5546875" customWidth="1"/>
    <col min="6" max="6" width="15.5546875" customWidth="1"/>
    <col min="7" max="7" width="11.5546875" customWidth="1"/>
    <col min="8" max="8" width="10.44140625" customWidth="1"/>
    <col min="9" max="9" width="15.44140625" customWidth="1"/>
    <col min="10" max="10" width="13.44140625" hidden="1" customWidth="1"/>
    <col min="11" max="11" width="17.5546875" customWidth="1"/>
    <col min="12" max="12" width="16.5546875" style="93" customWidth="1"/>
    <col min="13" max="13" width="13" customWidth="1"/>
    <col min="14" max="14" width="11.5546875" customWidth="1"/>
    <col min="15" max="15" width="14.44140625" customWidth="1"/>
    <col min="16" max="16" width="14.5546875" customWidth="1"/>
    <col min="17" max="17" width="6.44140625" customWidth="1"/>
    <col min="18" max="18" width="6" customWidth="1"/>
    <col min="19" max="19" width="9.5546875" customWidth="1"/>
    <col min="20" max="20" width="11.44140625" customWidth="1"/>
    <col min="21" max="21" width="13.44140625" customWidth="1"/>
    <col min="22" max="22" width="0" hidden="1" customWidth="1"/>
    <col min="23" max="23" width="14.44140625" style="66" customWidth="1"/>
    <col min="24" max="24" width="11.44140625" customWidth="1"/>
    <col min="25" max="25" width="11.5546875" customWidth="1"/>
    <col min="257" max="257" width="3.44140625" customWidth="1"/>
    <col min="258" max="258" width="4.44140625" customWidth="1"/>
    <col min="259" max="259" width="14.44140625" bestFit="1" customWidth="1"/>
    <col min="261" max="261" width="14" customWidth="1"/>
    <col min="262" max="262" width="8.44140625" customWidth="1"/>
    <col min="263" max="263" width="7.44140625" customWidth="1"/>
    <col min="264" max="264" width="9.44140625" customWidth="1"/>
    <col min="265" max="265" width="9" customWidth="1"/>
    <col min="266" max="266" width="0" hidden="1" customWidth="1"/>
    <col min="267" max="267" width="16" customWidth="1"/>
    <col min="513" max="513" width="3.44140625" customWidth="1"/>
    <col min="514" max="514" width="4.44140625" customWidth="1"/>
    <col min="515" max="515" width="14.44140625" bestFit="1" customWidth="1"/>
    <col min="517" max="517" width="14" customWidth="1"/>
    <col min="518" max="518" width="8.44140625" customWidth="1"/>
    <col min="519" max="519" width="7.44140625" customWidth="1"/>
    <col min="520" max="520" width="9.44140625" customWidth="1"/>
    <col min="521" max="521" width="9" customWidth="1"/>
    <col min="522" max="522" width="0" hidden="1" customWidth="1"/>
    <col min="523" max="523" width="16" customWidth="1"/>
    <col min="769" max="769" width="3.44140625" customWidth="1"/>
    <col min="770" max="770" width="4.44140625" customWidth="1"/>
    <col min="771" max="771" width="14.44140625" bestFit="1" customWidth="1"/>
    <col min="773" max="773" width="14" customWidth="1"/>
    <col min="774" max="774" width="8.44140625" customWidth="1"/>
    <col min="775" max="775" width="7.44140625" customWidth="1"/>
    <col min="776" max="776" width="9.44140625" customWidth="1"/>
    <col min="777" max="777" width="9" customWidth="1"/>
    <col min="778" max="778" width="0" hidden="1" customWidth="1"/>
    <col min="779" max="779" width="16" customWidth="1"/>
    <col min="1025" max="1025" width="3.44140625" customWidth="1"/>
    <col min="1026" max="1026" width="4.44140625" customWidth="1"/>
    <col min="1027" max="1027" width="14.44140625" bestFit="1" customWidth="1"/>
    <col min="1029" max="1029" width="14" customWidth="1"/>
    <col min="1030" max="1030" width="8.44140625" customWidth="1"/>
    <col min="1031" max="1031" width="7.44140625" customWidth="1"/>
    <col min="1032" max="1032" width="9.44140625" customWidth="1"/>
    <col min="1033" max="1033" width="9" customWidth="1"/>
    <col min="1034" max="1034" width="0" hidden="1" customWidth="1"/>
    <col min="1035" max="1035" width="16" customWidth="1"/>
    <col min="1281" max="1281" width="3.44140625" customWidth="1"/>
    <col min="1282" max="1282" width="4.44140625" customWidth="1"/>
    <col min="1283" max="1283" width="14.44140625" bestFit="1" customWidth="1"/>
    <col min="1285" max="1285" width="14" customWidth="1"/>
    <col min="1286" max="1286" width="8.44140625" customWidth="1"/>
    <col min="1287" max="1287" width="7.44140625" customWidth="1"/>
    <col min="1288" max="1288" width="9.44140625" customWidth="1"/>
    <col min="1289" max="1289" width="9" customWidth="1"/>
    <col min="1290" max="1290" width="0" hidden="1" customWidth="1"/>
    <col min="1291" max="1291" width="16" customWidth="1"/>
    <col min="1537" max="1537" width="3.44140625" customWidth="1"/>
    <col min="1538" max="1538" width="4.44140625" customWidth="1"/>
    <col min="1539" max="1539" width="14.44140625" bestFit="1" customWidth="1"/>
    <col min="1541" max="1541" width="14" customWidth="1"/>
    <col min="1542" max="1542" width="8.44140625" customWidth="1"/>
    <col min="1543" max="1543" width="7.44140625" customWidth="1"/>
    <col min="1544" max="1544" width="9.44140625" customWidth="1"/>
    <col min="1545" max="1545" width="9" customWidth="1"/>
    <col min="1546" max="1546" width="0" hidden="1" customWidth="1"/>
    <col min="1547" max="1547" width="16" customWidth="1"/>
    <col min="1793" max="1793" width="3.44140625" customWidth="1"/>
    <col min="1794" max="1794" width="4.44140625" customWidth="1"/>
    <col min="1795" max="1795" width="14.44140625" bestFit="1" customWidth="1"/>
    <col min="1797" max="1797" width="14" customWidth="1"/>
    <col min="1798" max="1798" width="8.44140625" customWidth="1"/>
    <col min="1799" max="1799" width="7.44140625" customWidth="1"/>
    <col min="1800" max="1800" width="9.44140625" customWidth="1"/>
    <col min="1801" max="1801" width="9" customWidth="1"/>
    <col min="1802" max="1802" width="0" hidden="1" customWidth="1"/>
    <col min="1803" max="1803" width="16" customWidth="1"/>
    <col min="2049" max="2049" width="3.44140625" customWidth="1"/>
    <col min="2050" max="2050" width="4.44140625" customWidth="1"/>
    <col min="2051" max="2051" width="14.44140625" bestFit="1" customWidth="1"/>
    <col min="2053" max="2053" width="14" customWidth="1"/>
    <col min="2054" max="2054" width="8.44140625" customWidth="1"/>
    <col min="2055" max="2055" width="7.44140625" customWidth="1"/>
    <col min="2056" max="2056" width="9.44140625" customWidth="1"/>
    <col min="2057" max="2057" width="9" customWidth="1"/>
    <col min="2058" max="2058" width="0" hidden="1" customWidth="1"/>
    <col min="2059" max="2059" width="16" customWidth="1"/>
    <col min="2305" max="2305" width="3.44140625" customWidth="1"/>
    <col min="2306" max="2306" width="4.44140625" customWidth="1"/>
    <col min="2307" max="2307" width="14.44140625" bestFit="1" customWidth="1"/>
    <col min="2309" max="2309" width="14" customWidth="1"/>
    <col min="2310" max="2310" width="8.44140625" customWidth="1"/>
    <col min="2311" max="2311" width="7.44140625" customWidth="1"/>
    <col min="2312" max="2312" width="9.44140625" customWidth="1"/>
    <col min="2313" max="2313" width="9" customWidth="1"/>
    <col min="2314" max="2314" width="0" hidden="1" customWidth="1"/>
    <col min="2315" max="2315" width="16" customWidth="1"/>
    <col min="2561" max="2561" width="3.44140625" customWidth="1"/>
    <col min="2562" max="2562" width="4.44140625" customWidth="1"/>
    <col min="2563" max="2563" width="14.44140625" bestFit="1" customWidth="1"/>
    <col min="2565" max="2565" width="14" customWidth="1"/>
    <col min="2566" max="2566" width="8.44140625" customWidth="1"/>
    <col min="2567" max="2567" width="7.44140625" customWidth="1"/>
    <col min="2568" max="2568" width="9.44140625" customWidth="1"/>
    <col min="2569" max="2569" width="9" customWidth="1"/>
    <col min="2570" max="2570" width="0" hidden="1" customWidth="1"/>
    <col min="2571" max="2571" width="16" customWidth="1"/>
    <col min="2817" max="2817" width="3.44140625" customWidth="1"/>
    <col min="2818" max="2818" width="4.44140625" customWidth="1"/>
    <col min="2819" max="2819" width="14.44140625" bestFit="1" customWidth="1"/>
    <col min="2821" max="2821" width="14" customWidth="1"/>
    <col min="2822" max="2822" width="8.44140625" customWidth="1"/>
    <col min="2823" max="2823" width="7.44140625" customWidth="1"/>
    <col min="2824" max="2824" width="9.44140625" customWidth="1"/>
    <col min="2825" max="2825" width="9" customWidth="1"/>
    <col min="2826" max="2826" width="0" hidden="1" customWidth="1"/>
    <col min="2827" max="2827" width="16" customWidth="1"/>
    <col min="3073" max="3073" width="3.44140625" customWidth="1"/>
    <col min="3074" max="3074" width="4.44140625" customWidth="1"/>
    <col min="3075" max="3075" width="14.44140625" bestFit="1" customWidth="1"/>
    <col min="3077" max="3077" width="14" customWidth="1"/>
    <col min="3078" max="3078" width="8.44140625" customWidth="1"/>
    <col min="3079" max="3079" width="7.44140625" customWidth="1"/>
    <col min="3080" max="3080" width="9.44140625" customWidth="1"/>
    <col min="3081" max="3081" width="9" customWidth="1"/>
    <col min="3082" max="3082" width="0" hidden="1" customWidth="1"/>
    <col min="3083" max="3083" width="16" customWidth="1"/>
    <col min="3329" max="3329" width="3.44140625" customWidth="1"/>
    <col min="3330" max="3330" width="4.44140625" customWidth="1"/>
    <col min="3331" max="3331" width="14.44140625" bestFit="1" customWidth="1"/>
    <col min="3333" max="3333" width="14" customWidth="1"/>
    <col min="3334" max="3334" width="8.44140625" customWidth="1"/>
    <col min="3335" max="3335" width="7.44140625" customWidth="1"/>
    <col min="3336" max="3336" width="9.44140625" customWidth="1"/>
    <col min="3337" max="3337" width="9" customWidth="1"/>
    <col min="3338" max="3338" width="0" hidden="1" customWidth="1"/>
    <col min="3339" max="3339" width="16" customWidth="1"/>
    <col min="3585" max="3585" width="3.44140625" customWidth="1"/>
    <col min="3586" max="3586" width="4.44140625" customWidth="1"/>
    <col min="3587" max="3587" width="14.44140625" bestFit="1" customWidth="1"/>
    <col min="3589" max="3589" width="14" customWidth="1"/>
    <col min="3590" max="3590" width="8.44140625" customWidth="1"/>
    <col min="3591" max="3591" width="7.44140625" customWidth="1"/>
    <col min="3592" max="3592" width="9.44140625" customWidth="1"/>
    <col min="3593" max="3593" width="9" customWidth="1"/>
    <col min="3594" max="3594" width="0" hidden="1" customWidth="1"/>
    <col min="3595" max="3595" width="16" customWidth="1"/>
    <col min="3841" max="3841" width="3.44140625" customWidth="1"/>
    <col min="3842" max="3842" width="4.44140625" customWidth="1"/>
    <col min="3843" max="3843" width="14.44140625" bestFit="1" customWidth="1"/>
    <col min="3845" max="3845" width="14" customWidth="1"/>
    <col min="3846" max="3846" width="8.44140625" customWidth="1"/>
    <col min="3847" max="3847" width="7.44140625" customWidth="1"/>
    <col min="3848" max="3848" width="9.44140625" customWidth="1"/>
    <col min="3849" max="3849" width="9" customWidth="1"/>
    <col min="3850" max="3850" width="0" hidden="1" customWidth="1"/>
    <col min="3851" max="3851" width="16" customWidth="1"/>
    <col min="4097" max="4097" width="3.44140625" customWidth="1"/>
    <col min="4098" max="4098" width="4.44140625" customWidth="1"/>
    <col min="4099" max="4099" width="14.44140625" bestFit="1" customWidth="1"/>
    <col min="4101" max="4101" width="14" customWidth="1"/>
    <col min="4102" max="4102" width="8.44140625" customWidth="1"/>
    <col min="4103" max="4103" width="7.44140625" customWidth="1"/>
    <col min="4104" max="4104" width="9.44140625" customWidth="1"/>
    <col min="4105" max="4105" width="9" customWidth="1"/>
    <col min="4106" max="4106" width="0" hidden="1" customWidth="1"/>
    <col min="4107" max="4107" width="16" customWidth="1"/>
    <col min="4353" max="4353" width="3.44140625" customWidth="1"/>
    <col min="4354" max="4354" width="4.44140625" customWidth="1"/>
    <col min="4355" max="4355" width="14.44140625" bestFit="1" customWidth="1"/>
    <col min="4357" max="4357" width="14" customWidth="1"/>
    <col min="4358" max="4358" width="8.44140625" customWidth="1"/>
    <col min="4359" max="4359" width="7.44140625" customWidth="1"/>
    <col min="4360" max="4360" width="9.44140625" customWidth="1"/>
    <col min="4361" max="4361" width="9" customWidth="1"/>
    <col min="4362" max="4362" width="0" hidden="1" customWidth="1"/>
    <col min="4363" max="4363" width="16" customWidth="1"/>
    <col min="4609" max="4609" width="3.44140625" customWidth="1"/>
    <col min="4610" max="4610" width="4.44140625" customWidth="1"/>
    <col min="4611" max="4611" width="14.44140625" bestFit="1" customWidth="1"/>
    <col min="4613" max="4613" width="14" customWidth="1"/>
    <col min="4614" max="4614" width="8.44140625" customWidth="1"/>
    <col min="4615" max="4615" width="7.44140625" customWidth="1"/>
    <col min="4616" max="4616" width="9.44140625" customWidth="1"/>
    <col min="4617" max="4617" width="9" customWidth="1"/>
    <col min="4618" max="4618" width="0" hidden="1" customWidth="1"/>
    <col min="4619" max="4619" width="16" customWidth="1"/>
    <col min="4865" max="4865" width="3.44140625" customWidth="1"/>
    <col min="4866" max="4866" width="4.44140625" customWidth="1"/>
    <col min="4867" max="4867" width="14.44140625" bestFit="1" customWidth="1"/>
    <col min="4869" max="4869" width="14" customWidth="1"/>
    <col min="4870" max="4870" width="8.44140625" customWidth="1"/>
    <col min="4871" max="4871" width="7.44140625" customWidth="1"/>
    <col min="4872" max="4872" width="9.44140625" customWidth="1"/>
    <col min="4873" max="4873" width="9" customWidth="1"/>
    <col min="4874" max="4874" width="0" hidden="1" customWidth="1"/>
    <col min="4875" max="4875" width="16" customWidth="1"/>
    <col min="5121" max="5121" width="3.44140625" customWidth="1"/>
    <col min="5122" max="5122" width="4.44140625" customWidth="1"/>
    <col min="5123" max="5123" width="14.44140625" bestFit="1" customWidth="1"/>
    <col min="5125" max="5125" width="14" customWidth="1"/>
    <col min="5126" max="5126" width="8.44140625" customWidth="1"/>
    <col min="5127" max="5127" width="7.44140625" customWidth="1"/>
    <col min="5128" max="5128" width="9.44140625" customWidth="1"/>
    <col min="5129" max="5129" width="9" customWidth="1"/>
    <col min="5130" max="5130" width="0" hidden="1" customWidth="1"/>
    <col min="5131" max="5131" width="16" customWidth="1"/>
    <col min="5377" max="5377" width="3.44140625" customWidth="1"/>
    <col min="5378" max="5378" width="4.44140625" customWidth="1"/>
    <col min="5379" max="5379" width="14.44140625" bestFit="1" customWidth="1"/>
    <col min="5381" max="5381" width="14" customWidth="1"/>
    <col min="5382" max="5382" width="8.44140625" customWidth="1"/>
    <col min="5383" max="5383" width="7.44140625" customWidth="1"/>
    <col min="5384" max="5384" width="9.44140625" customWidth="1"/>
    <col min="5385" max="5385" width="9" customWidth="1"/>
    <col min="5386" max="5386" width="0" hidden="1" customWidth="1"/>
    <col min="5387" max="5387" width="16" customWidth="1"/>
    <col min="5633" max="5633" width="3.44140625" customWidth="1"/>
    <col min="5634" max="5634" width="4.44140625" customWidth="1"/>
    <col min="5635" max="5635" width="14.44140625" bestFit="1" customWidth="1"/>
    <col min="5637" max="5637" width="14" customWidth="1"/>
    <col min="5638" max="5638" width="8.44140625" customWidth="1"/>
    <col min="5639" max="5639" width="7.44140625" customWidth="1"/>
    <col min="5640" max="5640" width="9.44140625" customWidth="1"/>
    <col min="5641" max="5641" width="9" customWidth="1"/>
    <col min="5642" max="5642" width="0" hidden="1" customWidth="1"/>
    <col min="5643" max="5643" width="16" customWidth="1"/>
    <col min="5889" max="5889" width="3.44140625" customWidth="1"/>
    <col min="5890" max="5890" width="4.44140625" customWidth="1"/>
    <col min="5891" max="5891" width="14.44140625" bestFit="1" customWidth="1"/>
    <col min="5893" max="5893" width="14" customWidth="1"/>
    <col min="5894" max="5894" width="8.44140625" customWidth="1"/>
    <col min="5895" max="5895" width="7.44140625" customWidth="1"/>
    <col min="5896" max="5896" width="9.44140625" customWidth="1"/>
    <col min="5897" max="5897" width="9" customWidth="1"/>
    <col min="5898" max="5898" width="0" hidden="1" customWidth="1"/>
    <col min="5899" max="5899" width="16" customWidth="1"/>
    <col min="6145" max="6145" width="3.44140625" customWidth="1"/>
    <col min="6146" max="6146" width="4.44140625" customWidth="1"/>
    <col min="6147" max="6147" width="14.44140625" bestFit="1" customWidth="1"/>
    <col min="6149" max="6149" width="14" customWidth="1"/>
    <col min="6150" max="6150" width="8.44140625" customWidth="1"/>
    <col min="6151" max="6151" width="7.44140625" customWidth="1"/>
    <col min="6152" max="6152" width="9.44140625" customWidth="1"/>
    <col min="6153" max="6153" width="9" customWidth="1"/>
    <col min="6154" max="6154" width="0" hidden="1" customWidth="1"/>
    <col min="6155" max="6155" width="16" customWidth="1"/>
    <col min="6401" max="6401" width="3.44140625" customWidth="1"/>
    <col min="6402" max="6402" width="4.44140625" customWidth="1"/>
    <col min="6403" max="6403" width="14.44140625" bestFit="1" customWidth="1"/>
    <col min="6405" max="6405" width="14" customWidth="1"/>
    <col min="6406" max="6406" width="8.44140625" customWidth="1"/>
    <col min="6407" max="6407" width="7.44140625" customWidth="1"/>
    <col min="6408" max="6408" width="9.44140625" customWidth="1"/>
    <col min="6409" max="6409" width="9" customWidth="1"/>
    <col min="6410" max="6410" width="0" hidden="1" customWidth="1"/>
    <col min="6411" max="6411" width="16" customWidth="1"/>
    <col min="6657" max="6657" width="3.44140625" customWidth="1"/>
    <col min="6658" max="6658" width="4.44140625" customWidth="1"/>
    <col min="6659" max="6659" width="14.44140625" bestFit="1" customWidth="1"/>
    <col min="6661" max="6661" width="14" customWidth="1"/>
    <col min="6662" max="6662" width="8.44140625" customWidth="1"/>
    <col min="6663" max="6663" width="7.44140625" customWidth="1"/>
    <col min="6664" max="6664" width="9.44140625" customWidth="1"/>
    <col min="6665" max="6665" width="9" customWidth="1"/>
    <col min="6666" max="6666" width="0" hidden="1" customWidth="1"/>
    <col min="6667" max="6667" width="16" customWidth="1"/>
    <col min="6913" max="6913" width="3.44140625" customWidth="1"/>
    <col min="6914" max="6914" width="4.44140625" customWidth="1"/>
    <col min="6915" max="6915" width="14.44140625" bestFit="1" customWidth="1"/>
    <col min="6917" max="6917" width="14" customWidth="1"/>
    <col min="6918" max="6918" width="8.44140625" customWidth="1"/>
    <col min="6919" max="6919" width="7.44140625" customWidth="1"/>
    <col min="6920" max="6920" width="9.44140625" customWidth="1"/>
    <col min="6921" max="6921" width="9" customWidth="1"/>
    <col min="6922" max="6922" width="0" hidden="1" customWidth="1"/>
    <col min="6923" max="6923" width="16" customWidth="1"/>
    <col min="7169" max="7169" width="3.44140625" customWidth="1"/>
    <col min="7170" max="7170" width="4.44140625" customWidth="1"/>
    <col min="7171" max="7171" width="14.44140625" bestFit="1" customWidth="1"/>
    <col min="7173" max="7173" width="14" customWidth="1"/>
    <col min="7174" max="7174" width="8.44140625" customWidth="1"/>
    <col min="7175" max="7175" width="7.44140625" customWidth="1"/>
    <col min="7176" max="7176" width="9.44140625" customWidth="1"/>
    <col min="7177" max="7177" width="9" customWidth="1"/>
    <col min="7178" max="7178" width="0" hidden="1" customWidth="1"/>
    <col min="7179" max="7179" width="16" customWidth="1"/>
    <col min="7425" max="7425" width="3.44140625" customWidth="1"/>
    <col min="7426" max="7426" width="4.44140625" customWidth="1"/>
    <col min="7427" max="7427" width="14.44140625" bestFit="1" customWidth="1"/>
    <col min="7429" max="7429" width="14" customWidth="1"/>
    <col min="7430" max="7430" width="8.44140625" customWidth="1"/>
    <col min="7431" max="7431" width="7.44140625" customWidth="1"/>
    <col min="7432" max="7432" width="9.44140625" customWidth="1"/>
    <col min="7433" max="7433" width="9" customWidth="1"/>
    <col min="7434" max="7434" width="0" hidden="1" customWidth="1"/>
    <col min="7435" max="7435" width="16" customWidth="1"/>
    <col min="7681" max="7681" width="3.44140625" customWidth="1"/>
    <col min="7682" max="7682" width="4.44140625" customWidth="1"/>
    <col min="7683" max="7683" width="14.44140625" bestFit="1" customWidth="1"/>
    <col min="7685" max="7685" width="14" customWidth="1"/>
    <col min="7686" max="7686" width="8.44140625" customWidth="1"/>
    <col min="7687" max="7687" width="7.44140625" customWidth="1"/>
    <col min="7688" max="7688" width="9.44140625" customWidth="1"/>
    <col min="7689" max="7689" width="9" customWidth="1"/>
    <col min="7690" max="7690" width="0" hidden="1" customWidth="1"/>
    <col min="7691" max="7691" width="16" customWidth="1"/>
    <col min="7937" max="7937" width="3.44140625" customWidth="1"/>
    <col min="7938" max="7938" width="4.44140625" customWidth="1"/>
    <col min="7939" max="7939" width="14.44140625" bestFit="1" customWidth="1"/>
    <col min="7941" max="7941" width="14" customWidth="1"/>
    <col min="7942" max="7942" width="8.44140625" customWidth="1"/>
    <col min="7943" max="7943" width="7.44140625" customWidth="1"/>
    <col min="7944" max="7944" width="9.44140625" customWidth="1"/>
    <col min="7945" max="7945" width="9" customWidth="1"/>
    <col min="7946" max="7946" width="0" hidden="1" customWidth="1"/>
    <col min="7947" max="7947" width="16" customWidth="1"/>
    <col min="8193" max="8193" width="3.44140625" customWidth="1"/>
    <col min="8194" max="8194" width="4.44140625" customWidth="1"/>
    <col min="8195" max="8195" width="14.44140625" bestFit="1" customWidth="1"/>
    <col min="8197" max="8197" width="14" customWidth="1"/>
    <col min="8198" max="8198" width="8.44140625" customWidth="1"/>
    <col min="8199" max="8199" width="7.44140625" customWidth="1"/>
    <col min="8200" max="8200" width="9.44140625" customWidth="1"/>
    <col min="8201" max="8201" width="9" customWidth="1"/>
    <col min="8202" max="8202" width="0" hidden="1" customWidth="1"/>
    <col min="8203" max="8203" width="16" customWidth="1"/>
    <col min="8449" max="8449" width="3.44140625" customWidth="1"/>
    <col min="8450" max="8450" width="4.44140625" customWidth="1"/>
    <col min="8451" max="8451" width="14.44140625" bestFit="1" customWidth="1"/>
    <col min="8453" max="8453" width="14" customWidth="1"/>
    <col min="8454" max="8454" width="8.44140625" customWidth="1"/>
    <col min="8455" max="8455" width="7.44140625" customWidth="1"/>
    <col min="8456" max="8456" width="9.44140625" customWidth="1"/>
    <col min="8457" max="8457" width="9" customWidth="1"/>
    <col min="8458" max="8458" width="0" hidden="1" customWidth="1"/>
    <col min="8459" max="8459" width="16" customWidth="1"/>
    <col min="8705" max="8705" width="3.44140625" customWidth="1"/>
    <col min="8706" max="8706" width="4.44140625" customWidth="1"/>
    <col min="8707" max="8707" width="14.44140625" bestFit="1" customWidth="1"/>
    <col min="8709" max="8709" width="14" customWidth="1"/>
    <col min="8710" max="8710" width="8.44140625" customWidth="1"/>
    <col min="8711" max="8711" width="7.44140625" customWidth="1"/>
    <col min="8712" max="8712" width="9.44140625" customWidth="1"/>
    <col min="8713" max="8713" width="9" customWidth="1"/>
    <col min="8714" max="8714" width="0" hidden="1" customWidth="1"/>
    <col min="8715" max="8715" width="16" customWidth="1"/>
    <col min="8961" max="8961" width="3.44140625" customWidth="1"/>
    <col min="8962" max="8962" width="4.44140625" customWidth="1"/>
    <col min="8963" max="8963" width="14.44140625" bestFit="1" customWidth="1"/>
    <col min="8965" max="8965" width="14" customWidth="1"/>
    <col min="8966" max="8966" width="8.44140625" customWidth="1"/>
    <col min="8967" max="8967" width="7.44140625" customWidth="1"/>
    <col min="8968" max="8968" width="9.44140625" customWidth="1"/>
    <col min="8969" max="8969" width="9" customWidth="1"/>
    <col min="8970" max="8970" width="0" hidden="1" customWidth="1"/>
    <col min="8971" max="8971" width="16" customWidth="1"/>
    <col min="9217" max="9217" width="3.44140625" customWidth="1"/>
    <col min="9218" max="9218" width="4.44140625" customWidth="1"/>
    <col min="9219" max="9219" width="14.44140625" bestFit="1" customWidth="1"/>
    <col min="9221" max="9221" width="14" customWidth="1"/>
    <col min="9222" max="9222" width="8.44140625" customWidth="1"/>
    <col min="9223" max="9223" width="7.44140625" customWidth="1"/>
    <col min="9224" max="9224" width="9.44140625" customWidth="1"/>
    <col min="9225" max="9225" width="9" customWidth="1"/>
    <col min="9226" max="9226" width="0" hidden="1" customWidth="1"/>
    <col min="9227" max="9227" width="16" customWidth="1"/>
    <col min="9473" max="9473" width="3.44140625" customWidth="1"/>
    <col min="9474" max="9474" width="4.44140625" customWidth="1"/>
    <col min="9475" max="9475" width="14.44140625" bestFit="1" customWidth="1"/>
    <col min="9477" max="9477" width="14" customWidth="1"/>
    <col min="9478" max="9478" width="8.44140625" customWidth="1"/>
    <col min="9479" max="9479" width="7.44140625" customWidth="1"/>
    <col min="9480" max="9480" width="9.44140625" customWidth="1"/>
    <col min="9481" max="9481" width="9" customWidth="1"/>
    <col min="9482" max="9482" width="0" hidden="1" customWidth="1"/>
    <col min="9483" max="9483" width="16" customWidth="1"/>
    <col min="9729" max="9729" width="3.44140625" customWidth="1"/>
    <col min="9730" max="9730" width="4.44140625" customWidth="1"/>
    <col min="9731" max="9731" width="14.44140625" bestFit="1" customWidth="1"/>
    <col min="9733" max="9733" width="14" customWidth="1"/>
    <col min="9734" max="9734" width="8.44140625" customWidth="1"/>
    <col min="9735" max="9735" width="7.44140625" customWidth="1"/>
    <col min="9736" max="9736" width="9.44140625" customWidth="1"/>
    <col min="9737" max="9737" width="9" customWidth="1"/>
    <col min="9738" max="9738" width="0" hidden="1" customWidth="1"/>
    <col min="9739" max="9739" width="16" customWidth="1"/>
    <col min="9985" max="9985" width="3.44140625" customWidth="1"/>
    <col min="9986" max="9986" width="4.44140625" customWidth="1"/>
    <col min="9987" max="9987" width="14.44140625" bestFit="1" customWidth="1"/>
    <col min="9989" max="9989" width="14" customWidth="1"/>
    <col min="9990" max="9990" width="8.44140625" customWidth="1"/>
    <col min="9991" max="9991" width="7.44140625" customWidth="1"/>
    <col min="9992" max="9992" width="9.44140625" customWidth="1"/>
    <col min="9993" max="9993" width="9" customWidth="1"/>
    <col min="9994" max="9994" width="0" hidden="1" customWidth="1"/>
    <col min="9995" max="9995" width="16" customWidth="1"/>
    <col min="10241" max="10241" width="3.44140625" customWidth="1"/>
    <col min="10242" max="10242" width="4.44140625" customWidth="1"/>
    <col min="10243" max="10243" width="14.44140625" bestFit="1" customWidth="1"/>
    <col min="10245" max="10245" width="14" customWidth="1"/>
    <col min="10246" max="10246" width="8.44140625" customWidth="1"/>
    <col min="10247" max="10247" width="7.44140625" customWidth="1"/>
    <col min="10248" max="10248" width="9.44140625" customWidth="1"/>
    <col min="10249" max="10249" width="9" customWidth="1"/>
    <col min="10250" max="10250" width="0" hidden="1" customWidth="1"/>
    <col min="10251" max="10251" width="16" customWidth="1"/>
    <col min="10497" max="10497" width="3.44140625" customWidth="1"/>
    <col min="10498" max="10498" width="4.44140625" customWidth="1"/>
    <col min="10499" max="10499" width="14.44140625" bestFit="1" customWidth="1"/>
    <col min="10501" max="10501" width="14" customWidth="1"/>
    <col min="10502" max="10502" width="8.44140625" customWidth="1"/>
    <col min="10503" max="10503" width="7.44140625" customWidth="1"/>
    <col min="10504" max="10504" width="9.44140625" customWidth="1"/>
    <col min="10505" max="10505" width="9" customWidth="1"/>
    <col min="10506" max="10506" width="0" hidden="1" customWidth="1"/>
    <col min="10507" max="10507" width="16" customWidth="1"/>
    <col min="10753" max="10753" width="3.44140625" customWidth="1"/>
    <col min="10754" max="10754" width="4.44140625" customWidth="1"/>
    <col min="10755" max="10755" width="14.44140625" bestFit="1" customWidth="1"/>
    <col min="10757" max="10757" width="14" customWidth="1"/>
    <col min="10758" max="10758" width="8.44140625" customWidth="1"/>
    <col min="10759" max="10759" width="7.44140625" customWidth="1"/>
    <col min="10760" max="10760" width="9.44140625" customWidth="1"/>
    <col min="10761" max="10761" width="9" customWidth="1"/>
    <col min="10762" max="10762" width="0" hidden="1" customWidth="1"/>
    <col min="10763" max="10763" width="16" customWidth="1"/>
    <col min="11009" max="11009" width="3.44140625" customWidth="1"/>
    <col min="11010" max="11010" width="4.44140625" customWidth="1"/>
    <col min="11011" max="11011" width="14.44140625" bestFit="1" customWidth="1"/>
    <col min="11013" max="11013" width="14" customWidth="1"/>
    <col min="11014" max="11014" width="8.44140625" customWidth="1"/>
    <col min="11015" max="11015" width="7.44140625" customWidth="1"/>
    <col min="11016" max="11016" width="9.44140625" customWidth="1"/>
    <col min="11017" max="11017" width="9" customWidth="1"/>
    <col min="11018" max="11018" width="0" hidden="1" customWidth="1"/>
    <col min="11019" max="11019" width="16" customWidth="1"/>
    <col min="11265" max="11265" width="3.44140625" customWidth="1"/>
    <col min="11266" max="11266" width="4.44140625" customWidth="1"/>
    <col min="11267" max="11267" width="14.44140625" bestFit="1" customWidth="1"/>
    <col min="11269" max="11269" width="14" customWidth="1"/>
    <col min="11270" max="11270" width="8.44140625" customWidth="1"/>
    <col min="11271" max="11271" width="7.44140625" customWidth="1"/>
    <col min="11272" max="11272" width="9.44140625" customWidth="1"/>
    <col min="11273" max="11273" width="9" customWidth="1"/>
    <col min="11274" max="11274" width="0" hidden="1" customWidth="1"/>
    <col min="11275" max="11275" width="16" customWidth="1"/>
    <col min="11521" max="11521" width="3.44140625" customWidth="1"/>
    <col min="11522" max="11522" width="4.44140625" customWidth="1"/>
    <col min="11523" max="11523" width="14.44140625" bestFit="1" customWidth="1"/>
    <col min="11525" max="11525" width="14" customWidth="1"/>
    <col min="11526" max="11526" width="8.44140625" customWidth="1"/>
    <col min="11527" max="11527" width="7.44140625" customWidth="1"/>
    <col min="11528" max="11528" width="9.44140625" customWidth="1"/>
    <col min="11529" max="11529" width="9" customWidth="1"/>
    <col min="11530" max="11530" width="0" hidden="1" customWidth="1"/>
    <col min="11531" max="11531" width="16" customWidth="1"/>
    <col min="11777" max="11777" width="3.44140625" customWidth="1"/>
    <col min="11778" max="11778" width="4.44140625" customWidth="1"/>
    <col min="11779" max="11779" width="14.44140625" bestFit="1" customWidth="1"/>
    <col min="11781" max="11781" width="14" customWidth="1"/>
    <col min="11782" max="11782" width="8.44140625" customWidth="1"/>
    <col min="11783" max="11783" width="7.44140625" customWidth="1"/>
    <col min="11784" max="11784" width="9.44140625" customWidth="1"/>
    <col min="11785" max="11785" width="9" customWidth="1"/>
    <col min="11786" max="11786" width="0" hidden="1" customWidth="1"/>
    <col min="11787" max="11787" width="16" customWidth="1"/>
    <col min="12033" max="12033" width="3.44140625" customWidth="1"/>
    <col min="12034" max="12034" width="4.44140625" customWidth="1"/>
    <col min="12035" max="12035" width="14.44140625" bestFit="1" customWidth="1"/>
    <col min="12037" max="12037" width="14" customWidth="1"/>
    <col min="12038" max="12038" width="8.44140625" customWidth="1"/>
    <col min="12039" max="12039" width="7.44140625" customWidth="1"/>
    <col min="12040" max="12040" width="9.44140625" customWidth="1"/>
    <col min="12041" max="12041" width="9" customWidth="1"/>
    <col min="12042" max="12042" width="0" hidden="1" customWidth="1"/>
    <col min="12043" max="12043" width="16" customWidth="1"/>
    <col min="12289" max="12289" width="3.44140625" customWidth="1"/>
    <col min="12290" max="12290" width="4.44140625" customWidth="1"/>
    <col min="12291" max="12291" width="14.44140625" bestFit="1" customWidth="1"/>
    <col min="12293" max="12293" width="14" customWidth="1"/>
    <col min="12294" max="12294" width="8.44140625" customWidth="1"/>
    <col min="12295" max="12295" width="7.44140625" customWidth="1"/>
    <col min="12296" max="12296" width="9.44140625" customWidth="1"/>
    <col min="12297" max="12297" width="9" customWidth="1"/>
    <col min="12298" max="12298" width="0" hidden="1" customWidth="1"/>
    <col min="12299" max="12299" width="16" customWidth="1"/>
    <col min="12545" max="12545" width="3.44140625" customWidth="1"/>
    <col min="12546" max="12546" width="4.44140625" customWidth="1"/>
    <col min="12547" max="12547" width="14.44140625" bestFit="1" customWidth="1"/>
    <col min="12549" max="12549" width="14" customWidth="1"/>
    <col min="12550" max="12550" width="8.44140625" customWidth="1"/>
    <col min="12551" max="12551" width="7.44140625" customWidth="1"/>
    <col min="12552" max="12552" width="9.44140625" customWidth="1"/>
    <col min="12553" max="12553" width="9" customWidth="1"/>
    <col min="12554" max="12554" width="0" hidden="1" customWidth="1"/>
    <col min="12555" max="12555" width="16" customWidth="1"/>
    <col min="12801" max="12801" width="3.44140625" customWidth="1"/>
    <col min="12802" max="12802" width="4.44140625" customWidth="1"/>
    <col min="12803" max="12803" width="14.44140625" bestFit="1" customWidth="1"/>
    <col min="12805" max="12805" width="14" customWidth="1"/>
    <col min="12806" max="12806" width="8.44140625" customWidth="1"/>
    <col min="12807" max="12807" width="7.44140625" customWidth="1"/>
    <col min="12808" max="12808" width="9.44140625" customWidth="1"/>
    <col min="12809" max="12809" width="9" customWidth="1"/>
    <col min="12810" max="12810" width="0" hidden="1" customWidth="1"/>
    <col min="12811" max="12811" width="16" customWidth="1"/>
    <col min="13057" max="13057" width="3.44140625" customWidth="1"/>
    <col min="13058" max="13058" width="4.44140625" customWidth="1"/>
    <col min="13059" max="13059" width="14.44140625" bestFit="1" customWidth="1"/>
    <col min="13061" max="13061" width="14" customWidth="1"/>
    <col min="13062" max="13062" width="8.44140625" customWidth="1"/>
    <col min="13063" max="13063" width="7.44140625" customWidth="1"/>
    <col min="13064" max="13064" width="9.44140625" customWidth="1"/>
    <col min="13065" max="13065" width="9" customWidth="1"/>
    <col min="13066" max="13066" width="0" hidden="1" customWidth="1"/>
    <col min="13067" max="13067" width="16" customWidth="1"/>
    <col min="13313" max="13313" width="3.44140625" customWidth="1"/>
    <col min="13314" max="13314" width="4.44140625" customWidth="1"/>
    <col min="13315" max="13315" width="14.44140625" bestFit="1" customWidth="1"/>
    <col min="13317" max="13317" width="14" customWidth="1"/>
    <col min="13318" max="13318" width="8.44140625" customWidth="1"/>
    <col min="13319" max="13319" width="7.44140625" customWidth="1"/>
    <col min="13320" max="13320" width="9.44140625" customWidth="1"/>
    <col min="13321" max="13321" width="9" customWidth="1"/>
    <col min="13322" max="13322" width="0" hidden="1" customWidth="1"/>
    <col min="13323" max="13323" width="16" customWidth="1"/>
    <col min="13569" max="13569" width="3.44140625" customWidth="1"/>
    <col min="13570" max="13570" width="4.44140625" customWidth="1"/>
    <col min="13571" max="13571" width="14.44140625" bestFit="1" customWidth="1"/>
    <col min="13573" max="13573" width="14" customWidth="1"/>
    <col min="13574" max="13574" width="8.44140625" customWidth="1"/>
    <col min="13575" max="13575" width="7.44140625" customWidth="1"/>
    <col min="13576" max="13576" width="9.44140625" customWidth="1"/>
    <col min="13577" max="13577" width="9" customWidth="1"/>
    <col min="13578" max="13578" width="0" hidden="1" customWidth="1"/>
    <col min="13579" max="13579" width="16" customWidth="1"/>
    <col min="13825" max="13825" width="3.44140625" customWidth="1"/>
    <col min="13826" max="13826" width="4.44140625" customWidth="1"/>
    <col min="13827" max="13827" width="14.44140625" bestFit="1" customWidth="1"/>
    <col min="13829" max="13829" width="14" customWidth="1"/>
    <col min="13830" max="13830" width="8.44140625" customWidth="1"/>
    <col min="13831" max="13831" width="7.44140625" customWidth="1"/>
    <col min="13832" max="13832" width="9.44140625" customWidth="1"/>
    <col min="13833" max="13833" width="9" customWidth="1"/>
    <col min="13834" max="13834" width="0" hidden="1" customWidth="1"/>
    <col min="13835" max="13835" width="16" customWidth="1"/>
    <col min="14081" max="14081" width="3.44140625" customWidth="1"/>
    <col min="14082" max="14082" width="4.44140625" customWidth="1"/>
    <col min="14083" max="14083" width="14.44140625" bestFit="1" customWidth="1"/>
    <col min="14085" max="14085" width="14" customWidth="1"/>
    <col min="14086" max="14086" width="8.44140625" customWidth="1"/>
    <col min="14087" max="14087" width="7.44140625" customWidth="1"/>
    <col min="14088" max="14088" width="9.44140625" customWidth="1"/>
    <col min="14089" max="14089" width="9" customWidth="1"/>
    <col min="14090" max="14090" width="0" hidden="1" customWidth="1"/>
    <col min="14091" max="14091" width="16" customWidth="1"/>
    <col min="14337" max="14337" width="3.44140625" customWidth="1"/>
    <col min="14338" max="14338" width="4.44140625" customWidth="1"/>
    <col min="14339" max="14339" width="14.44140625" bestFit="1" customWidth="1"/>
    <col min="14341" max="14341" width="14" customWidth="1"/>
    <col min="14342" max="14342" width="8.44140625" customWidth="1"/>
    <col min="14343" max="14343" width="7.44140625" customWidth="1"/>
    <col min="14344" max="14344" width="9.44140625" customWidth="1"/>
    <col min="14345" max="14345" width="9" customWidth="1"/>
    <col min="14346" max="14346" width="0" hidden="1" customWidth="1"/>
    <col min="14347" max="14347" width="16" customWidth="1"/>
    <col min="14593" max="14593" width="3.44140625" customWidth="1"/>
    <col min="14594" max="14594" width="4.44140625" customWidth="1"/>
    <col min="14595" max="14595" width="14.44140625" bestFit="1" customWidth="1"/>
    <col min="14597" max="14597" width="14" customWidth="1"/>
    <col min="14598" max="14598" width="8.44140625" customWidth="1"/>
    <col min="14599" max="14599" width="7.44140625" customWidth="1"/>
    <col min="14600" max="14600" width="9.44140625" customWidth="1"/>
    <col min="14601" max="14601" width="9" customWidth="1"/>
    <col min="14602" max="14602" width="0" hidden="1" customWidth="1"/>
    <col min="14603" max="14603" width="16" customWidth="1"/>
    <col min="14849" max="14849" width="3.44140625" customWidth="1"/>
    <col min="14850" max="14850" width="4.44140625" customWidth="1"/>
    <col min="14851" max="14851" width="14.44140625" bestFit="1" customWidth="1"/>
    <col min="14853" max="14853" width="14" customWidth="1"/>
    <col min="14854" max="14854" width="8.44140625" customWidth="1"/>
    <col min="14855" max="14855" width="7.44140625" customWidth="1"/>
    <col min="14856" max="14856" width="9.44140625" customWidth="1"/>
    <col min="14857" max="14857" width="9" customWidth="1"/>
    <col min="14858" max="14858" width="0" hidden="1" customWidth="1"/>
    <col min="14859" max="14859" width="16" customWidth="1"/>
    <col min="15105" max="15105" width="3.44140625" customWidth="1"/>
    <col min="15106" max="15106" width="4.44140625" customWidth="1"/>
    <col min="15107" max="15107" width="14.44140625" bestFit="1" customWidth="1"/>
    <col min="15109" max="15109" width="14" customWidth="1"/>
    <col min="15110" max="15110" width="8.44140625" customWidth="1"/>
    <col min="15111" max="15111" width="7.44140625" customWidth="1"/>
    <col min="15112" max="15112" width="9.44140625" customWidth="1"/>
    <col min="15113" max="15113" width="9" customWidth="1"/>
    <col min="15114" max="15114" width="0" hidden="1" customWidth="1"/>
    <col min="15115" max="15115" width="16" customWidth="1"/>
    <col min="15361" max="15361" width="3.44140625" customWidth="1"/>
    <col min="15362" max="15362" width="4.44140625" customWidth="1"/>
    <col min="15363" max="15363" width="14.44140625" bestFit="1" customWidth="1"/>
    <col min="15365" max="15365" width="14" customWidth="1"/>
    <col min="15366" max="15366" width="8.44140625" customWidth="1"/>
    <col min="15367" max="15367" width="7.44140625" customWidth="1"/>
    <col min="15368" max="15368" width="9.44140625" customWidth="1"/>
    <col min="15369" max="15369" width="9" customWidth="1"/>
    <col min="15370" max="15370" width="0" hidden="1" customWidth="1"/>
    <col min="15371" max="15371" width="16" customWidth="1"/>
    <col min="15617" max="15617" width="3.44140625" customWidth="1"/>
    <col min="15618" max="15618" width="4.44140625" customWidth="1"/>
    <col min="15619" max="15619" width="14.44140625" bestFit="1" customWidth="1"/>
    <col min="15621" max="15621" width="14" customWidth="1"/>
    <col min="15622" max="15622" width="8.44140625" customWidth="1"/>
    <col min="15623" max="15623" width="7.44140625" customWidth="1"/>
    <col min="15624" max="15624" width="9.44140625" customWidth="1"/>
    <col min="15625" max="15625" width="9" customWidth="1"/>
    <col min="15626" max="15626" width="0" hidden="1" customWidth="1"/>
    <col min="15627" max="15627" width="16" customWidth="1"/>
    <col min="15873" max="15873" width="3.44140625" customWidth="1"/>
    <col min="15874" max="15874" width="4.44140625" customWidth="1"/>
    <col min="15875" max="15875" width="14.44140625" bestFit="1" customWidth="1"/>
    <col min="15877" max="15877" width="14" customWidth="1"/>
    <col min="15878" max="15878" width="8.44140625" customWidth="1"/>
    <col min="15879" max="15879" width="7.44140625" customWidth="1"/>
    <col min="15880" max="15880" width="9.44140625" customWidth="1"/>
    <col min="15881" max="15881" width="9" customWidth="1"/>
    <col min="15882" max="15882" width="0" hidden="1" customWidth="1"/>
    <col min="15883" max="15883" width="16" customWidth="1"/>
    <col min="16129" max="16129" width="3.44140625" customWidth="1"/>
    <col min="16130" max="16130" width="4.44140625" customWidth="1"/>
    <col min="16131" max="16131" width="14.44140625" bestFit="1" customWidth="1"/>
    <col min="16133" max="16133" width="14" customWidth="1"/>
    <col min="16134" max="16134" width="8.44140625" customWidth="1"/>
    <col min="16135" max="16135" width="7.44140625" customWidth="1"/>
    <col min="16136" max="16136" width="9.4414062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0">
        <v>44223</v>
      </c>
      <c r="D4" s="351"/>
      <c r="E4" s="4"/>
      <c r="F4" s="6"/>
      <c r="G4" s="6"/>
      <c r="H4" s="351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40" t="s">
        <v>366</v>
      </c>
      <c r="D6" s="2040"/>
      <c r="E6" s="2040"/>
      <c r="F6" s="2040"/>
      <c r="G6" s="2040"/>
      <c r="H6" s="2040"/>
      <c r="I6" s="2040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40" t="s">
        <v>23</v>
      </c>
      <c r="D7" s="2040"/>
      <c r="E7" s="2040"/>
      <c r="F7" s="2040"/>
      <c r="G7" s="2040"/>
      <c r="H7" s="2040"/>
      <c r="I7" s="2040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91" t="s">
        <v>24</v>
      </c>
      <c r="C9" s="2092"/>
      <c r="D9" s="2093"/>
      <c r="E9" s="88"/>
      <c r="F9" s="2092" t="s">
        <v>25</v>
      </c>
      <c r="G9" s="2092"/>
      <c r="H9" s="2092"/>
      <c r="I9" s="2093"/>
      <c r="J9" s="18"/>
      <c r="K9" s="2089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45" t="s">
        <v>27</v>
      </c>
      <c r="C10" s="2041" t="s">
        <v>45</v>
      </c>
      <c r="D10" s="2042"/>
      <c r="E10" s="86"/>
      <c r="F10" s="2056" t="s">
        <v>35</v>
      </c>
      <c r="G10" s="2045" t="s">
        <v>34</v>
      </c>
      <c r="H10" s="2045" t="s">
        <v>28</v>
      </c>
      <c r="I10" s="2041" t="s">
        <v>42</v>
      </c>
      <c r="J10" s="18"/>
      <c r="K10" s="2090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46"/>
      <c r="C11" s="2043"/>
      <c r="D11" s="2044"/>
      <c r="E11" s="87"/>
      <c r="F11" s="2057"/>
      <c r="G11" s="2046"/>
      <c r="H11" s="2046"/>
      <c r="I11" s="2043"/>
      <c r="J11" s="19"/>
      <c r="K11" s="2090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53" t="s">
        <v>750</v>
      </c>
      <c r="D12" s="2054"/>
      <c r="E12" s="2055"/>
      <c r="F12" s="124">
        <v>1.2</v>
      </c>
      <c r="G12" s="107">
        <f>'планирование суточное'!L34</f>
        <v>0</v>
      </c>
      <c r="H12" s="108">
        <v>400</v>
      </c>
      <c r="I12" s="2051">
        <f t="shared" ref="I12:I22" si="0">G12*H12</f>
        <v>0</v>
      </c>
      <c r="J12" s="2052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53" t="s">
        <v>71</v>
      </c>
      <c r="D13" s="2054"/>
      <c r="E13" s="2055"/>
      <c r="F13" s="125"/>
      <c r="G13" s="111">
        <f>'планирование суточное'!L103</f>
        <v>0</v>
      </c>
      <c r="H13" s="112"/>
      <c r="I13" s="2048">
        <f t="shared" si="0"/>
        <v>0</v>
      </c>
      <c r="J13" s="2049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50" t="s">
        <v>72</v>
      </c>
      <c r="D14" s="2050"/>
      <c r="E14" s="2050"/>
      <c r="F14" s="125"/>
      <c r="G14" s="111">
        <f>'планирование суточное'!L106</f>
        <v>0</v>
      </c>
      <c r="H14" s="112"/>
      <c r="I14" s="2048">
        <f t="shared" si="0"/>
        <v>0</v>
      </c>
      <c r="J14" s="2049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53" t="s">
        <v>73</v>
      </c>
      <c r="D15" s="2054"/>
      <c r="E15" s="2055"/>
      <c r="F15" s="125"/>
      <c r="G15" s="111">
        <f>'планирование суточное'!L113</f>
        <v>0</v>
      </c>
      <c r="H15" s="112"/>
      <c r="I15" s="2048">
        <f t="shared" si="0"/>
        <v>0</v>
      </c>
      <c r="J15" s="2049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47" t="s">
        <v>1</v>
      </c>
      <c r="D16" s="2047"/>
      <c r="E16" s="2047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9</v>
      </c>
      <c r="H16" s="114">
        <v>8000</v>
      </c>
      <c r="I16" s="2048">
        <f t="shared" si="0"/>
        <v>72000</v>
      </c>
      <c r="J16" s="2049"/>
      <c r="K16" s="126"/>
      <c r="L16" s="95">
        <f>I16*F16/K8</f>
        <v>48600</v>
      </c>
      <c r="M16" s="100">
        <f t="shared" si="1"/>
        <v>23400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47" t="s">
        <v>29</v>
      </c>
      <c r="D17" s="2047"/>
      <c r="E17" s="2047"/>
      <c r="F17" s="125">
        <v>3.6</v>
      </c>
      <c r="G17" s="114">
        <f>'планирование суточное'!L2</f>
        <v>1</v>
      </c>
      <c r="H17" s="329">
        <v>8000</v>
      </c>
      <c r="I17" s="2048">
        <f t="shared" si="0"/>
        <v>8000</v>
      </c>
      <c r="J17" s="2049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47" t="s">
        <v>29</v>
      </c>
      <c r="D18" s="2047"/>
      <c r="E18" s="2047"/>
      <c r="F18" s="125">
        <v>3.3</v>
      </c>
      <c r="G18" s="114">
        <f>'планирование суточное'!L3</f>
        <v>1</v>
      </c>
      <c r="H18" s="329">
        <v>8000</v>
      </c>
      <c r="I18" s="114">
        <f t="shared" si="0"/>
        <v>8000</v>
      </c>
      <c r="J18" s="112"/>
      <c r="K18" s="115"/>
      <c r="L18" s="95">
        <f>I18*F18/K8</f>
        <v>6600</v>
      </c>
      <c r="M18" s="100">
        <f t="shared" si="1"/>
        <v>1400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47" t="s">
        <v>32</v>
      </c>
      <c r="D19" s="2047"/>
      <c r="E19" s="2047"/>
      <c r="F19" s="125">
        <v>3.6</v>
      </c>
      <c r="G19" s="114">
        <f>'планирование суточное'!L22</f>
        <v>0</v>
      </c>
      <c r="H19" s="329">
        <v>8000</v>
      </c>
      <c r="I19" s="2048">
        <f t="shared" si="0"/>
        <v>0</v>
      </c>
      <c r="J19" s="2049"/>
      <c r="K19" s="109"/>
      <c r="L19" s="95">
        <f>I19*F19/K8</f>
        <v>0</v>
      </c>
      <c r="M19" s="100">
        <f t="shared" si="1"/>
        <v>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47" t="s">
        <v>32</v>
      </c>
      <c r="D20" s="2047"/>
      <c r="E20" s="2047"/>
      <c r="F20" s="125">
        <v>3.3</v>
      </c>
      <c r="G20" s="114">
        <f>'планирование суточное'!L23</f>
        <v>2</v>
      </c>
      <c r="H20" s="329">
        <v>8000</v>
      </c>
      <c r="I20" s="114">
        <f t="shared" si="0"/>
        <v>16000</v>
      </c>
      <c r="J20" s="112"/>
      <c r="K20" s="115"/>
      <c r="L20" s="95">
        <f>I20*F20/K8</f>
        <v>13200</v>
      </c>
      <c r="M20" s="100">
        <f t="shared" si="1"/>
        <v>2800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47" t="s">
        <v>2</v>
      </c>
      <c r="D21" s="2047"/>
      <c r="E21" s="2047"/>
      <c r="F21" s="125">
        <v>2.7</v>
      </c>
      <c r="G21" s="114">
        <f>'планирование суточное'!L40+'планирование суточное'!L45+'планирование суточное'!L50</f>
        <v>7</v>
      </c>
      <c r="H21" s="329">
        <v>8000</v>
      </c>
      <c r="I21" s="2048">
        <f t="shared" si="0"/>
        <v>56000</v>
      </c>
      <c r="J21" s="2049"/>
      <c r="K21" s="116"/>
      <c r="L21" s="95">
        <f>I21*F21/K8</f>
        <v>37800</v>
      </c>
      <c r="M21" s="100">
        <f t="shared" si="1"/>
        <v>18200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47" t="s">
        <v>89</v>
      </c>
      <c r="D22" s="2047"/>
      <c r="E22" s="2047"/>
      <c r="F22" s="125">
        <v>3.6</v>
      </c>
      <c r="G22" s="114">
        <f>'планирование суточное'!L83</f>
        <v>0</v>
      </c>
      <c r="H22" s="329">
        <v>8000</v>
      </c>
      <c r="I22" s="2048">
        <f t="shared" si="0"/>
        <v>0</v>
      </c>
      <c r="J22" s="2049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69"/>
      <c r="D23" s="2070"/>
      <c r="E23" s="2071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72"/>
      <c r="D24" s="2073"/>
      <c r="E24" s="2074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81" t="s">
        <v>0</v>
      </c>
      <c r="D25" s="2081"/>
      <c r="E25" s="2081"/>
      <c r="F25" s="130" t="s">
        <v>62</v>
      </c>
      <c r="G25" s="119">
        <f>'планирование суточное'!L87</f>
        <v>0</v>
      </c>
      <c r="H25" s="120">
        <v>400</v>
      </c>
      <c r="I25" s="2058">
        <f>G25*H25</f>
        <v>0</v>
      </c>
      <c r="J25" s="2059"/>
      <c r="K25" s="199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3">
        <v>15</v>
      </c>
      <c r="C26" s="2083" t="s">
        <v>30</v>
      </c>
      <c r="D26" s="2084"/>
      <c r="E26" s="2084"/>
      <c r="F26" s="197"/>
      <c r="G26" s="198">
        <f>SUM(G12:G25)</f>
        <v>20</v>
      </c>
      <c r="H26" s="197"/>
      <c r="I26" s="2085">
        <f>SUM(I12:I25)</f>
        <v>160000</v>
      </c>
      <c r="J26" s="2086"/>
      <c r="L26" s="101">
        <f>SUM(L12:L25)</f>
        <v>113400</v>
      </c>
      <c r="M26" s="102">
        <f t="shared" si="1"/>
        <v>46600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1" thickBot="1">
      <c r="A27" s="6"/>
      <c r="B27" s="122">
        <v>16</v>
      </c>
      <c r="C27" s="2075" t="s">
        <v>3</v>
      </c>
      <c r="D27" s="2076"/>
      <c r="E27" s="2077"/>
      <c r="F27" s="194" t="s">
        <v>61</v>
      </c>
      <c r="G27" s="195">
        <f>'планирование суточное'!L152</f>
        <v>0</v>
      </c>
      <c r="H27" s="195">
        <v>800</v>
      </c>
      <c r="I27" s="195">
        <f>G27*H27</f>
        <v>0</v>
      </c>
      <c r="J27" s="196"/>
      <c r="K27" s="196"/>
      <c r="L27" s="97">
        <f>I27*F27/K8</f>
        <v>0</v>
      </c>
      <c r="M27" s="100">
        <f t="shared" si="1"/>
        <v>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78" t="s">
        <v>43</v>
      </c>
      <c r="D28" s="2079"/>
      <c r="E28" s="2080"/>
      <c r="F28" s="192" t="s">
        <v>60</v>
      </c>
      <c r="G28" s="352">
        <f>'планирование суточное'!L148+'планирование суточное'!L145</f>
        <v>0</v>
      </c>
      <c r="H28" s="184">
        <v>800</v>
      </c>
      <c r="I28" s="184">
        <f>G28*H28</f>
        <v>0</v>
      </c>
      <c r="J28" s="183"/>
      <c r="K28" s="183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1" thickBot="1">
      <c r="A29" s="6"/>
      <c r="B29" s="122">
        <v>18</v>
      </c>
      <c r="C29" s="2068" t="s">
        <v>59</v>
      </c>
      <c r="D29" s="2068"/>
      <c r="E29" s="2068"/>
      <c r="F29" s="105">
        <v>15</v>
      </c>
      <c r="G29" s="123">
        <f>'планирование суточное'!L137</f>
        <v>0</v>
      </c>
      <c r="H29" s="183">
        <v>800</v>
      </c>
      <c r="I29" s="2087">
        <f>G29*H29</f>
        <v>0</v>
      </c>
      <c r="J29" s="2088"/>
      <c r="K29" s="183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78" t="s">
        <v>67</v>
      </c>
      <c r="D30" s="2079"/>
      <c r="E30" s="2080"/>
      <c r="F30" s="184">
        <v>36</v>
      </c>
      <c r="G30" s="184">
        <v>1</v>
      </c>
      <c r="H30" s="184"/>
      <c r="I30" s="184">
        <f>G30*H30</f>
        <v>0</v>
      </c>
      <c r="J30" s="183"/>
      <c r="K30" s="183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6">
      <c r="A31" s="6"/>
      <c r="B31" s="8"/>
      <c r="C31" s="1" t="s">
        <v>70</v>
      </c>
      <c r="D31" s="2082"/>
      <c r="E31" s="2082"/>
      <c r="F31" s="2082"/>
      <c r="G31" s="2082"/>
      <c r="H31" s="1"/>
      <c r="I31" s="1"/>
      <c r="J31" s="8"/>
      <c r="K31" s="9"/>
      <c r="L31" s="103">
        <f>L26+L27+L28+L29+L30</f>
        <v>113400</v>
      </c>
      <c r="M31" s="104">
        <f>M26+M27+M28+M29+M30</f>
        <v>46600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" customHeight="1">
      <c r="A32" s="6"/>
      <c r="B32" s="8"/>
      <c r="C32" s="2066"/>
      <c r="D32" s="2066"/>
      <c r="E32" s="2066"/>
      <c r="F32" s="2066"/>
      <c r="G32" s="2066"/>
      <c r="H32" s="2066"/>
      <c r="I32" s="2066"/>
      <c r="J32" s="2066"/>
      <c r="K32" s="2066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6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50000000000001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.2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35" customHeight="1" thickBot="1">
      <c r="A37" s="6"/>
      <c r="B37" s="1996" t="s">
        <v>48</v>
      </c>
      <c r="C37" s="1997"/>
      <c r="D37" s="1997"/>
      <c r="E37" s="1997"/>
      <c r="F37" s="1997"/>
      <c r="G37" s="1997"/>
      <c r="H37" s="1997"/>
      <c r="I37" s="1997"/>
      <c r="J37" s="1997"/>
      <c r="K37" s="1997"/>
      <c r="L37" s="1998"/>
      <c r="O37" s="9"/>
      <c r="P37" s="9"/>
      <c r="Q37" s="9"/>
      <c r="R37" s="9"/>
      <c r="U37" s="9"/>
    </row>
    <row r="38" spans="1:39" ht="40.35" customHeight="1" thickBot="1">
      <c r="B38" s="2014">
        <f>C4</f>
        <v>44223</v>
      </c>
      <c r="C38" s="2015"/>
      <c r="D38" s="2015"/>
      <c r="E38" s="2015"/>
      <c r="F38" s="2015"/>
      <c r="G38" s="2015"/>
      <c r="H38" s="2015"/>
      <c r="I38" s="2015"/>
      <c r="J38" s="2015"/>
      <c r="K38" s="2015"/>
      <c r="L38" s="2016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" customHeight="1" thickBot="1">
      <c r="B39" s="353"/>
      <c r="C39" s="1999" t="s">
        <v>367</v>
      </c>
      <c r="D39" s="2000"/>
      <c r="E39" s="2000"/>
      <c r="F39" s="2001"/>
      <c r="G39" s="355" t="s">
        <v>31</v>
      </c>
      <c r="H39" s="356" t="s">
        <v>39</v>
      </c>
      <c r="I39" s="355" t="s">
        <v>36</v>
      </c>
      <c r="J39" s="357"/>
      <c r="K39" s="358" t="s">
        <v>38</v>
      </c>
      <c r="L39" s="359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" customHeight="1">
      <c r="B40" s="131">
        <v>1</v>
      </c>
      <c r="C40" s="2011" t="s">
        <v>312</v>
      </c>
      <c r="D40" s="2012"/>
      <c r="E40" s="2012"/>
      <c r="F40" s="2013"/>
      <c r="G40" s="420">
        <v>0.25</v>
      </c>
      <c r="H40" s="421">
        <f t="shared" ref="H40:H54" si="2">I40/G40</f>
        <v>18000</v>
      </c>
      <c r="I40" s="425">
        <f>-VLOOKUP(C40,'планирование суточное'!$C:$H,4,FALSE)</f>
        <v>4500</v>
      </c>
      <c r="J40" s="422"/>
      <c r="K40" s="421">
        <f>I40/1.5</f>
        <v>3000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" customHeight="1">
      <c r="B41" s="131">
        <v>2</v>
      </c>
      <c r="C41" s="2011" t="s">
        <v>313</v>
      </c>
      <c r="D41" s="2012"/>
      <c r="E41" s="2012"/>
      <c r="F41" s="2013"/>
      <c r="G41" s="423">
        <v>0.5</v>
      </c>
      <c r="H41" s="424">
        <f>I41/G41</f>
        <v>0</v>
      </c>
      <c r="I41" s="425">
        <f>-VLOOKUP(C41,'планирование суточное'!$C:$H,4,FALSE)</f>
        <v>0</v>
      </c>
      <c r="J41" s="426"/>
      <c r="K41" s="424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" customHeight="1">
      <c r="B42" s="131">
        <v>3</v>
      </c>
      <c r="C42" s="2011" t="s">
        <v>315</v>
      </c>
      <c r="D42" s="2012"/>
      <c r="E42" s="2012"/>
      <c r="F42" s="2013"/>
      <c r="G42" s="423">
        <v>0.2</v>
      </c>
      <c r="H42" s="424">
        <f>I42/G42</f>
        <v>0</v>
      </c>
      <c r="I42" s="425">
        <f>-VLOOKUP(C42,'планирование суточное'!$C:$H,4,FALSE)</f>
        <v>0</v>
      </c>
      <c r="J42" s="426"/>
      <c r="K42" s="424">
        <f>I42/1.2</f>
        <v>0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" customHeight="1">
      <c r="B43" s="131">
        <v>4</v>
      </c>
      <c r="C43" s="2011" t="s">
        <v>314</v>
      </c>
      <c r="D43" s="2012"/>
      <c r="E43" s="2012"/>
      <c r="F43" s="2013"/>
      <c r="G43" s="423">
        <v>0.5</v>
      </c>
      <c r="H43" s="424">
        <f>I43/G43</f>
        <v>0</v>
      </c>
      <c r="I43" s="425">
        <f>-VLOOKUP(C43,'планирование суточное'!$C:$H,4,FALSE)</f>
        <v>0</v>
      </c>
      <c r="J43" s="426"/>
      <c r="K43" s="424">
        <f>I43/3</f>
        <v>0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" customHeight="1">
      <c r="B44" s="131">
        <v>5</v>
      </c>
      <c r="C44" s="2011" t="s">
        <v>317</v>
      </c>
      <c r="D44" s="2012"/>
      <c r="E44" s="2012"/>
      <c r="F44" s="2013"/>
      <c r="G44" s="427">
        <v>0.2</v>
      </c>
      <c r="H44" s="424">
        <f t="shared" si="2"/>
        <v>1000</v>
      </c>
      <c r="I44" s="425">
        <f>-VLOOKUP(C44,'планирование суточное'!$C:$H,4,FALSE)</f>
        <v>200</v>
      </c>
      <c r="J44" s="426"/>
      <c r="K44" s="424">
        <f>I44/1.5</f>
        <v>133.33333333333334</v>
      </c>
      <c r="L44" s="1767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" customHeight="1">
      <c r="B45" s="131">
        <v>6</v>
      </c>
      <c r="C45" s="2011" t="s">
        <v>756</v>
      </c>
      <c r="D45" s="2012"/>
      <c r="E45" s="2012"/>
      <c r="F45" s="2013"/>
      <c r="G45" s="423">
        <v>0.2</v>
      </c>
      <c r="H45" s="425">
        <f t="shared" si="2"/>
        <v>3600</v>
      </c>
      <c r="I45" s="425">
        <v>720</v>
      </c>
      <c r="J45" s="426"/>
      <c r="K45" s="424">
        <f>I45/1.2</f>
        <v>600</v>
      </c>
      <c r="L45" s="361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" customHeight="1">
      <c r="B46" s="131">
        <v>7</v>
      </c>
      <c r="C46" s="2011" t="s">
        <v>101</v>
      </c>
      <c r="D46" s="2012"/>
      <c r="E46" s="2012"/>
      <c r="F46" s="2013"/>
      <c r="G46" s="423">
        <v>0.25</v>
      </c>
      <c r="H46" s="425">
        <f t="shared" si="2"/>
        <v>0</v>
      </c>
      <c r="I46" s="425">
        <f>-VLOOKUP(C46,'планирование суточное'!$C:$H,4,FALSE)</f>
        <v>0</v>
      </c>
      <c r="J46" s="426"/>
      <c r="K46" s="424">
        <f>I46/1.5</f>
        <v>0</v>
      </c>
      <c r="L46" s="360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" customHeight="1">
      <c r="B47" s="131">
        <v>8</v>
      </c>
      <c r="C47" s="2011" t="s">
        <v>473</v>
      </c>
      <c r="D47" s="2012"/>
      <c r="E47" s="2012"/>
      <c r="F47" s="2013"/>
      <c r="G47" s="427">
        <v>0.2</v>
      </c>
      <c r="H47" s="425">
        <f t="shared" si="2"/>
        <v>4000</v>
      </c>
      <c r="I47" s="425">
        <f>-VLOOKUP(C47,'планирование суточное'!$C:$H,4,FALSE)</f>
        <v>800</v>
      </c>
      <c r="J47" s="426"/>
      <c r="K47" s="424">
        <f>I47/1.2</f>
        <v>666.66666666666674</v>
      </c>
      <c r="L47" s="155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" customHeight="1">
      <c r="B48" s="131">
        <v>9</v>
      </c>
      <c r="C48" s="2011" t="s">
        <v>487</v>
      </c>
      <c r="D48" s="2012"/>
      <c r="E48" s="2012"/>
      <c r="F48" s="2013"/>
      <c r="G48" s="427">
        <v>0.2</v>
      </c>
      <c r="H48" s="425">
        <f t="shared" si="2"/>
        <v>0</v>
      </c>
      <c r="I48" s="425">
        <f>-VLOOKUP(C48,'планирование суточное'!$C:$H,4,FALSE)</f>
        <v>0</v>
      </c>
      <c r="J48" s="426"/>
      <c r="K48" s="424">
        <f>I48/1.2</f>
        <v>0</v>
      </c>
      <c r="L48" s="36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" customHeight="1">
      <c r="B49" s="131">
        <v>10</v>
      </c>
      <c r="C49" s="2011" t="s">
        <v>488</v>
      </c>
      <c r="D49" s="2012"/>
      <c r="E49" s="2012"/>
      <c r="F49" s="2013"/>
      <c r="G49" s="427">
        <v>0.2</v>
      </c>
      <c r="H49" s="425">
        <f t="shared" si="2"/>
        <v>0</v>
      </c>
      <c r="I49" s="425">
        <f>-VLOOKUP(C49,'планирование суточное'!$C:$H,4,FALSE)</f>
        <v>0</v>
      </c>
      <c r="J49" s="426"/>
      <c r="K49" s="424">
        <f>I49/1.2</f>
        <v>0</v>
      </c>
      <c r="L49" s="36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" customHeight="1">
      <c r="B50" s="131">
        <v>11</v>
      </c>
      <c r="C50" s="2011" t="s">
        <v>489</v>
      </c>
      <c r="D50" s="2012"/>
      <c r="E50" s="2012"/>
      <c r="F50" s="2013"/>
      <c r="G50" s="427">
        <v>0.2</v>
      </c>
      <c r="H50" s="425">
        <f t="shared" si="2"/>
        <v>0</v>
      </c>
      <c r="I50" s="425">
        <f>-VLOOKUP(C50,'планирование суточное'!$C:$H,4,FALSE)</f>
        <v>0</v>
      </c>
      <c r="J50" s="426"/>
      <c r="K50" s="424">
        <f>I50/1.2</f>
        <v>0</v>
      </c>
      <c r="L50" s="360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" customHeight="1">
      <c r="B51" s="131">
        <v>12</v>
      </c>
      <c r="C51" s="1984" t="s">
        <v>465</v>
      </c>
      <c r="D51" s="1985"/>
      <c r="E51" s="1985"/>
      <c r="F51" s="1986"/>
      <c r="G51" s="428">
        <v>0.25</v>
      </c>
      <c r="H51" s="425">
        <f t="shared" si="2"/>
        <v>6000</v>
      </c>
      <c r="I51" s="425">
        <f>-VLOOKUP(C51,'планирование суточное'!$C:$H,4,FALSE)</f>
        <v>1500</v>
      </c>
      <c r="J51" s="430"/>
      <c r="K51" s="424">
        <f>I51/1.5</f>
        <v>1000</v>
      </c>
      <c r="L51" s="481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" customHeight="1">
      <c r="B52" s="131">
        <v>13</v>
      </c>
      <c r="C52" s="1984" t="s">
        <v>452</v>
      </c>
      <c r="D52" s="1985"/>
      <c r="E52" s="1985"/>
      <c r="F52" s="1986"/>
      <c r="G52" s="428">
        <v>0.14000000000000001</v>
      </c>
      <c r="H52" s="425">
        <f t="shared" si="2"/>
        <v>0</v>
      </c>
      <c r="I52" s="425">
        <f>-VLOOKUP(C52,'планирование суточное'!$C:$H,4,FALSE)</f>
        <v>0</v>
      </c>
      <c r="J52" s="430"/>
      <c r="K52" s="424">
        <f>I52/0.84</f>
        <v>0</v>
      </c>
      <c r="L52" s="481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" customHeight="1">
      <c r="B53" s="131">
        <v>14</v>
      </c>
      <c r="C53" s="1984" t="s">
        <v>453</v>
      </c>
      <c r="D53" s="1985"/>
      <c r="E53" s="1985"/>
      <c r="F53" s="1986"/>
      <c r="G53" s="428">
        <v>0.14000000000000001</v>
      </c>
      <c r="H53" s="425">
        <f t="shared" si="2"/>
        <v>0</v>
      </c>
      <c r="I53" s="425">
        <v>0</v>
      </c>
      <c r="J53" s="430"/>
      <c r="K53" s="424">
        <f>I53/0.84</f>
        <v>0</v>
      </c>
      <c r="L53" s="48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" customHeight="1" thickBot="1">
      <c r="B54" s="131">
        <v>15</v>
      </c>
      <c r="C54" s="2011" t="s">
        <v>417</v>
      </c>
      <c r="D54" s="2012"/>
      <c r="E54" s="2012"/>
      <c r="F54" s="2013"/>
      <c r="G54" s="428">
        <v>0.18</v>
      </c>
      <c r="H54" s="429">
        <f t="shared" si="2"/>
        <v>0</v>
      </c>
      <c r="I54" s="425">
        <f>-VLOOKUP(C54,'планирование суточное'!$C:$H,4,FALSE)</f>
        <v>0</v>
      </c>
      <c r="J54" s="430"/>
      <c r="K54" s="429">
        <v>0</v>
      </c>
      <c r="L54" s="364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" customHeight="1" thickBot="1">
      <c r="B55" s="131">
        <v>16</v>
      </c>
      <c r="C55" s="2034" t="s">
        <v>806</v>
      </c>
      <c r="D55" s="2035"/>
      <c r="E55" s="2035"/>
      <c r="F55" s="2036"/>
      <c r="G55" s="431">
        <v>0.18</v>
      </c>
      <c r="H55" s="424">
        <f>I55/G55</f>
        <v>0</v>
      </c>
      <c r="I55" s="425">
        <f>-VLOOKUP(C55,'планирование суточное'!$C:$H,4,FALSE)</f>
        <v>0</v>
      </c>
      <c r="J55" s="426"/>
      <c r="K55" s="424">
        <f>I55/1.08</f>
        <v>0</v>
      </c>
      <c r="L55" s="155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" customHeight="1" thickBot="1">
      <c r="B56" s="131">
        <v>17</v>
      </c>
      <c r="C56" s="1981" t="s">
        <v>821</v>
      </c>
      <c r="D56" s="1982"/>
      <c r="E56" s="1982"/>
      <c r="F56" s="1983"/>
      <c r="G56" s="427">
        <v>0.2</v>
      </c>
      <c r="H56" s="424">
        <f t="shared" ref="H56:H57" si="3">I56/G56</f>
        <v>0</v>
      </c>
      <c r="I56" s="425">
        <f>-VLOOKUP(C56,'планирование суточное'!$C:$H,4,FALSE)</f>
        <v>0</v>
      </c>
      <c r="J56" s="430"/>
      <c r="K56" s="424">
        <f>I56/1.2</f>
        <v>0</v>
      </c>
      <c r="L56" s="175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" customHeight="1" thickBot="1">
      <c r="B57" s="131">
        <v>18</v>
      </c>
      <c r="C57" s="2034" t="s">
        <v>822</v>
      </c>
      <c r="D57" s="2035"/>
      <c r="E57" s="2035"/>
      <c r="F57" s="2036"/>
      <c r="G57" s="427">
        <v>0.2</v>
      </c>
      <c r="H57" s="424">
        <f t="shared" si="3"/>
        <v>0</v>
      </c>
      <c r="I57" s="425">
        <f>-VLOOKUP(C57,'планирование суточное'!$C:$H,4,FALSE)</f>
        <v>0</v>
      </c>
      <c r="J57" s="432"/>
      <c r="K57" s="424">
        <f>I57/1.2</f>
        <v>0</v>
      </c>
      <c r="L57" s="36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766"/>
      <c r="D58" s="1766"/>
      <c r="E58" s="1766"/>
      <c r="F58" s="1766"/>
      <c r="G58" s="1766"/>
      <c r="H58" s="1766"/>
      <c r="I58" s="1766"/>
      <c r="J58" s="1766"/>
      <c r="K58" s="1766"/>
      <c r="L58" s="1766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766"/>
      <c r="D59" s="1766"/>
      <c r="E59" s="1766"/>
      <c r="F59" s="1766"/>
      <c r="G59" s="1766"/>
      <c r="H59" s="1766"/>
      <c r="I59" s="1766"/>
      <c r="J59" s="1766"/>
      <c r="K59" s="1766"/>
      <c r="L59" s="1766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35" customHeight="1" thickBot="1">
      <c r="B61" s="1996" t="s">
        <v>368</v>
      </c>
      <c r="C61" s="1997"/>
      <c r="D61" s="1997"/>
      <c r="E61" s="1997"/>
      <c r="F61" s="1997"/>
      <c r="G61" s="1997"/>
      <c r="H61" s="1997"/>
      <c r="I61" s="1997"/>
      <c r="J61" s="1997"/>
      <c r="K61" s="1997"/>
      <c r="L61" s="1998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35" customHeight="1" thickBot="1">
      <c r="B62" s="2014">
        <f>C4</f>
        <v>44223</v>
      </c>
      <c r="C62" s="2015"/>
      <c r="D62" s="2015"/>
      <c r="E62" s="2015"/>
      <c r="F62" s="2015"/>
      <c r="G62" s="2015"/>
      <c r="H62" s="2015"/>
      <c r="I62" s="2015"/>
      <c r="J62" s="2015"/>
      <c r="K62" s="2015"/>
      <c r="L62" s="2016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35" customHeight="1" thickBot="1">
      <c r="B63" s="353"/>
      <c r="C63" s="1999" t="s">
        <v>367</v>
      </c>
      <c r="D63" s="2000"/>
      <c r="E63" s="2000"/>
      <c r="F63" s="2001"/>
      <c r="G63" s="370" t="s">
        <v>31</v>
      </c>
      <c r="H63" s="371" t="s">
        <v>39</v>
      </c>
      <c r="I63" s="370" t="s">
        <v>36</v>
      </c>
      <c r="J63" s="372"/>
      <c r="K63" s="373" t="s">
        <v>38</v>
      </c>
      <c r="L63" s="374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" customHeight="1" thickBot="1">
      <c r="B64" s="353">
        <v>1</v>
      </c>
      <c r="C64" s="2031" t="s">
        <v>420</v>
      </c>
      <c r="D64" s="2032"/>
      <c r="E64" s="2032"/>
      <c r="F64" s="2033"/>
      <c r="G64" s="420">
        <v>0.25</v>
      </c>
      <c r="H64" s="437">
        <f t="shared" ref="H64:H83" si="4">I64/G64</f>
        <v>2840</v>
      </c>
      <c r="I64" s="436">
        <f>-VLOOKUP(C64,'планирование суточное'!$C:$H,4,FALSE)</f>
        <v>710</v>
      </c>
      <c r="J64" s="422"/>
      <c r="K64" s="421">
        <f>I64/1.5</f>
        <v>473.33333333333331</v>
      </c>
      <c r="L64" s="27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" customHeight="1" thickBot="1">
      <c r="B65" s="353">
        <v>2</v>
      </c>
      <c r="C65" s="2020" t="s">
        <v>91</v>
      </c>
      <c r="D65" s="2012"/>
      <c r="E65" s="2012"/>
      <c r="F65" s="2021"/>
      <c r="G65" s="423">
        <v>0.25</v>
      </c>
      <c r="H65" s="425">
        <f t="shared" si="4"/>
        <v>10600</v>
      </c>
      <c r="I65" s="436">
        <f>-VLOOKUP(C65,'планирование суточное'!$C:$H,4,FALSE)</f>
        <v>2650</v>
      </c>
      <c r="J65" s="426"/>
      <c r="K65" s="424">
        <f>I65/1.5</f>
        <v>1766.6666666666667</v>
      </c>
      <c r="L65" s="48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" customHeight="1" thickBot="1">
      <c r="B66" s="353">
        <v>3</v>
      </c>
      <c r="C66" s="2020" t="s">
        <v>92</v>
      </c>
      <c r="D66" s="2012"/>
      <c r="E66" s="2012"/>
      <c r="F66" s="2021"/>
      <c r="G66" s="423">
        <v>0.5</v>
      </c>
      <c r="H66" s="425">
        <f t="shared" si="4"/>
        <v>654</v>
      </c>
      <c r="I66" s="436">
        <f>-VLOOKUP(C66,'планирование суточное'!$C:$H,4,FALSE)</f>
        <v>327</v>
      </c>
      <c r="J66" s="426"/>
      <c r="K66" s="424">
        <f>I66/3</f>
        <v>109</v>
      </c>
      <c r="L66" s="48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" customHeight="1" thickBot="1">
      <c r="B67" s="353">
        <v>4</v>
      </c>
      <c r="C67" s="1984" t="s">
        <v>469</v>
      </c>
      <c r="D67" s="1985"/>
      <c r="E67" s="1985"/>
      <c r="F67" s="1986"/>
      <c r="G67" s="423">
        <v>0.5</v>
      </c>
      <c r="H67" s="425">
        <f t="shared" si="4"/>
        <v>5010</v>
      </c>
      <c r="I67" s="436">
        <f>-VLOOKUP(C67,'планирование суточное'!$C:$H,4,FALSE)</f>
        <v>2505</v>
      </c>
      <c r="J67" s="426"/>
      <c r="K67" s="424">
        <f>I67/3</f>
        <v>835</v>
      </c>
      <c r="L67" s="365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" customHeight="1" thickBot="1">
      <c r="B68" s="353">
        <v>5</v>
      </c>
      <c r="C68" s="2060" t="s">
        <v>466</v>
      </c>
      <c r="D68" s="2061"/>
      <c r="E68" s="2061"/>
      <c r="F68" s="2062"/>
      <c r="G68" s="423">
        <v>0.25</v>
      </c>
      <c r="H68" s="425">
        <f t="shared" si="4"/>
        <v>2748</v>
      </c>
      <c r="I68" s="436">
        <f>-VLOOKUP(C68,'планирование суточное'!$C:$H,4,FALSE)</f>
        <v>687</v>
      </c>
      <c r="J68" s="426"/>
      <c r="K68" s="424">
        <f>I68/1.5</f>
        <v>458</v>
      </c>
      <c r="L68" s="36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" customHeight="1" thickBot="1">
      <c r="B69" s="353">
        <v>6</v>
      </c>
      <c r="C69" s="2025" t="s">
        <v>96</v>
      </c>
      <c r="D69" s="2026"/>
      <c r="E69" s="2026"/>
      <c r="F69" s="2027"/>
      <c r="G69" s="423">
        <v>0.25</v>
      </c>
      <c r="H69" s="425">
        <f t="shared" si="4"/>
        <v>0</v>
      </c>
      <c r="I69" s="436">
        <f>-VLOOKUP(C69,'планирование суточное'!$C:$H,4,FALSE)</f>
        <v>0</v>
      </c>
      <c r="J69" s="426"/>
      <c r="K69" s="424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" customHeight="1" thickBot="1">
      <c r="B70" s="353">
        <v>7</v>
      </c>
      <c r="C70" s="2022" t="s">
        <v>319</v>
      </c>
      <c r="D70" s="2023"/>
      <c r="E70" s="2023"/>
      <c r="F70" s="2024"/>
      <c r="G70" s="423">
        <v>0.25</v>
      </c>
      <c r="H70" s="425">
        <f>I70/G70</f>
        <v>0</v>
      </c>
      <c r="I70" s="436">
        <f>-VLOOKUP(C70,'планирование суточное'!$C:$H,4,FALSE)</f>
        <v>0</v>
      </c>
      <c r="J70" s="426"/>
      <c r="K70" s="424">
        <f>I70/1.5</f>
        <v>0</v>
      </c>
      <c r="L70" s="500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" customHeight="1" thickBot="1">
      <c r="B71" s="353">
        <v>8</v>
      </c>
      <c r="C71" s="2020" t="s">
        <v>825</v>
      </c>
      <c r="D71" s="2012"/>
      <c r="E71" s="2012"/>
      <c r="F71" s="2021"/>
      <c r="G71" s="434">
        <v>0.2</v>
      </c>
      <c r="H71" s="425">
        <f>I71/G71</f>
        <v>0</v>
      </c>
      <c r="I71" s="436">
        <f>-VLOOKUP(C71,'планирование суточное'!$C:$H,4,FALSE)</f>
        <v>0</v>
      </c>
      <c r="J71" s="426"/>
      <c r="K71" s="424">
        <f>I71/1.2</f>
        <v>0</v>
      </c>
      <c r="L71" s="367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" customHeight="1" thickBot="1">
      <c r="B72" s="353">
        <v>9</v>
      </c>
      <c r="C72" s="2020" t="s">
        <v>491</v>
      </c>
      <c r="D72" s="2012"/>
      <c r="E72" s="2012"/>
      <c r="F72" s="2021"/>
      <c r="G72" s="423">
        <v>0.2</v>
      </c>
      <c r="H72" s="424">
        <f t="shared" si="4"/>
        <v>1500</v>
      </c>
      <c r="I72" s="436">
        <f>-VLOOKUP(C72,'планирование суточное'!$C:$H,4,FALSE)</f>
        <v>300</v>
      </c>
      <c r="J72" s="426"/>
      <c r="K72" s="424">
        <f>I72/1.2</f>
        <v>250</v>
      </c>
      <c r="L72" s="367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" customHeight="1" thickBot="1">
      <c r="B73" s="131">
        <v>10</v>
      </c>
      <c r="C73" s="2034" t="s">
        <v>419</v>
      </c>
      <c r="D73" s="2035"/>
      <c r="E73" s="2035"/>
      <c r="F73" s="2036"/>
      <c r="G73" s="435">
        <v>0.5</v>
      </c>
      <c r="H73" s="424">
        <f t="shared" si="4"/>
        <v>0</v>
      </c>
      <c r="I73" s="436">
        <f>-VLOOKUP(C73,'планирование суточное'!$C:$H,4,FALSE)</f>
        <v>0</v>
      </c>
      <c r="J73" s="426"/>
      <c r="K73" s="424">
        <f>I73/3</f>
        <v>0</v>
      </c>
      <c r="L73" s="367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" customHeight="1" thickBot="1">
      <c r="B74" s="131">
        <v>11</v>
      </c>
      <c r="C74" s="2020" t="s">
        <v>823</v>
      </c>
      <c r="D74" s="2012"/>
      <c r="E74" s="2012"/>
      <c r="F74" s="2021"/>
      <c r="G74" s="434">
        <v>0.25</v>
      </c>
      <c r="H74" s="424">
        <f t="shared" si="4"/>
        <v>0</v>
      </c>
      <c r="I74" s="436">
        <f>-VLOOKUP(C74,'планирование суточное'!$C:$H,4,FALSE)</f>
        <v>0</v>
      </c>
      <c r="J74" s="439"/>
      <c r="K74" s="424">
        <f>I74/1.5</f>
        <v>0</v>
      </c>
      <c r="L74" s="365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" customHeight="1" thickBot="1">
      <c r="B75" s="131">
        <v>12</v>
      </c>
      <c r="C75" s="2020" t="s">
        <v>135</v>
      </c>
      <c r="D75" s="2012"/>
      <c r="E75" s="2012"/>
      <c r="F75" s="2021"/>
      <c r="G75" s="434">
        <v>0.18</v>
      </c>
      <c r="H75" s="438">
        <f t="shared" ref="H75" si="5">I75/G75</f>
        <v>0</v>
      </c>
      <c r="I75" s="436">
        <f>-VLOOKUP(C75,'планирование суточное'!$C:$H,4,FALSE)</f>
        <v>0</v>
      </c>
      <c r="J75" s="439"/>
      <c r="K75" s="440">
        <f>I75/1.08</f>
        <v>0</v>
      </c>
      <c r="L75" s="365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" customHeight="1" thickBot="1">
      <c r="B76" s="131">
        <v>13</v>
      </c>
      <c r="C76" s="1984" t="s">
        <v>471</v>
      </c>
      <c r="D76" s="1985"/>
      <c r="E76" s="1985"/>
      <c r="F76" s="1986"/>
      <c r="G76" s="434">
        <v>0.2</v>
      </c>
      <c r="H76" s="438">
        <f t="shared" si="4"/>
        <v>0</v>
      </c>
      <c r="I76" s="436">
        <v>0</v>
      </c>
      <c r="J76" s="439"/>
      <c r="K76" s="440">
        <f>I76/1.2</f>
        <v>0</v>
      </c>
      <c r="L76" s="365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" customHeight="1" thickBot="1">
      <c r="B77" s="131">
        <v>14</v>
      </c>
      <c r="C77" s="2020" t="s">
        <v>472</v>
      </c>
      <c r="D77" s="2012"/>
      <c r="E77" s="2012"/>
      <c r="F77" s="2021"/>
      <c r="G77" s="434">
        <v>0.18</v>
      </c>
      <c r="H77" s="438">
        <f>I77/G77</f>
        <v>0</v>
      </c>
      <c r="I77" s="436">
        <f>-VLOOKUP(C77,'планирование суточное'!$C:$H,4,FALSE)</f>
        <v>0</v>
      </c>
      <c r="J77" s="433"/>
      <c r="K77" s="440">
        <f>I77/1.08</f>
        <v>0</v>
      </c>
      <c r="L77" s="369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" customHeight="1" thickBot="1">
      <c r="B78" s="131">
        <v>15</v>
      </c>
      <c r="C78" s="2020" t="s">
        <v>318</v>
      </c>
      <c r="D78" s="2012"/>
      <c r="E78" s="2012"/>
      <c r="F78" s="2021"/>
      <c r="G78" s="434">
        <v>0.18</v>
      </c>
      <c r="H78" s="438">
        <f t="shared" si="4"/>
        <v>0</v>
      </c>
      <c r="I78" s="436">
        <f>-VLOOKUP(C78,'планирование суточное'!$C:$H,4,FALSE)</f>
        <v>0</v>
      </c>
      <c r="J78" s="433"/>
      <c r="K78" s="438">
        <f>I78/1.08</f>
        <v>0</v>
      </c>
      <c r="L78" s="365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" customHeight="1" thickBot="1">
      <c r="B79" s="131">
        <v>16</v>
      </c>
      <c r="C79" s="1984" t="s">
        <v>176</v>
      </c>
      <c r="D79" s="1985"/>
      <c r="E79" s="1985"/>
      <c r="F79" s="1986"/>
      <c r="G79" s="434">
        <v>0.2</v>
      </c>
      <c r="H79" s="438">
        <f t="shared" si="4"/>
        <v>0</v>
      </c>
      <c r="I79" s="436">
        <f>-VLOOKUP(C79,'планирование суточное'!$C:$H,4,FALSE)</f>
        <v>0</v>
      </c>
      <c r="J79" s="433"/>
      <c r="K79" s="438">
        <f>I79/1.2</f>
        <v>0</v>
      </c>
      <c r="L79" s="36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" customHeight="1" thickBot="1">
      <c r="B80" s="131">
        <v>17</v>
      </c>
      <c r="C80" s="1984" t="s">
        <v>824</v>
      </c>
      <c r="D80" s="1985"/>
      <c r="E80" s="1985"/>
      <c r="F80" s="1986"/>
      <c r="G80" s="434">
        <v>0.2</v>
      </c>
      <c r="H80" s="438">
        <f t="shared" si="4"/>
        <v>0</v>
      </c>
      <c r="I80" s="436">
        <f>-VLOOKUP(C80,'планирование суточное'!$C:$H,4,FALSE)</f>
        <v>0</v>
      </c>
      <c r="J80" s="433"/>
      <c r="K80" s="438">
        <f>I80/1.2</f>
        <v>0</v>
      </c>
      <c r="L80" s="36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" customHeight="1" thickBot="1">
      <c r="B81" s="131">
        <v>18</v>
      </c>
      <c r="C81" s="1984" t="s">
        <v>418</v>
      </c>
      <c r="D81" s="1985"/>
      <c r="E81" s="1985"/>
      <c r="F81" s="1986"/>
      <c r="G81" s="434">
        <v>0.18</v>
      </c>
      <c r="H81" s="438">
        <f t="shared" si="4"/>
        <v>0</v>
      </c>
      <c r="I81" s="436">
        <f>-VLOOKUP(C81,'планирование суточное'!$C:$H,4,FALSE)</f>
        <v>0</v>
      </c>
      <c r="J81" s="433"/>
      <c r="K81" s="438">
        <f>I81/1.08</f>
        <v>0</v>
      </c>
      <c r="L81" s="365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" customHeight="1" thickBot="1">
      <c r="B82" s="131">
        <v>19</v>
      </c>
      <c r="C82" s="2020" t="s">
        <v>807</v>
      </c>
      <c r="D82" s="2012"/>
      <c r="E82" s="2012"/>
      <c r="F82" s="2021"/>
      <c r="G82" s="434">
        <v>0.18</v>
      </c>
      <c r="H82" s="438">
        <f t="shared" si="4"/>
        <v>0</v>
      </c>
      <c r="I82" s="436">
        <f>-VLOOKUP(C82,'планирование суточное'!$C:$H,4,FALSE)</f>
        <v>0</v>
      </c>
      <c r="J82" s="433"/>
      <c r="K82" s="438">
        <f>I82/1.08</f>
        <v>0</v>
      </c>
      <c r="L82" s="365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" customHeight="1" thickBot="1">
      <c r="B83" s="131">
        <v>20</v>
      </c>
      <c r="C83" s="2037" t="s">
        <v>778</v>
      </c>
      <c r="D83" s="2038"/>
      <c r="E83" s="2038"/>
      <c r="F83" s="2039"/>
      <c r="G83" s="435">
        <v>0.5</v>
      </c>
      <c r="H83" s="441">
        <f t="shared" si="4"/>
        <v>0</v>
      </c>
      <c r="I83" s="436">
        <f>-VLOOKUP(C83,'планирование суточное'!$C:$H,4,FALSE)</f>
        <v>0</v>
      </c>
      <c r="J83" s="436"/>
      <c r="K83" s="441">
        <f>I83/3</f>
        <v>0</v>
      </c>
      <c r="L83" s="1585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35" customHeight="1" thickBot="1">
      <c r="B87" s="1996" t="s">
        <v>369</v>
      </c>
      <c r="C87" s="1997"/>
      <c r="D87" s="1997"/>
      <c r="E87" s="1997"/>
      <c r="F87" s="1997"/>
      <c r="G87" s="1997"/>
      <c r="H87" s="1997"/>
      <c r="I87" s="1997"/>
      <c r="J87" s="1997"/>
      <c r="K87" s="1997"/>
      <c r="L87" s="1998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35" customHeight="1" thickBot="1">
      <c r="B88" s="2014">
        <f>C4</f>
        <v>44223</v>
      </c>
      <c r="C88" s="2015"/>
      <c r="D88" s="2015"/>
      <c r="E88" s="2015"/>
      <c r="F88" s="2015"/>
      <c r="G88" s="2015"/>
      <c r="H88" s="2015"/>
      <c r="I88" s="2015"/>
      <c r="J88" s="2015"/>
      <c r="K88" s="2015"/>
      <c r="L88" s="2016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35" customHeight="1" thickBot="1">
      <c r="A89" s="1"/>
      <c r="B89" s="353"/>
      <c r="C89" s="1999" t="s">
        <v>367</v>
      </c>
      <c r="D89" s="2000"/>
      <c r="E89" s="2000"/>
      <c r="F89" s="2001"/>
      <c r="G89" s="355" t="s">
        <v>31</v>
      </c>
      <c r="H89" s="356" t="s">
        <v>39</v>
      </c>
      <c r="I89" s="355" t="s">
        <v>36</v>
      </c>
      <c r="J89" s="357"/>
      <c r="K89" s="358" t="s">
        <v>38</v>
      </c>
      <c r="L89" s="359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" customHeight="1" thickBot="1">
      <c r="A90" s="1"/>
      <c r="B90" s="353">
        <v>1</v>
      </c>
      <c r="C90" s="2007" t="s">
        <v>320</v>
      </c>
      <c r="D90" s="2008"/>
      <c r="E90" s="2008"/>
      <c r="F90" s="2067"/>
      <c r="G90" s="415">
        <v>3</v>
      </c>
      <c r="H90" s="443">
        <v>6</v>
      </c>
      <c r="I90" s="445">
        <f>-VLOOKUP(C90,'планирование суточное'!$C:$H,4,FALSE)</f>
        <v>900</v>
      </c>
      <c r="J90" s="417"/>
      <c r="K90" s="416">
        <f>I90/3</f>
        <v>300</v>
      </c>
      <c r="L90" s="383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" customHeight="1" thickBot="1">
      <c r="B91" s="353">
        <v>2</v>
      </c>
      <c r="C91" s="1984" t="s">
        <v>321</v>
      </c>
      <c r="D91" s="1985"/>
      <c r="E91" s="1985"/>
      <c r="F91" s="1986"/>
      <c r="G91" s="418">
        <v>6</v>
      </c>
      <c r="H91" s="444">
        <v>3</v>
      </c>
      <c r="I91" s="445">
        <f>-VLOOKUP(C91,'планирование суточное'!$C:$H,4,FALSE)</f>
        <v>0</v>
      </c>
      <c r="J91" s="446"/>
      <c r="K91" s="419">
        <f>I91/6</f>
        <v>0</v>
      </c>
      <c r="L91" s="1594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" customHeight="1" thickBot="1">
      <c r="B92" s="353">
        <v>3</v>
      </c>
      <c r="C92" s="1984" t="s">
        <v>757</v>
      </c>
      <c r="D92" s="1985"/>
      <c r="E92" s="1985"/>
      <c r="F92" s="1986"/>
      <c r="G92" s="418">
        <v>3</v>
      </c>
      <c r="H92" s="444">
        <v>6</v>
      </c>
      <c r="I92" s="445">
        <f>-VLOOKUP(C92,'планирование суточное'!$C:$H,4,FALSE)</f>
        <v>0</v>
      </c>
      <c r="J92" s="447"/>
      <c r="K92" s="419">
        <f>I92/3</f>
        <v>0</v>
      </c>
      <c r="L92" s="377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" customHeight="1" thickBot="1">
      <c r="B93" s="353">
        <v>4</v>
      </c>
      <c r="C93" s="1984" t="s">
        <v>758</v>
      </c>
      <c r="D93" s="1985"/>
      <c r="E93" s="1985"/>
      <c r="F93" s="1986"/>
      <c r="G93" s="418">
        <v>3</v>
      </c>
      <c r="H93" s="444">
        <v>6</v>
      </c>
      <c r="I93" s="445">
        <f>-VLOOKUP(C93,'планирование суточное'!$C:$H,4,FALSE)</f>
        <v>0</v>
      </c>
      <c r="J93" s="446"/>
      <c r="K93" s="419">
        <f>I93/3</f>
        <v>0</v>
      </c>
      <c r="L93" s="360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" customHeight="1" thickBot="1">
      <c r="B94" s="353">
        <v>5</v>
      </c>
      <c r="C94" s="1984" t="s">
        <v>759</v>
      </c>
      <c r="D94" s="1985"/>
      <c r="E94" s="1985"/>
      <c r="F94" s="1986"/>
      <c r="G94" s="418">
        <v>3</v>
      </c>
      <c r="H94" s="444">
        <v>6</v>
      </c>
      <c r="I94" s="445">
        <f>-VLOOKUP(C94,'планирование суточное'!$C:$H,4,FALSE)</f>
        <v>0</v>
      </c>
      <c r="J94" s="446"/>
      <c r="K94" s="419">
        <f>I94/3</f>
        <v>0</v>
      </c>
      <c r="L94" s="360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" customHeight="1" thickBot="1">
      <c r="B95" s="353">
        <v>6</v>
      </c>
      <c r="C95" s="1984" t="s">
        <v>322</v>
      </c>
      <c r="D95" s="1985"/>
      <c r="E95" s="1985"/>
      <c r="F95" s="1986"/>
      <c r="G95" s="418">
        <v>6</v>
      </c>
      <c r="H95" s="444">
        <v>3</v>
      </c>
      <c r="I95" s="445">
        <f>-VLOOKUP(C95,'планирование суточное'!$C:$H,4,FALSE)</f>
        <v>0</v>
      </c>
      <c r="J95" s="446"/>
      <c r="K95" s="419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" customHeight="1" thickBot="1">
      <c r="B96" s="353">
        <v>7</v>
      </c>
      <c r="C96" s="1984" t="s">
        <v>160</v>
      </c>
      <c r="D96" s="1985"/>
      <c r="E96" s="1985"/>
      <c r="F96" s="1986"/>
      <c r="G96" s="418">
        <v>6</v>
      </c>
      <c r="H96" s="448">
        <v>3</v>
      </c>
      <c r="I96" s="445">
        <f>-VLOOKUP(C96,'планирование суточное'!$C:$H,4,FALSE)</f>
        <v>0</v>
      </c>
      <c r="J96" s="446"/>
      <c r="K96" s="419">
        <f>I96/6</f>
        <v>0</v>
      </c>
      <c r="L96" s="366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" customHeight="1" thickBot="1">
      <c r="B97" s="353"/>
      <c r="C97" s="1984"/>
      <c r="D97" s="1985"/>
      <c r="E97" s="1985"/>
      <c r="F97" s="1986"/>
      <c r="G97" s="156"/>
      <c r="H97" s="378"/>
      <c r="I97" s="376"/>
      <c r="J97" s="379"/>
      <c r="K97" s="132"/>
      <c r="L97" s="360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" customHeight="1" thickBot="1">
      <c r="B98" s="353"/>
      <c r="C98" s="2004"/>
      <c r="D98" s="2005"/>
      <c r="E98" s="2005"/>
      <c r="F98" s="2006"/>
      <c r="G98" s="156"/>
      <c r="H98" s="378"/>
      <c r="I98" s="376"/>
      <c r="J98" s="380"/>
      <c r="K98" s="132"/>
      <c r="L98" s="381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" customHeight="1" thickBot="1">
      <c r="B99" s="353"/>
      <c r="C99" s="2063"/>
      <c r="D99" s="2064"/>
      <c r="E99" s="2064"/>
      <c r="F99" s="2065"/>
      <c r="G99" s="157"/>
      <c r="H99" s="70"/>
      <c r="I99" s="159"/>
      <c r="J99" s="71"/>
      <c r="K99" s="70"/>
      <c r="L99" s="38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35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35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35" customHeight="1" thickBot="1">
      <c r="B102" s="1996" t="s">
        <v>370</v>
      </c>
      <c r="C102" s="1997"/>
      <c r="D102" s="1997"/>
      <c r="E102" s="1997"/>
      <c r="F102" s="1997"/>
      <c r="G102" s="1997"/>
      <c r="H102" s="1997"/>
      <c r="I102" s="1997"/>
      <c r="J102" s="1997"/>
      <c r="K102" s="1997"/>
      <c r="L102" s="1998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35" customHeight="1" thickBot="1">
      <c r="B103" s="2014">
        <f>B62</f>
        <v>44223</v>
      </c>
      <c r="C103" s="2015"/>
      <c r="D103" s="2015"/>
      <c r="E103" s="2015"/>
      <c r="F103" s="2015"/>
      <c r="G103" s="2015"/>
      <c r="H103" s="2015"/>
      <c r="I103" s="2015"/>
      <c r="J103" s="2015"/>
      <c r="K103" s="2015"/>
      <c r="L103" s="2016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35" customHeight="1" thickBot="1">
      <c r="B104" s="2017" t="s">
        <v>940</v>
      </c>
      <c r="C104" s="2018"/>
      <c r="D104" s="2018"/>
      <c r="E104" s="2018"/>
      <c r="F104" s="2019"/>
      <c r="G104" s="2028"/>
      <c r="H104" s="2029"/>
      <c r="I104" s="2029"/>
      <c r="J104" s="2029"/>
      <c r="K104" s="2029"/>
      <c r="L104" s="2030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35" customHeight="1" thickBot="1">
      <c r="B105" s="354"/>
      <c r="C105" s="1999" t="s">
        <v>371</v>
      </c>
      <c r="D105" s="2000"/>
      <c r="E105" s="2000"/>
      <c r="F105" s="2001"/>
      <c r="G105" s="384" t="s">
        <v>372</v>
      </c>
      <c r="H105" s="384" t="s">
        <v>373</v>
      </c>
      <c r="I105" s="355" t="s">
        <v>36</v>
      </c>
      <c r="J105" s="384" t="s">
        <v>31</v>
      </c>
      <c r="K105" s="384" t="s">
        <v>374</v>
      </c>
      <c r="L105" s="385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" customHeight="1" thickBot="1">
      <c r="B106" s="386">
        <v>1</v>
      </c>
      <c r="C106" s="2007" t="s">
        <v>107</v>
      </c>
      <c r="D106" s="2008"/>
      <c r="E106" s="2008"/>
      <c r="F106" s="2009"/>
      <c r="G106" s="449">
        <v>8</v>
      </c>
      <c r="H106" s="453" t="s">
        <v>451</v>
      </c>
      <c r="I106" s="442">
        <f>-VLOOKUP(C106,'планирование суточное'!$C:$H,4,FALSE)</f>
        <v>0</v>
      </c>
      <c r="J106" s="450" t="e">
        <f>-VLOOKUP(C106,#REF!,4,FALSE)</f>
        <v>#REF!</v>
      </c>
      <c r="K106" s="450"/>
      <c r="L106" s="389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" customHeight="1" thickBot="1">
      <c r="B107" s="356">
        <v>2</v>
      </c>
      <c r="C107" s="1984" t="s">
        <v>124</v>
      </c>
      <c r="D107" s="1985"/>
      <c r="E107" s="1985"/>
      <c r="F107" s="2010"/>
      <c r="G107" s="449">
        <v>8</v>
      </c>
      <c r="H107" s="453" t="s">
        <v>451</v>
      </c>
      <c r="I107" s="442">
        <f>-VLOOKUP(C107,'планирование суточное'!$C:$H,4,FALSE)</f>
        <v>0</v>
      </c>
      <c r="J107" s="450" t="e">
        <f>-VLOOKUP(C107,#REF!,4,FALSE)</f>
        <v>#REF!</v>
      </c>
      <c r="K107" s="450"/>
      <c r="L107" s="534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" customHeight="1" thickBot="1">
      <c r="B108" s="356">
        <v>3</v>
      </c>
      <c r="C108" s="1984" t="s">
        <v>131</v>
      </c>
      <c r="D108" s="1985"/>
      <c r="E108" s="1985"/>
      <c r="F108" s="2010"/>
      <c r="G108" s="449">
        <v>8</v>
      </c>
      <c r="H108" s="453" t="s">
        <v>451</v>
      </c>
      <c r="I108" s="442">
        <f>-VLOOKUP(C108,'планирование суточное'!$C:$H,4,FALSE)</f>
        <v>0</v>
      </c>
      <c r="J108" s="460" t="e">
        <f>-VLOOKUP(C108,#REF!,4,FALSE)</f>
        <v>#REF!</v>
      </c>
      <c r="K108" s="468"/>
      <c r="L108" s="469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" customHeight="1" thickBot="1">
      <c r="B109" s="356">
        <v>4</v>
      </c>
      <c r="C109" s="1984" t="s">
        <v>297</v>
      </c>
      <c r="D109" s="1985"/>
      <c r="E109" s="1985"/>
      <c r="F109" s="2010"/>
      <c r="G109" s="451">
        <v>8</v>
      </c>
      <c r="H109" s="453" t="s">
        <v>451</v>
      </c>
      <c r="I109" s="442">
        <f>-VLOOKUP(C109,'планирование суточное'!$C:$H,4,FALSE)</f>
        <v>0</v>
      </c>
      <c r="J109" s="450" t="e">
        <f>-VLOOKUP(C109,#REF!,4,FALSE)</f>
        <v>#REF!</v>
      </c>
      <c r="K109" s="450"/>
      <c r="L109" s="523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" customHeight="1" thickBot="1">
      <c r="B110" s="356">
        <v>5</v>
      </c>
      <c r="C110" s="1984" t="s">
        <v>164</v>
      </c>
      <c r="D110" s="1985"/>
      <c r="E110" s="1985"/>
      <c r="F110" s="2010"/>
      <c r="G110" s="451">
        <v>8</v>
      </c>
      <c r="H110" s="453" t="s">
        <v>451</v>
      </c>
      <c r="I110" s="442">
        <f>-VLOOKUP(C110,'планирование суточное'!$C:$H,4,FALSE)</f>
        <v>0</v>
      </c>
      <c r="J110" s="450" t="e">
        <f>-VLOOKUP(C110,#REF!,4,FALSE)</f>
        <v>#REF!</v>
      </c>
      <c r="K110" s="450"/>
      <c r="L110" s="459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" customHeight="1" thickBot="1">
      <c r="B111" s="356">
        <v>6</v>
      </c>
      <c r="C111" s="1984" t="s">
        <v>298</v>
      </c>
      <c r="D111" s="1985"/>
      <c r="E111" s="1985"/>
      <c r="F111" s="2010"/>
      <c r="G111" s="452">
        <v>16</v>
      </c>
      <c r="H111" s="453" t="s">
        <v>376</v>
      </c>
      <c r="I111" s="442">
        <f>-VLOOKUP(C111,'планирование суточное'!$C:$H,4,FALSE)</f>
        <v>0</v>
      </c>
      <c r="J111" s="450" t="e">
        <f>-VLOOKUP(C111,#REF!,4,FALSE)</f>
        <v>#REF!</v>
      </c>
      <c r="K111" s="450"/>
      <c r="L111" s="393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" customHeight="1" thickBot="1">
      <c r="B112" s="356">
        <v>7</v>
      </c>
      <c r="C112" s="1984" t="s">
        <v>106</v>
      </c>
      <c r="D112" s="1985"/>
      <c r="E112" s="1985"/>
      <c r="F112" s="2010"/>
      <c r="G112" s="449">
        <v>8</v>
      </c>
      <c r="H112" s="453" t="s">
        <v>451</v>
      </c>
      <c r="I112" s="442">
        <f>-VLOOKUP(C112,'планирование суточное'!$C:$H,4,FALSE)</f>
        <v>0</v>
      </c>
      <c r="J112" s="450" t="e">
        <f>-VLOOKUP(C112,#REF!,4,FALSE)</f>
        <v>#REF!</v>
      </c>
      <c r="K112" s="450"/>
      <c r="L112" s="389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" customHeight="1" thickBot="1">
      <c r="B113" s="356">
        <v>8</v>
      </c>
      <c r="C113" s="1984" t="s">
        <v>815</v>
      </c>
      <c r="D113" s="1985"/>
      <c r="E113" s="1985"/>
      <c r="F113" s="2010"/>
      <c r="G113" s="449">
        <v>8</v>
      </c>
      <c r="H113" s="453" t="s">
        <v>451</v>
      </c>
      <c r="I113" s="442">
        <f>-VLOOKUP(C113,'планирование суточное'!$C:$H,4,FALSE)</f>
        <v>0</v>
      </c>
      <c r="J113" s="450"/>
      <c r="K113" s="450"/>
      <c r="L113" s="389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" customHeight="1" thickBot="1">
      <c r="B114" s="356">
        <v>9</v>
      </c>
      <c r="C114" s="2011" t="s">
        <v>422</v>
      </c>
      <c r="D114" s="2012"/>
      <c r="E114" s="2012"/>
      <c r="F114" s="2013"/>
      <c r="G114" s="451">
        <v>8</v>
      </c>
      <c r="H114" s="453" t="s">
        <v>451</v>
      </c>
      <c r="I114" s="442">
        <f>-VLOOKUP(C114,'планирование суточное'!$C:$H,4,FALSE)</f>
        <v>0</v>
      </c>
      <c r="J114" s="450" t="e">
        <f>-VLOOKUP(C114,#REF!,4,FALSE)</f>
        <v>#REF!</v>
      </c>
      <c r="K114" s="450"/>
      <c r="L114" s="390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" customHeight="1" thickBot="1">
      <c r="B115" s="356">
        <v>10</v>
      </c>
      <c r="C115" s="1984" t="s">
        <v>299</v>
      </c>
      <c r="D115" s="1985"/>
      <c r="E115" s="1985"/>
      <c r="F115" s="2011"/>
      <c r="G115" s="449">
        <v>8</v>
      </c>
      <c r="H115" s="453" t="s">
        <v>451</v>
      </c>
      <c r="I115" s="442">
        <f>-VLOOKUP(C115,'планирование суточное'!$C:$H,4,FALSE)</f>
        <v>0</v>
      </c>
      <c r="J115" s="450" t="e">
        <f>-VLOOKUP(C115,#REF!,4,FALSE)</f>
        <v>#REF!</v>
      </c>
      <c r="K115" s="450"/>
      <c r="L115" s="534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" customHeight="1" thickBot="1">
      <c r="B116" s="356">
        <v>11</v>
      </c>
      <c r="C116" s="1984" t="s">
        <v>300</v>
      </c>
      <c r="D116" s="1985"/>
      <c r="E116" s="1985"/>
      <c r="F116" s="2011"/>
      <c r="G116" s="449">
        <v>8</v>
      </c>
      <c r="H116" s="453" t="s">
        <v>451</v>
      </c>
      <c r="I116" s="442">
        <f>-VLOOKUP(C116,'планирование суточное'!$C:$H,4,FALSE)</f>
        <v>0</v>
      </c>
      <c r="J116" s="450" t="e">
        <f>-VLOOKUP(C116,#REF!,4,FALSE)</f>
        <v>#REF!</v>
      </c>
      <c r="K116" s="450"/>
      <c r="L116" s="391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" customHeight="1" thickBot="1">
      <c r="B117" s="356">
        <v>12</v>
      </c>
      <c r="C117" s="1984" t="s">
        <v>406</v>
      </c>
      <c r="D117" s="1985"/>
      <c r="E117" s="1985"/>
      <c r="F117" s="2011"/>
      <c r="G117" s="455">
        <v>8</v>
      </c>
      <c r="H117" s="453" t="s">
        <v>451</v>
      </c>
      <c r="I117" s="442">
        <f>-VLOOKUP(C117,'планирование суточное'!$C:$H,4,FALSE)</f>
        <v>0</v>
      </c>
      <c r="J117" s="450" t="e">
        <f>-VLOOKUP(C117,#REF!,4,FALSE)</f>
        <v>#REF!</v>
      </c>
      <c r="K117" s="450"/>
      <c r="L117" s="507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" customHeight="1" thickBot="1">
      <c r="B118" s="356">
        <v>13</v>
      </c>
      <c r="C118" s="1984" t="s">
        <v>87</v>
      </c>
      <c r="D118" s="1985"/>
      <c r="E118" s="1985"/>
      <c r="F118" s="2011"/>
      <c r="G118" s="455">
        <v>8</v>
      </c>
      <c r="H118" s="453" t="s">
        <v>451</v>
      </c>
      <c r="I118" s="442">
        <f>-VLOOKUP(C118,'планирование суточное'!$C:$H,4,FALSE)</f>
        <v>0</v>
      </c>
      <c r="J118" s="450" t="e">
        <f>-VLOOKUP(C118,#REF!,4,FALSE)</f>
        <v>#REF!</v>
      </c>
      <c r="K118" s="454"/>
      <c r="L118" s="395"/>
      <c r="M118" s="66"/>
      <c r="O118" s="66"/>
    </row>
    <row r="119" spans="1:39" s="66" customFormat="1" ht="35.1" customHeight="1" thickBot="1">
      <c r="B119" s="356">
        <v>14</v>
      </c>
      <c r="C119" s="1984" t="s">
        <v>162</v>
      </c>
      <c r="D119" s="1985"/>
      <c r="E119" s="1985"/>
      <c r="F119" s="2011"/>
      <c r="G119" s="455">
        <v>8</v>
      </c>
      <c r="H119" s="453" t="s">
        <v>451</v>
      </c>
      <c r="I119" s="442">
        <f>-VLOOKUP(C119,'планирование суточное'!$C:$H,4,FALSE)</f>
        <v>0</v>
      </c>
      <c r="J119" s="450" t="e">
        <f>-VLOOKUP(C119,#REF!,4,FALSE)</f>
        <v>#REF!</v>
      </c>
      <c r="K119" s="450"/>
      <c r="L119" s="390"/>
    </row>
    <row r="120" spans="1:39" ht="57" customHeight="1" thickBot="1">
      <c r="B120" s="356">
        <v>15</v>
      </c>
      <c r="C120" s="1984" t="s">
        <v>155</v>
      </c>
      <c r="D120" s="1985"/>
      <c r="E120" s="1985"/>
      <c r="F120" s="2011"/>
      <c r="G120" s="455">
        <v>8</v>
      </c>
      <c r="H120" s="453" t="s">
        <v>451</v>
      </c>
      <c r="I120" s="487">
        <f>-VLOOKUP(C120,'планирование суточное'!$C:$H,4,FALSE)</f>
        <v>0</v>
      </c>
      <c r="J120" s="450" t="e">
        <f>-VLOOKUP(C120,#REF!,4,FALSE)</f>
        <v>#REF!</v>
      </c>
      <c r="K120" s="450"/>
      <c r="L120" s="392"/>
      <c r="M120" s="461"/>
    </row>
    <row r="121" spans="1:39" ht="35.1" customHeight="1" thickBot="1">
      <c r="B121" s="356">
        <v>16</v>
      </c>
      <c r="C121" s="1984" t="s">
        <v>482</v>
      </c>
      <c r="D121" s="1985"/>
      <c r="E121" s="1985"/>
      <c r="F121" s="2011"/>
      <c r="G121" s="455">
        <v>6</v>
      </c>
      <c r="H121" s="453" t="s">
        <v>777</v>
      </c>
      <c r="I121" s="487">
        <f>-VLOOKUP(C121,'планирование суточное'!$C:$H,4,FALSE)</f>
        <v>0</v>
      </c>
      <c r="J121" s="450" t="e">
        <f>-VLOOKUP(C121,#REF!,4,FALSE)</f>
        <v>#REF!</v>
      </c>
      <c r="K121" s="454"/>
      <c r="L121" s="467"/>
      <c r="M121" s="66"/>
    </row>
    <row r="122" spans="1:39" ht="54.75" customHeight="1" thickBot="1">
      <c r="B122" s="356">
        <v>17</v>
      </c>
      <c r="C122" s="1984" t="s">
        <v>483</v>
      </c>
      <c r="D122" s="1985"/>
      <c r="E122" s="1985"/>
      <c r="F122" s="2011"/>
      <c r="G122" s="455">
        <v>6</v>
      </c>
      <c r="H122" s="453" t="s">
        <v>777</v>
      </c>
      <c r="I122" s="487">
        <f>-VLOOKUP(C122,'планирование суточное'!$C:$H,4,FALSE)</f>
        <v>0</v>
      </c>
      <c r="J122" s="450" t="e">
        <f>-VLOOKUP(C122,#REF!,4,FALSE)</f>
        <v>#REF!</v>
      </c>
      <c r="K122" s="450"/>
      <c r="L122" s="392"/>
      <c r="M122" s="66"/>
    </row>
    <row r="123" spans="1:39" ht="35.1" customHeight="1" thickBot="1">
      <c r="B123" s="356"/>
      <c r="C123" s="1984"/>
      <c r="D123" s="1985"/>
      <c r="E123" s="1985"/>
      <c r="F123" s="2011"/>
      <c r="G123" s="456"/>
      <c r="H123" s="453"/>
      <c r="I123" s="442"/>
      <c r="J123" s="450" t="e">
        <f>-VLOOKUP(C123,#REF!,4,FALSE)</f>
        <v>#REF!</v>
      </c>
      <c r="K123" s="454"/>
      <c r="L123" s="395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" customHeight="1" thickBot="1">
      <c r="B124" s="356"/>
      <c r="C124" s="2004"/>
      <c r="D124" s="2005"/>
      <c r="E124" s="2005"/>
      <c r="F124" s="2094"/>
      <c r="G124" s="396"/>
      <c r="H124" s="387"/>
      <c r="I124" s="394"/>
      <c r="J124" s="388" t="e">
        <f>-VLOOKUP(C124,#REF!,4,FALSE)</f>
        <v>#REF!</v>
      </c>
      <c r="K124" s="394"/>
      <c r="L124" s="397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" customHeight="1" thickBot="1">
      <c r="B125" s="1999"/>
      <c r="C125" s="2000"/>
      <c r="D125" s="2000"/>
      <c r="E125" s="2000"/>
      <c r="F125" s="2000"/>
      <c r="G125" s="2000"/>
      <c r="H125" s="2000"/>
      <c r="I125" s="2000"/>
      <c r="J125" s="2000"/>
      <c r="K125" s="2000"/>
      <c r="L125" s="2001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35" customHeight="1" thickBot="1">
      <c r="B127" s="1996" t="s">
        <v>477</v>
      </c>
      <c r="C127" s="1997"/>
      <c r="D127" s="1997"/>
      <c r="E127" s="1997"/>
      <c r="F127" s="1997"/>
      <c r="G127" s="1997"/>
      <c r="H127" s="1997"/>
      <c r="I127" s="1997"/>
      <c r="J127" s="1997"/>
      <c r="K127" s="1997"/>
      <c r="L127" s="1997"/>
      <c r="M127" s="1998"/>
    </row>
    <row r="128" spans="1:39" ht="40.35" customHeight="1" thickBot="1">
      <c r="A128" s="66"/>
      <c r="B128" s="2014">
        <f>C4</f>
        <v>44223</v>
      </c>
      <c r="C128" s="2015"/>
      <c r="D128" s="2015"/>
      <c r="E128" s="2015"/>
      <c r="F128" s="2015"/>
      <c r="G128" s="2015"/>
      <c r="H128" s="2015"/>
      <c r="I128" s="2015"/>
      <c r="J128" s="2015"/>
      <c r="K128" s="2015"/>
      <c r="L128" s="2015"/>
      <c r="M128" s="2016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35" customHeight="1" thickBot="1">
      <c r="B129" s="356"/>
      <c r="C129" s="1993" t="s">
        <v>367</v>
      </c>
      <c r="D129" s="1994"/>
      <c r="E129" s="1994"/>
      <c r="F129" s="1994"/>
      <c r="G129" s="1994"/>
      <c r="H129" s="1995"/>
      <c r="I129" s="492" t="s">
        <v>372</v>
      </c>
      <c r="J129" s="492" t="s">
        <v>373</v>
      </c>
      <c r="K129" s="492" t="s">
        <v>377</v>
      </c>
      <c r="L129" s="493" t="s">
        <v>378</v>
      </c>
      <c r="M129" s="494" t="s">
        <v>379</v>
      </c>
    </row>
    <row r="130" spans="1:33" s="66" customFormat="1" ht="40.35" customHeight="1" thickBot="1">
      <c r="B130" s="356">
        <v>1</v>
      </c>
      <c r="C130" s="1987" t="s">
        <v>475</v>
      </c>
      <c r="D130" s="1988"/>
      <c r="E130" s="1988"/>
      <c r="F130" s="1988"/>
      <c r="G130" s="1988"/>
      <c r="H130" s="1988"/>
      <c r="I130" s="404">
        <v>8</v>
      </c>
      <c r="J130" s="405"/>
      <c r="K130" s="411">
        <f>-VLOOKUP(C130,'планирование суточное'!$C:$H,4,FALSE)</f>
        <v>10</v>
      </c>
      <c r="L130" s="406">
        <f>K130/1</f>
        <v>10</v>
      </c>
      <c r="M130" s="458"/>
    </row>
    <row r="131" spans="1:33" ht="35.1" customHeight="1" thickBot="1">
      <c r="A131" s="66"/>
      <c r="B131" s="356">
        <v>2</v>
      </c>
      <c r="C131" s="1987" t="s">
        <v>447</v>
      </c>
      <c r="D131" s="1988"/>
      <c r="E131" s="1988"/>
      <c r="F131" s="1988"/>
      <c r="G131" s="1988"/>
      <c r="H131" s="1988"/>
      <c r="I131" s="404">
        <v>8</v>
      </c>
      <c r="J131" s="405" t="s">
        <v>380</v>
      </c>
      <c r="K131" s="411">
        <f>-VLOOKUP(C131,'планирование суточное'!$C:$H,4,FALSE)</f>
        <v>119.5</v>
      </c>
      <c r="L131" s="406">
        <f>K131/1</f>
        <v>119.5</v>
      </c>
      <c r="M131" s="458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" customHeight="1" thickBot="1">
      <c r="B132" s="356">
        <v>3</v>
      </c>
      <c r="C132" s="1987" t="s">
        <v>819</v>
      </c>
      <c r="D132" s="1988"/>
      <c r="E132" s="1988"/>
      <c r="F132" s="1988"/>
      <c r="G132" s="1988"/>
      <c r="H132" s="1988"/>
      <c r="I132" s="404">
        <v>8</v>
      </c>
      <c r="J132" s="1734"/>
      <c r="K132" s="411">
        <f>-VLOOKUP(C132,'планирование суточное'!$C:$H,4,FALSE)</f>
        <v>24</v>
      </c>
      <c r="L132" s="406">
        <f>K132/1</f>
        <v>24</v>
      </c>
      <c r="M132" s="1735"/>
    </row>
    <row r="133" spans="1:33" s="66" customFormat="1" ht="35.1" customHeight="1" thickBot="1">
      <c r="B133" s="356">
        <v>4</v>
      </c>
      <c r="C133" s="1987" t="s">
        <v>310</v>
      </c>
      <c r="D133" s="1988"/>
      <c r="E133" s="1988"/>
      <c r="F133" s="1988"/>
      <c r="G133" s="1988"/>
      <c r="H133" s="1988"/>
      <c r="I133" s="407">
        <v>8</v>
      </c>
      <c r="J133" s="408"/>
      <c r="K133" s="411">
        <f>-VLOOKUP(C133,'планирование суточное'!$C:$H,4,FALSE)</f>
        <v>27.599999999999998</v>
      </c>
      <c r="L133" s="410">
        <f>K133/1.6</f>
        <v>17.249999999999996</v>
      </c>
      <c r="M133" s="392"/>
    </row>
    <row r="134" spans="1:33" s="66" customFormat="1" ht="35.1" customHeight="1" thickBot="1">
      <c r="B134" s="356">
        <v>5</v>
      </c>
      <c r="C134" s="2002" t="s">
        <v>456</v>
      </c>
      <c r="D134" s="2003"/>
      <c r="E134" s="2003"/>
      <c r="F134" s="2003"/>
      <c r="G134" s="2003"/>
      <c r="H134" s="2003"/>
      <c r="I134" s="407">
        <v>8</v>
      </c>
      <c r="J134" s="408"/>
      <c r="K134" s="411">
        <f>-VLOOKUP(C134,'планирование суточное'!$C:$H,4,FALSE)</f>
        <v>648</v>
      </c>
      <c r="L134" s="410">
        <f>K134/1</f>
        <v>648</v>
      </c>
      <c r="M134" s="392"/>
    </row>
    <row r="135" spans="1:33" ht="41.25" customHeight="1" thickBot="1">
      <c r="A135" s="66"/>
      <c r="B135" s="398">
        <v>6</v>
      </c>
      <c r="C135" s="1987" t="s">
        <v>449</v>
      </c>
      <c r="D135" s="1988"/>
      <c r="E135" s="1988"/>
      <c r="F135" s="1988"/>
      <c r="G135" s="1988"/>
      <c r="H135" s="1988"/>
      <c r="I135" s="407">
        <v>8</v>
      </c>
      <c r="J135" s="408" t="s">
        <v>381</v>
      </c>
      <c r="K135" s="411">
        <f>-VLOOKUP(C135,'планирование суточное'!$C:$H,4,FALSE)</f>
        <v>10</v>
      </c>
      <c r="L135" s="410">
        <f>K135/1</f>
        <v>10</v>
      </c>
      <c r="M135" s="392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6">
        <v>7</v>
      </c>
      <c r="C136" s="1987" t="s">
        <v>146</v>
      </c>
      <c r="D136" s="1988"/>
      <c r="E136" s="1988"/>
      <c r="F136" s="1988"/>
      <c r="G136" s="1988"/>
      <c r="H136" s="1988"/>
      <c r="I136" s="407">
        <v>12</v>
      </c>
      <c r="J136" s="408" t="s">
        <v>382</v>
      </c>
      <c r="K136" s="411">
        <f>-VLOOKUP(C136,'планирование суточное'!$C:$H,4,FALSE)</f>
        <v>49.5</v>
      </c>
      <c r="L136" s="410">
        <f>K136/1.5</f>
        <v>33</v>
      </c>
      <c r="M136" s="392"/>
    </row>
    <row r="137" spans="1:33" ht="35.1" customHeight="1" thickBot="1">
      <c r="A137" s="66"/>
      <c r="B137" s="356">
        <v>8</v>
      </c>
      <c r="C137" s="1987" t="s">
        <v>309</v>
      </c>
      <c r="D137" s="1988"/>
      <c r="E137" s="1988"/>
      <c r="F137" s="1988"/>
      <c r="G137" s="1988"/>
      <c r="H137" s="1988"/>
      <c r="I137" s="407">
        <v>12</v>
      </c>
      <c r="J137" s="408" t="s">
        <v>380</v>
      </c>
      <c r="K137" s="411">
        <f>-VLOOKUP(C137,'планирование суточное'!$C:$H,4,FALSE)</f>
        <v>28.5</v>
      </c>
      <c r="L137" s="410">
        <f>K137/1.5</f>
        <v>19</v>
      </c>
      <c r="M137" s="392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" customHeight="1" thickBot="1">
      <c r="A138" s="66"/>
      <c r="B138" s="398">
        <v>9</v>
      </c>
      <c r="C138" s="2002" t="s">
        <v>457</v>
      </c>
      <c r="D138" s="2003"/>
      <c r="E138" s="2003"/>
      <c r="F138" s="2003"/>
      <c r="G138" s="2003"/>
      <c r="H138" s="2003"/>
      <c r="I138" s="407">
        <v>8</v>
      </c>
      <c r="J138" s="408"/>
      <c r="K138" s="411">
        <f>-VLOOKUP(C138,'планирование суточное'!$C:$H,4,FALSE)</f>
        <v>327.2000000000001</v>
      </c>
      <c r="L138" s="410">
        <f>K138/0.8</f>
        <v>409.00000000000011</v>
      </c>
      <c r="M138" s="392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" customHeight="1" thickBot="1">
      <c r="A139" s="66"/>
      <c r="B139" s="356">
        <v>10</v>
      </c>
      <c r="C139" s="1987" t="s">
        <v>458</v>
      </c>
      <c r="D139" s="1988"/>
      <c r="E139" s="1988"/>
      <c r="F139" s="1988"/>
      <c r="G139" s="1988"/>
      <c r="H139" s="1988"/>
      <c r="I139" s="407">
        <v>8</v>
      </c>
      <c r="J139" s="408"/>
      <c r="K139" s="411">
        <f>-VLOOKUP(C139,'планирование суточное'!$C:$H,4,FALSE)</f>
        <v>17</v>
      </c>
      <c r="L139" s="410">
        <f>K139/1</f>
        <v>17</v>
      </c>
      <c r="M139" s="392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" customHeight="1" thickBot="1">
      <c r="A140" s="66"/>
      <c r="B140" s="398">
        <v>11</v>
      </c>
      <c r="C140" s="1987" t="s">
        <v>97</v>
      </c>
      <c r="D140" s="1988"/>
      <c r="E140" s="1988"/>
      <c r="F140" s="1988"/>
      <c r="G140" s="1988"/>
      <c r="H140" s="1988"/>
      <c r="I140" s="407">
        <v>12</v>
      </c>
      <c r="J140" s="408" t="s">
        <v>380</v>
      </c>
      <c r="K140" s="411">
        <f>-VLOOKUP(C140,'планирование суточное'!$C:$H,4,FALSE)</f>
        <v>132</v>
      </c>
      <c r="L140" s="410">
        <f>K140/1.2</f>
        <v>110</v>
      </c>
      <c r="M140" s="392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" customHeight="1" thickBot="1">
      <c r="B141" s="356">
        <v>12</v>
      </c>
      <c r="C141" s="1987" t="s">
        <v>494</v>
      </c>
      <c r="D141" s="1988"/>
      <c r="E141" s="1988"/>
      <c r="F141" s="1988"/>
      <c r="G141" s="1988"/>
      <c r="H141" s="1988"/>
      <c r="I141" s="407">
        <v>8</v>
      </c>
      <c r="J141" s="408"/>
      <c r="K141" s="411">
        <f>-VLOOKUP(C141,'планирование суточное'!$C:$H,4,FALSE)</f>
        <v>0</v>
      </c>
      <c r="L141" s="410">
        <f>K141/0.8</f>
        <v>0</v>
      </c>
      <c r="M141" s="392"/>
    </row>
    <row r="142" spans="1:33" s="66" customFormat="1" ht="35.1" customHeight="1" thickBot="1">
      <c r="B142" s="356">
        <v>13</v>
      </c>
      <c r="C142" s="1987" t="s">
        <v>754</v>
      </c>
      <c r="D142" s="1988"/>
      <c r="E142" s="1988"/>
      <c r="F142" s="1988"/>
      <c r="G142" s="1988"/>
      <c r="H142" s="1988"/>
      <c r="I142" s="407">
        <v>8</v>
      </c>
      <c r="J142" s="408"/>
      <c r="K142" s="411">
        <f>-VLOOKUP(C142,'планирование суточное'!$C:$H,4,FALSE)</f>
        <v>39</v>
      </c>
      <c r="L142" s="410">
        <f>K142/0.8</f>
        <v>48.75</v>
      </c>
      <c r="M142" s="392"/>
    </row>
    <row r="143" spans="1:33" s="66" customFormat="1" ht="35.1" customHeight="1" thickBot="1">
      <c r="B143" s="356">
        <v>14</v>
      </c>
      <c r="C143" s="1987" t="s">
        <v>905</v>
      </c>
      <c r="D143" s="1988"/>
      <c r="E143" s="1988"/>
      <c r="F143" s="1988"/>
      <c r="G143" s="1988"/>
      <c r="H143" s="1988"/>
      <c r="I143" s="407">
        <v>12</v>
      </c>
      <c r="J143" s="408"/>
      <c r="K143" s="411">
        <f>-VLOOKUP(C143,'планирование суточное'!$C:$H,4,FALSE)</f>
        <v>42</v>
      </c>
      <c r="L143" s="410">
        <f>K143/1.2</f>
        <v>35</v>
      </c>
      <c r="M143" s="392"/>
    </row>
    <row r="144" spans="1:33" ht="35.1" customHeight="1" thickBot="1">
      <c r="A144" s="66"/>
      <c r="B144" s="501"/>
      <c r="C144" s="2095"/>
      <c r="D144" s="2096"/>
      <c r="E144" s="2096"/>
      <c r="F144" s="2096"/>
      <c r="G144" s="2096"/>
      <c r="H144" s="2096"/>
      <c r="I144" s="502"/>
      <c r="J144" s="503"/>
      <c r="K144" s="504"/>
      <c r="L144" s="505"/>
      <c r="M144" s="506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" customHeight="1" thickBot="1">
      <c r="B145" s="356">
        <v>15</v>
      </c>
      <c r="C145" s="1987" t="s">
        <v>459</v>
      </c>
      <c r="D145" s="1988"/>
      <c r="E145" s="1988"/>
      <c r="F145" s="1988"/>
      <c r="G145" s="1988"/>
      <c r="H145" s="1988"/>
      <c r="I145" s="407">
        <v>8</v>
      </c>
      <c r="J145" s="408"/>
      <c r="K145" s="409">
        <f>-VLOOKUP(C145,'планирование суточное'!$C:$H,4,FALSE)</f>
        <v>0</v>
      </c>
      <c r="L145" s="410">
        <f>K145/1</f>
        <v>0</v>
      </c>
      <c r="M145" s="392"/>
    </row>
    <row r="146" spans="1:33" ht="35.1" customHeight="1" thickBot="1">
      <c r="A146" s="66"/>
      <c r="B146" s="356">
        <v>16</v>
      </c>
      <c r="C146" s="1987" t="s">
        <v>460</v>
      </c>
      <c r="D146" s="1988"/>
      <c r="E146" s="1988"/>
      <c r="F146" s="1988"/>
      <c r="G146" s="1988"/>
      <c r="H146" s="1989"/>
      <c r="I146" s="407">
        <v>8</v>
      </c>
      <c r="J146" s="408"/>
      <c r="K146" s="409">
        <f>-VLOOKUP(C146,'планирование суточное'!$C:$H,4,FALSE)</f>
        <v>1247</v>
      </c>
      <c r="L146" s="410">
        <f>K146/0.8</f>
        <v>1558.75</v>
      </c>
      <c r="M146" s="392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" customHeight="1" thickBot="1">
      <c r="B147" s="398">
        <v>17</v>
      </c>
      <c r="C147" s="1987" t="s">
        <v>311</v>
      </c>
      <c r="D147" s="1988"/>
      <c r="E147" s="1988"/>
      <c r="F147" s="1988"/>
      <c r="G147" s="1988"/>
      <c r="H147" s="1989"/>
      <c r="I147" s="407">
        <v>12</v>
      </c>
      <c r="J147" s="408" t="s">
        <v>380</v>
      </c>
      <c r="K147" s="409">
        <f>-VLOOKUP(C147,'планирование суточное'!$C:$H,4,FALSE)</f>
        <v>37.5</v>
      </c>
      <c r="L147" s="410">
        <f>K147/1.5</f>
        <v>25</v>
      </c>
      <c r="M147" s="392"/>
    </row>
    <row r="148" spans="1:33" ht="35.1" customHeight="1" thickBot="1">
      <c r="A148" s="66"/>
      <c r="B148" s="356">
        <v>18</v>
      </c>
      <c r="C148" s="1987" t="s">
        <v>144</v>
      </c>
      <c r="D148" s="1988"/>
      <c r="E148" s="1988"/>
      <c r="F148" s="1988"/>
      <c r="G148" s="1988"/>
      <c r="H148" s="1989"/>
      <c r="I148" s="407">
        <v>12</v>
      </c>
      <c r="J148" s="408" t="s">
        <v>380</v>
      </c>
      <c r="K148" s="409">
        <f>-VLOOKUP(C148,'планирование суточное'!$C:$H,4,FALSE)</f>
        <v>43.5</v>
      </c>
      <c r="L148" s="410">
        <f>K148/1.5</f>
        <v>29</v>
      </c>
      <c r="M148" s="392"/>
      <c r="N148" s="66"/>
      <c r="O148" s="66"/>
      <c r="P148" s="520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" customHeight="1" thickBot="1">
      <c r="B149" s="356">
        <v>19</v>
      </c>
      <c r="C149" s="1987" t="s">
        <v>906</v>
      </c>
      <c r="D149" s="1988"/>
      <c r="E149" s="1988"/>
      <c r="F149" s="1988"/>
      <c r="G149" s="1988"/>
      <c r="H149" s="1989"/>
      <c r="I149" s="407">
        <v>12</v>
      </c>
      <c r="J149" s="408"/>
      <c r="K149" s="409">
        <f>-VLOOKUP(C149,'планирование суточное'!$C:$H,4,FALSE)</f>
        <v>56.4</v>
      </c>
      <c r="L149" s="410">
        <f>K149/1.2</f>
        <v>47</v>
      </c>
      <c r="M149" s="392"/>
      <c r="P149" s="520"/>
    </row>
    <row r="150" spans="1:33" s="66" customFormat="1" ht="35.1" customHeight="1" thickBot="1">
      <c r="B150" s="356">
        <v>20</v>
      </c>
      <c r="C150" s="1987" t="s">
        <v>495</v>
      </c>
      <c r="D150" s="1988"/>
      <c r="E150" s="1988"/>
      <c r="F150" s="1988"/>
      <c r="G150" s="1988"/>
      <c r="H150" s="1989"/>
      <c r="I150" s="407">
        <v>8</v>
      </c>
      <c r="J150" s="408"/>
      <c r="K150" s="409">
        <f>-VLOOKUP(C150,'планирование суточное'!$C:$H,4,FALSE)</f>
        <v>0</v>
      </c>
      <c r="L150" s="410">
        <f>K150/0.8</f>
        <v>0</v>
      </c>
      <c r="M150" s="392"/>
    </row>
    <row r="151" spans="1:33" s="66" customFormat="1" ht="35.1" customHeight="1" thickBot="1">
      <c r="B151" s="356">
        <v>21</v>
      </c>
      <c r="C151" s="1987" t="s">
        <v>755</v>
      </c>
      <c r="D151" s="1988"/>
      <c r="E151" s="1988"/>
      <c r="F151" s="1988"/>
      <c r="G151" s="1988"/>
      <c r="H151" s="1989"/>
      <c r="I151" s="407">
        <v>8</v>
      </c>
      <c r="J151" s="408"/>
      <c r="K151" s="409">
        <f>-VLOOKUP(C151,'планирование суточное'!$C:$H,4,FALSE)</f>
        <v>74.399999999999977</v>
      </c>
      <c r="L151" s="410">
        <f>K151/0.8</f>
        <v>92.999999999999972</v>
      </c>
      <c r="M151" s="392"/>
    </row>
    <row r="152" spans="1:33" ht="35.1" customHeight="1" thickBot="1">
      <c r="A152" s="66"/>
      <c r="B152" s="356">
        <v>22</v>
      </c>
      <c r="C152" s="1987" t="s">
        <v>98</v>
      </c>
      <c r="D152" s="1988"/>
      <c r="E152" s="1988"/>
      <c r="F152" s="1988"/>
      <c r="G152" s="1988"/>
      <c r="H152" s="1989"/>
      <c r="I152" s="407">
        <v>12</v>
      </c>
      <c r="J152" s="408" t="s">
        <v>380</v>
      </c>
      <c r="K152" s="409">
        <f>-VLOOKUP(C152,'планирование суточное'!$C:$H,4,FALSE)</f>
        <v>282</v>
      </c>
      <c r="L152" s="410">
        <f>K152/1.2</f>
        <v>235</v>
      </c>
      <c r="M152" s="392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" customHeight="1" thickBot="1">
      <c r="B153" s="356">
        <v>23</v>
      </c>
      <c r="C153" s="1987" t="s">
        <v>820</v>
      </c>
      <c r="D153" s="1988"/>
      <c r="E153" s="1988"/>
      <c r="F153" s="1988"/>
      <c r="G153" s="1988"/>
      <c r="H153" s="1989"/>
      <c r="I153" s="521">
        <v>8</v>
      </c>
      <c r="J153" s="1736"/>
      <c r="K153" s="409">
        <f>-VLOOKUP(C153,'планирование суточное'!$C:$H,4,FALSE)</f>
        <v>0</v>
      </c>
      <c r="L153" s="496">
        <f>K153/1.2</f>
        <v>0</v>
      </c>
      <c r="M153" s="1737"/>
    </row>
    <row r="154" spans="1:33" s="66" customFormat="1" ht="35.1" customHeight="1" thickBot="1">
      <c r="B154" s="356">
        <v>24</v>
      </c>
      <c r="C154" s="1981" t="s">
        <v>479</v>
      </c>
      <c r="D154" s="1982"/>
      <c r="E154" s="1982"/>
      <c r="F154" s="1982"/>
      <c r="G154" s="1982"/>
      <c r="H154" s="1983"/>
      <c r="I154" s="521">
        <v>8</v>
      </c>
      <c r="J154" s="495"/>
      <c r="K154" s="533">
        <f>-VLOOKUP(C154,'планирование суточное'!$C:$H,4,FALSE)</f>
        <v>67.5</v>
      </c>
      <c r="L154" s="496">
        <f>K154/1.2</f>
        <v>56.25</v>
      </c>
      <c r="M154" s="522"/>
    </row>
    <row r="155" spans="1:33" s="66" customFormat="1" ht="35.1" customHeight="1" thickBot="1"/>
    <row r="156" spans="1:33" s="66" customFormat="1" ht="35.1" customHeight="1" thickBot="1">
      <c r="B156" s="1996" t="s">
        <v>478</v>
      </c>
      <c r="C156" s="1997"/>
      <c r="D156" s="1997"/>
      <c r="E156" s="1997"/>
      <c r="F156" s="1997"/>
      <c r="G156" s="1997"/>
      <c r="H156" s="1997"/>
      <c r="I156" s="1997"/>
      <c r="J156" s="1997"/>
      <c r="K156" s="1997"/>
      <c r="L156" s="1997"/>
      <c r="M156" s="1998"/>
    </row>
    <row r="157" spans="1:33" s="66" customFormat="1" ht="35.1" customHeight="1" thickBot="1">
      <c r="B157" s="2014">
        <f>C4</f>
        <v>44223</v>
      </c>
      <c r="C157" s="2015"/>
      <c r="D157" s="2015"/>
      <c r="E157" s="2015"/>
      <c r="F157" s="2015"/>
      <c r="G157" s="2015"/>
      <c r="H157" s="2015"/>
      <c r="I157" s="2015"/>
      <c r="J157" s="2015"/>
      <c r="K157" s="2015"/>
      <c r="L157" s="2015"/>
      <c r="M157" s="2016"/>
    </row>
    <row r="158" spans="1:33" s="66" customFormat="1" ht="35.1" customHeight="1" thickBot="1">
      <c r="B158" s="356"/>
      <c r="C158" s="1993" t="s">
        <v>367</v>
      </c>
      <c r="D158" s="1994"/>
      <c r="E158" s="1994"/>
      <c r="F158" s="1994"/>
      <c r="G158" s="1994"/>
      <c r="H158" s="1995"/>
      <c r="I158" s="492" t="s">
        <v>372</v>
      </c>
      <c r="J158" s="492" t="s">
        <v>373</v>
      </c>
      <c r="K158" s="492" t="s">
        <v>377</v>
      </c>
      <c r="L158" s="493" t="s">
        <v>378</v>
      </c>
      <c r="M158" s="494" t="s">
        <v>379</v>
      </c>
    </row>
    <row r="159" spans="1:33" ht="35.1" customHeight="1" thickBot="1">
      <c r="A159" s="66"/>
      <c r="B159" s="356">
        <v>1</v>
      </c>
      <c r="C159" s="1987" t="s">
        <v>461</v>
      </c>
      <c r="D159" s="1988"/>
      <c r="E159" s="1988"/>
      <c r="F159" s="1988"/>
      <c r="G159" s="1988"/>
      <c r="H159" s="1988"/>
      <c r="I159" s="407">
        <v>6</v>
      </c>
      <c r="J159" s="408"/>
      <c r="K159" s="409">
        <f>-VLOOKUP(C159,'планирование суточное'!$C:$H,4,FALSE)</f>
        <v>0</v>
      </c>
      <c r="L159" s="410">
        <f>K159/2.22</f>
        <v>0</v>
      </c>
      <c r="M159" s="400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" customHeight="1" thickBot="1">
      <c r="B160" s="356">
        <v>2</v>
      </c>
      <c r="C160" s="1987" t="s">
        <v>468</v>
      </c>
      <c r="D160" s="1988"/>
      <c r="E160" s="1988"/>
      <c r="F160" s="1988"/>
      <c r="G160" s="1988"/>
      <c r="H160" s="1988"/>
      <c r="I160" s="407">
        <v>8</v>
      </c>
      <c r="J160" s="408" t="s">
        <v>384</v>
      </c>
      <c r="K160" s="409">
        <f>-VLOOKUP(C160,'планирование суточное'!$C:$H,4,FALSE)</f>
        <v>826</v>
      </c>
      <c r="L160" s="410">
        <f>K160/9</f>
        <v>91.777777777777771</v>
      </c>
      <c r="M160" s="392"/>
    </row>
    <row r="161" spans="1:33" s="66" customFormat="1" ht="35.1" customHeight="1" thickBot="1">
      <c r="B161" s="356">
        <v>3</v>
      </c>
      <c r="C161" s="1987" t="s">
        <v>784</v>
      </c>
      <c r="D161" s="1988"/>
      <c r="E161" s="1988"/>
      <c r="F161" s="1988"/>
      <c r="G161" s="1988"/>
      <c r="H161" s="1989"/>
      <c r="I161" s="479">
        <v>8</v>
      </c>
      <c r="J161" s="408"/>
      <c r="K161" s="409">
        <f>-VLOOKUP(C161,'планирование суточное'!$C:$H,4,FALSE)</f>
        <v>300</v>
      </c>
      <c r="L161" s="410">
        <f>K161/9</f>
        <v>33.333333333333336</v>
      </c>
      <c r="M161" s="392"/>
    </row>
    <row r="162" spans="1:33" ht="35.1" customHeight="1" thickBot="1">
      <c r="A162" s="66"/>
      <c r="B162" s="398">
        <v>4</v>
      </c>
      <c r="C162" s="1987" t="s">
        <v>438</v>
      </c>
      <c r="D162" s="1988"/>
      <c r="E162" s="1988"/>
      <c r="F162" s="1988"/>
      <c r="G162" s="1988"/>
      <c r="H162" s="1988"/>
      <c r="I162" s="479">
        <v>8</v>
      </c>
      <c r="J162" s="408" t="s">
        <v>386</v>
      </c>
      <c r="K162" s="409">
        <f>-VLOOKUP(C162,'планирование суточное'!$C:$H,4,FALSE)</f>
        <v>300</v>
      </c>
      <c r="L162" s="410">
        <f>K162/3.68</f>
        <v>81.521739130434781</v>
      </c>
      <c r="M162" s="400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" customHeight="1" thickBot="1">
      <c r="A163" s="66"/>
      <c r="B163" s="356">
        <v>5</v>
      </c>
      <c r="C163" s="1987" t="s">
        <v>439</v>
      </c>
      <c r="D163" s="1988"/>
      <c r="E163" s="1988"/>
      <c r="F163" s="1988"/>
      <c r="G163" s="1988"/>
      <c r="H163" s="1988"/>
      <c r="I163" s="407">
        <v>8</v>
      </c>
      <c r="J163" s="408" t="s">
        <v>383</v>
      </c>
      <c r="K163" s="414">
        <f>-VLOOKUP(C163,'планирование суточное'!$C:$H,4,FALSE)</f>
        <v>902</v>
      </c>
      <c r="L163" s="410">
        <f>K163/9.2</f>
        <v>98.043478260869577</v>
      </c>
      <c r="M163" s="401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" customHeight="1" thickBot="1">
      <c r="B164" s="398">
        <v>6</v>
      </c>
      <c r="C164" s="1987" t="s">
        <v>448</v>
      </c>
      <c r="D164" s="1988"/>
      <c r="E164" s="1988"/>
      <c r="F164" s="1988"/>
      <c r="G164" s="1988"/>
      <c r="H164" s="1989"/>
      <c r="I164" s="407">
        <v>8</v>
      </c>
      <c r="J164" s="408" t="s">
        <v>388</v>
      </c>
      <c r="K164" s="413">
        <f>-VLOOKUP(C164,'планирование суточное'!$C:$H,4,FALSE)</f>
        <v>330</v>
      </c>
      <c r="L164" s="410">
        <f>K164/2.24</f>
        <v>147.32142857142856</v>
      </c>
      <c r="M164" s="402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" customHeight="1" thickBot="1">
      <c r="B165" s="356">
        <v>7</v>
      </c>
      <c r="C165" s="1987" t="s">
        <v>480</v>
      </c>
      <c r="D165" s="1988"/>
      <c r="E165" s="1988"/>
      <c r="F165" s="1988"/>
      <c r="G165" s="1988"/>
      <c r="H165" s="1989"/>
      <c r="I165" s="407">
        <v>8</v>
      </c>
      <c r="J165" s="408"/>
      <c r="K165" s="413">
        <f>-VLOOKUP(C165,'планирование суточное'!$C:$H,4,FALSE)</f>
        <v>0</v>
      </c>
      <c r="L165" s="410">
        <f>K165/2.24</f>
        <v>0</v>
      </c>
      <c r="M165" s="402"/>
    </row>
    <row r="166" spans="1:33" s="66" customFormat="1" ht="35.1" customHeight="1" thickBot="1">
      <c r="B166" s="356"/>
      <c r="C166" s="1987" t="s">
        <v>818</v>
      </c>
      <c r="D166" s="1988"/>
      <c r="E166" s="1988"/>
      <c r="F166" s="1988"/>
      <c r="G166" s="1988"/>
      <c r="H166" s="1989"/>
      <c r="I166" s="407">
        <v>8</v>
      </c>
      <c r="J166" s="408"/>
      <c r="K166" s="413">
        <f>-VLOOKUP(C166,'планирование суточное'!$C:$H,4,FALSE)</f>
        <v>36</v>
      </c>
      <c r="L166" s="410">
        <f>K166/2.24</f>
        <v>16.071428571428569</v>
      </c>
      <c r="M166" s="402"/>
    </row>
    <row r="167" spans="1:33" ht="35.1" customHeight="1" thickBot="1">
      <c r="B167" s="356">
        <v>8</v>
      </c>
      <c r="C167" s="1987" t="s">
        <v>175</v>
      </c>
      <c r="D167" s="1988"/>
      <c r="E167" s="1988"/>
      <c r="F167" s="1988"/>
      <c r="G167" s="1988"/>
      <c r="H167" s="1989"/>
      <c r="I167" s="407">
        <v>5</v>
      </c>
      <c r="J167" s="408" t="s">
        <v>383</v>
      </c>
      <c r="K167" s="412">
        <f>-VLOOKUP(C167,'планирование суточное'!$C:$H,4,FALSE)</f>
        <v>500</v>
      </c>
      <c r="L167" s="410">
        <f>K167/9</f>
        <v>55.555555555555557</v>
      </c>
      <c r="M167" s="402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" customHeight="1" thickBot="1">
      <c r="B168" s="356">
        <v>9</v>
      </c>
      <c r="C168" s="1987" t="s">
        <v>474</v>
      </c>
      <c r="D168" s="1988"/>
      <c r="E168" s="1988"/>
      <c r="F168" s="1988"/>
      <c r="G168" s="1988"/>
      <c r="H168" s="1989"/>
      <c r="I168" s="407">
        <v>9</v>
      </c>
      <c r="J168" s="408"/>
      <c r="K168" s="409">
        <f>-VLOOKUP(C168,'планирование суточное'!$C:$H,4,FALSE)</f>
        <v>0</v>
      </c>
      <c r="L168" s="410">
        <f>K168/1.8</f>
        <v>0</v>
      </c>
      <c r="M168" s="403"/>
    </row>
    <row r="169" spans="1:33" ht="35.1" customHeight="1" thickBot="1">
      <c r="B169" s="356">
        <v>10</v>
      </c>
      <c r="C169" s="2002" t="s">
        <v>463</v>
      </c>
      <c r="D169" s="2003"/>
      <c r="E169" s="2003"/>
      <c r="F169" s="2003"/>
      <c r="G169" s="2003"/>
      <c r="H169" s="2098"/>
      <c r="I169" s="407">
        <v>9</v>
      </c>
      <c r="J169" s="408"/>
      <c r="K169" s="409">
        <f>-VLOOKUP(C169,'планирование суточное'!$C:$H,4,FALSE)</f>
        <v>3600</v>
      </c>
      <c r="L169" s="410">
        <f>K169/1.8</f>
        <v>2000</v>
      </c>
      <c r="M169" s="392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" customHeight="1" thickBot="1">
      <c r="B170" s="356">
        <v>11</v>
      </c>
      <c r="C170" s="1987" t="s">
        <v>303</v>
      </c>
      <c r="D170" s="1988"/>
      <c r="E170" s="1988"/>
      <c r="F170" s="1988"/>
      <c r="G170" s="1988"/>
      <c r="H170" s="1989"/>
      <c r="I170" s="407">
        <v>10</v>
      </c>
      <c r="J170" s="408" t="s">
        <v>389</v>
      </c>
      <c r="K170" s="413">
        <f>-VLOOKUP(C170,'планирование суточное'!$C:$H,4,FALSE)</f>
        <v>156</v>
      </c>
      <c r="L170" s="410">
        <f>K170/1.2</f>
        <v>130</v>
      </c>
      <c r="M170" s="403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6">
        <v>12</v>
      </c>
      <c r="C171" s="1987" t="s">
        <v>390</v>
      </c>
      <c r="D171" s="1988"/>
      <c r="E171" s="1988"/>
      <c r="F171" s="1988"/>
      <c r="G171" s="1988"/>
      <c r="H171" s="1989"/>
      <c r="I171" s="407">
        <v>10</v>
      </c>
      <c r="J171" s="408"/>
      <c r="K171" s="413">
        <f>-VLOOKUP(C171,'планирование суточное'!$C:$H,4,FALSE)</f>
        <v>4.8</v>
      </c>
      <c r="L171" s="410">
        <f>K171/1.2</f>
        <v>4</v>
      </c>
      <c r="M171" s="465"/>
    </row>
    <row r="172" spans="1:33" s="66" customFormat="1" ht="35.1" customHeight="1" thickBot="1">
      <c r="B172" s="356">
        <v>13</v>
      </c>
      <c r="C172" s="1987" t="s">
        <v>304</v>
      </c>
      <c r="D172" s="1988"/>
      <c r="E172" s="1988"/>
      <c r="F172" s="1988"/>
      <c r="G172" s="1988"/>
      <c r="H172" s="1989"/>
      <c r="I172" s="407">
        <v>2</v>
      </c>
      <c r="J172" s="408" t="s">
        <v>385</v>
      </c>
      <c r="K172" s="413">
        <f>-VLOOKUP(C172,'планирование суточное'!$C:$H,4,FALSE)</f>
        <v>486</v>
      </c>
      <c r="L172" s="410">
        <f>K172/6</f>
        <v>81</v>
      </c>
      <c r="M172" s="464"/>
    </row>
    <row r="173" spans="1:33" s="66" customFormat="1" ht="35.1" customHeight="1" thickBot="1">
      <c r="B173" s="356">
        <v>14</v>
      </c>
      <c r="C173" s="1987" t="s">
        <v>519</v>
      </c>
      <c r="D173" s="1988"/>
      <c r="E173" s="1988"/>
      <c r="F173" s="1988"/>
      <c r="G173" s="1988"/>
      <c r="H173" s="1989"/>
      <c r="I173" s="479">
        <v>10</v>
      </c>
      <c r="J173" s="408"/>
      <c r="K173" s="412">
        <f>-VLOOKUP(C173,'планирование суточное'!$C:$H,4,FALSE)</f>
        <v>71.040000000000006</v>
      </c>
      <c r="L173" s="410">
        <f>K173/1.2</f>
        <v>59.20000000000001</v>
      </c>
      <c r="M173" s="464"/>
    </row>
    <row r="174" spans="1:33" s="66" customFormat="1" ht="35.1" customHeight="1" thickBot="1">
      <c r="B174" s="356"/>
      <c r="C174" s="1987" t="s">
        <v>817</v>
      </c>
      <c r="D174" s="1988"/>
      <c r="E174" s="1988"/>
      <c r="F174" s="1988"/>
      <c r="G174" s="1988"/>
      <c r="H174" s="1989"/>
      <c r="I174" s="479">
        <v>10</v>
      </c>
      <c r="J174" s="408"/>
      <c r="K174" s="412">
        <f>-VLOOKUP(C174,'планирование суточное'!$C:$H,4,FALSE)</f>
        <v>9.6</v>
      </c>
      <c r="L174" s="410">
        <f>K174/1.2</f>
        <v>8</v>
      </c>
      <c r="M174" s="464"/>
    </row>
    <row r="175" spans="1:33" ht="35.1" customHeight="1" thickBot="1">
      <c r="B175" s="356">
        <v>15</v>
      </c>
      <c r="C175" s="1987" t="s">
        <v>302</v>
      </c>
      <c r="D175" s="1988"/>
      <c r="E175" s="1988"/>
      <c r="F175" s="1988"/>
      <c r="G175" s="1988"/>
      <c r="H175" s="1989"/>
      <c r="I175" s="407">
        <v>10</v>
      </c>
      <c r="J175" s="408" t="s">
        <v>380</v>
      </c>
      <c r="K175" s="413">
        <f>-VLOOKUP(C175,'планирование суточное'!$C:$H,4,FALSE)</f>
        <v>0</v>
      </c>
      <c r="L175" s="410">
        <f>K175/1.2</f>
        <v>0</v>
      </c>
      <c r="M175" s="465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6">
        <v>16</v>
      </c>
      <c r="C176" s="1987" t="s">
        <v>301</v>
      </c>
      <c r="D176" s="1988"/>
      <c r="E176" s="1988"/>
      <c r="F176" s="1988"/>
      <c r="G176" s="1988"/>
      <c r="H176" s="1989"/>
      <c r="I176" s="407">
        <v>10</v>
      </c>
      <c r="J176" s="408" t="s">
        <v>389</v>
      </c>
      <c r="K176" s="413">
        <f>-VLOOKUP(C176,'планирование суточное'!$C:$H,4,FALSE)</f>
        <v>636</v>
      </c>
      <c r="L176" s="410">
        <f>K176/1.2</f>
        <v>530</v>
      </c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6"/>
      <c r="C177" s="1987" t="s">
        <v>816</v>
      </c>
      <c r="D177" s="1988"/>
      <c r="E177" s="1988"/>
      <c r="F177" s="1988"/>
      <c r="G177" s="1988"/>
      <c r="H177" s="1989"/>
      <c r="I177" s="407">
        <v>10</v>
      </c>
      <c r="J177" s="408"/>
      <c r="K177" s="413">
        <f>-VLOOKUP(C177,'планирование суточное'!$C:$H,4,FALSE)</f>
        <v>32.4</v>
      </c>
      <c r="L177" s="410">
        <f>K177/1.2</f>
        <v>27</v>
      </c>
      <c r="M177" s="392"/>
    </row>
    <row r="178" spans="2:33" ht="35.1" customHeight="1" thickBot="1">
      <c r="B178" s="356">
        <v>17</v>
      </c>
      <c r="C178" s="1987" t="s">
        <v>441</v>
      </c>
      <c r="D178" s="1988"/>
      <c r="E178" s="1988"/>
      <c r="F178" s="1988"/>
      <c r="G178" s="1988"/>
      <c r="H178" s="1989"/>
      <c r="I178" s="479">
        <v>9</v>
      </c>
      <c r="J178" s="408" t="s">
        <v>382</v>
      </c>
      <c r="K178" s="412">
        <f>-VLOOKUP(C178,'планирование суточное'!$C:$H,4,FALSE)</f>
        <v>0</v>
      </c>
      <c r="L178" s="410">
        <f>K178/1.8</f>
        <v>0</v>
      </c>
      <c r="M178" s="465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" customHeight="1" thickBot="1">
      <c r="B179" s="356">
        <v>18</v>
      </c>
      <c r="C179" s="1987" t="s">
        <v>440</v>
      </c>
      <c r="D179" s="1988"/>
      <c r="E179" s="1988"/>
      <c r="F179" s="1988"/>
      <c r="G179" s="1988"/>
      <c r="H179" s="1989"/>
      <c r="I179" s="407">
        <v>6</v>
      </c>
      <c r="J179" s="408" t="s">
        <v>387</v>
      </c>
      <c r="K179" s="413">
        <f>-VLOOKUP(C179,'планирование суточное'!$C:$H,4,FALSE)</f>
        <v>730</v>
      </c>
      <c r="L179" s="410">
        <f>K179/2.22</f>
        <v>328.82882882882882</v>
      </c>
      <c r="M179" s="463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" customHeight="1" thickBot="1">
      <c r="B180" s="356">
        <v>19</v>
      </c>
      <c r="C180" s="1987" t="s">
        <v>442</v>
      </c>
      <c r="D180" s="1988"/>
      <c r="E180" s="1988"/>
      <c r="F180" s="1988"/>
      <c r="G180" s="1988"/>
      <c r="H180" s="1989"/>
      <c r="I180" s="407">
        <v>8</v>
      </c>
      <c r="J180" s="408"/>
      <c r="K180" s="413">
        <f>-VLOOKUP(C180,'планирование суточное'!$C:$H,4,FALSE)</f>
        <v>2900</v>
      </c>
      <c r="L180" s="410">
        <f>K180/2.24</f>
        <v>1294.6428571428571</v>
      </c>
      <c r="M180" s="463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" customHeight="1" thickBot="1">
      <c r="B181" s="356">
        <v>20</v>
      </c>
      <c r="C181" s="1987" t="s">
        <v>907</v>
      </c>
      <c r="D181" s="1988"/>
      <c r="E181" s="1988"/>
      <c r="F181" s="1988"/>
      <c r="G181" s="1988"/>
      <c r="H181" s="1989"/>
      <c r="I181" s="407">
        <v>9</v>
      </c>
      <c r="J181" s="408"/>
      <c r="K181" s="413">
        <f>-VLOOKUP(C181,'планирование суточное'!$C:$H,4,FALSE)</f>
        <v>0</v>
      </c>
      <c r="L181" s="410">
        <f>K181/1.8</f>
        <v>0</v>
      </c>
      <c r="M181" s="463"/>
    </row>
    <row r="182" spans="2:33" ht="35.1" customHeight="1" thickBot="1">
      <c r="B182" s="356">
        <v>21</v>
      </c>
      <c r="C182" s="1987" t="s">
        <v>143</v>
      </c>
      <c r="D182" s="1988"/>
      <c r="E182" s="1988"/>
      <c r="F182" s="1988"/>
      <c r="G182" s="1988"/>
      <c r="H182" s="1989"/>
      <c r="I182" s="407">
        <v>8</v>
      </c>
      <c r="J182" s="408" t="s">
        <v>388</v>
      </c>
      <c r="K182" s="413">
        <f>-VLOOKUP(C182,'планирование суточное'!$C:$H,4,FALSE)</f>
        <v>700</v>
      </c>
      <c r="L182" s="410">
        <f>K182/2.24</f>
        <v>312.49999999999994</v>
      </c>
      <c r="M182" s="392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" customHeight="1" thickBot="1">
      <c r="B183" s="356">
        <v>22</v>
      </c>
      <c r="C183" s="1987" t="s">
        <v>492</v>
      </c>
      <c r="D183" s="1988"/>
      <c r="E183" s="1988"/>
      <c r="F183" s="1988"/>
      <c r="G183" s="1988"/>
      <c r="H183" s="1989"/>
      <c r="I183" s="407">
        <v>8</v>
      </c>
      <c r="J183" s="408"/>
      <c r="K183" s="413">
        <f>-VLOOKUP(C183,'планирование суточное'!$C:$H,4,FALSE)</f>
        <v>0</v>
      </c>
      <c r="L183" s="410">
        <f>K183/2.24</f>
        <v>0</v>
      </c>
      <c r="M183" s="463"/>
    </row>
    <row r="184" spans="2:33" s="66" customFormat="1" ht="35.1" customHeight="1" thickBot="1">
      <c r="B184" s="356">
        <v>23</v>
      </c>
      <c r="C184" s="1987" t="s">
        <v>167</v>
      </c>
      <c r="D184" s="1988"/>
      <c r="E184" s="1988"/>
      <c r="F184" s="1988"/>
      <c r="G184" s="1988"/>
      <c r="H184" s="1988"/>
      <c r="I184" s="407">
        <v>2</v>
      </c>
      <c r="J184" s="408"/>
      <c r="K184" s="413">
        <f>-VLOOKUP(C184,'планирование суточное'!$C:$H,4,FALSE)</f>
        <v>0</v>
      </c>
      <c r="L184" s="410">
        <f>K184/7</f>
        <v>0</v>
      </c>
      <c r="M184" s="392"/>
    </row>
    <row r="185" spans="2:33" ht="35.1" customHeight="1" thickBot="1">
      <c r="B185" s="356">
        <v>24</v>
      </c>
      <c r="C185" s="1987" t="s">
        <v>308</v>
      </c>
      <c r="D185" s="1988"/>
      <c r="E185" s="1988"/>
      <c r="F185" s="1988"/>
      <c r="G185" s="1988"/>
      <c r="H185" s="1988"/>
      <c r="I185" s="407">
        <v>2</v>
      </c>
      <c r="J185" s="408"/>
      <c r="K185" s="413">
        <f>-VLOOKUP(C185,'планирование суточное'!$C:$H,4,FALSE)</f>
        <v>0</v>
      </c>
      <c r="L185" s="410">
        <f>K185/7</f>
        <v>0</v>
      </c>
      <c r="M185" s="399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" customHeight="1" thickBot="1">
      <c r="B186" s="356">
        <v>25</v>
      </c>
      <c r="C186" s="1987" t="s">
        <v>462</v>
      </c>
      <c r="D186" s="1988"/>
      <c r="E186" s="1988"/>
      <c r="F186" s="1988"/>
      <c r="G186" s="1988"/>
      <c r="H186" s="1989"/>
      <c r="I186" s="479">
        <v>8</v>
      </c>
      <c r="J186" s="408"/>
      <c r="K186" s="412">
        <f>-VLOOKUP(C186,'планирование суточное'!$C:$H,4,FALSE)</f>
        <v>0</v>
      </c>
      <c r="L186" s="410">
        <f>K186/2.08</f>
        <v>0</v>
      </c>
      <c r="M186" s="392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" customHeight="1" thickBot="1">
      <c r="B187" s="356">
        <v>26</v>
      </c>
      <c r="C187" s="1987" t="s">
        <v>305</v>
      </c>
      <c r="D187" s="1988"/>
      <c r="E187" s="1988"/>
      <c r="F187" s="1988"/>
      <c r="G187" s="1988"/>
      <c r="H187" s="1989"/>
      <c r="I187" s="407">
        <v>2</v>
      </c>
      <c r="J187" s="408" t="s">
        <v>389</v>
      </c>
      <c r="K187" s="413">
        <f>-VLOOKUP(C187,'планирование суточное'!$C:$H,4,FALSE)</f>
        <v>0</v>
      </c>
      <c r="L187" s="410">
        <f>K187/2</f>
        <v>0</v>
      </c>
      <c r="M187" s="399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" customHeight="1" thickBot="1">
      <c r="B188" s="356">
        <v>27</v>
      </c>
      <c r="C188" s="1987" t="s">
        <v>307</v>
      </c>
      <c r="D188" s="1988"/>
      <c r="E188" s="1988"/>
      <c r="F188" s="1988"/>
      <c r="G188" s="1988"/>
      <c r="H188" s="1989"/>
      <c r="I188" s="407">
        <v>2</v>
      </c>
      <c r="J188" s="408" t="s">
        <v>389</v>
      </c>
      <c r="K188" s="413">
        <f>-VLOOKUP(C188,'планирование суточное'!$C:$H,4,FALSE)</f>
        <v>0</v>
      </c>
      <c r="L188" s="410">
        <f>K188/2</f>
        <v>0</v>
      </c>
      <c r="M188" s="399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" customHeight="1" thickBot="1">
      <c r="B189" s="356">
        <v>28</v>
      </c>
      <c r="C189" s="1987" t="s">
        <v>306</v>
      </c>
      <c r="D189" s="1988"/>
      <c r="E189" s="1988"/>
      <c r="F189" s="1988"/>
      <c r="G189" s="1988"/>
      <c r="H189" s="1989"/>
      <c r="I189" s="407">
        <v>2</v>
      </c>
      <c r="J189" s="408" t="s">
        <v>389</v>
      </c>
      <c r="K189" s="413">
        <f>-VLOOKUP(C189,'планирование суточное'!$C:$H,4,FALSE)</f>
        <v>0</v>
      </c>
      <c r="L189" s="410">
        <f>K189/2</f>
        <v>0</v>
      </c>
      <c r="M189" s="466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" customHeight="1" thickBot="1">
      <c r="B190" s="356">
        <v>29</v>
      </c>
      <c r="C190" s="1987" t="s">
        <v>775</v>
      </c>
      <c r="D190" s="1988"/>
      <c r="E190" s="1988"/>
      <c r="F190" s="1988"/>
      <c r="G190" s="1988"/>
      <c r="H190" s="1989"/>
      <c r="I190" s="407">
        <v>2</v>
      </c>
      <c r="J190" s="408"/>
      <c r="K190" s="413">
        <f>-VLOOKUP(C190,'планирование суточное'!$C:$H,4,FALSE)</f>
        <v>0</v>
      </c>
      <c r="L190" s="410">
        <f>K190/2</f>
        <v>0</v>
      </c>
      <c r="M190" s="466"/>
    </row>
    <row r="191" spans="2:33" ht="35.1" customHeight="1" thickBot="1">
      <c r="B191" s="356">
        <v>30</v>
      </c>
      <c r="C191" s="1990" t="s">
        <v>846</v>
      </c>
      <c r="D191" s="1991"/>
      <c r="E191" s="1991"/>
      <c r="F191" s="1991"/>
      <c r="G191" s="1991"/>
      <c r="H191" s="1992"/>
      <c r="I191" s="486"/>
      <c r="J191" s="485"/>
      <c r="K191" s="413">
        <f>-VLOOKUP(C191,'планирование суточное'!$C:$H,4,FALSE)</f>
        <v>268</v>
      </c>
      <c r="L191" s="410"/>
      <c r="M191" s="483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" customHeight="1" thickBot="1">
      <c r="B192" s="356">
        <v>31</v>
      </c>
      <c r="C192" s="1987" t="s">
        <v>421</v>
      </c>
      <c r="D192" s="1988"/>
      <c r="E192" s="1988"/>
      <c r="F192" s="1988"/>
      <c r="G192" s="1988"/>
      <c r="H192" s="1989"/>
      <c r="I192" s="486">
        <v>6</v>
      </c>
      <c r="J192" s="495"/>
      <c r="K192" s="412">
        <f>-VLOOKUP(C192,'планирование суточное'!$C:$H,4,FALSE)</f>
        <v>0</v>
      </c>
      <c r="L192" s="496"/>
      <c r="M192" s="497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2097"/>
      <c r="C193" s="2097"/>
      <c r="D193" s="2097"/>
      <c r="E193" s="2097"/>
      <c r="F193" s="2097"/>
      <c r="G193" s="2097"/>
      <c r="H193" s="2097"/>
      <c r="I193" s="2097"/>
      <c r="J193" s="2097"/>
      <c r="K193" s="2097"/>
      <c r="L193" s="2097"/>
      <c r="M193" s="2097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099999999999994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099999999999994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099999999999994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099999999999994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099999999999994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099999999999994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099999999999994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099999999999994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abSelected="1" topLeftCell="A67" zoomScale="70" zoomScaleNormal="70" zoomScaleSheetLayoutView="93" workbookViewId="0">
      <selection activeCell="MA75" sqref="MA75"/>
    </sheetView>
  </sheetViews>
  <sheetFormatPr defaultColWidth="9.44140625" defaultRowHeight="25.35" customHeight="1"/>
  <cols>
    <col min="1" max="1" width="9.5546875" style="75" customWidth="1"/>
    <col min="2" max="2" width="13.44140625" style="75" customWidth="1"/>
    <col min="3" max="3" width="21.44140625" style="75" customWidth="1"/>
    <col min="4" max="4" width="27.5546875" style="1630" customWidth="1"/>
    <col min="5" max="5" width="23.44140625" style="1693" customWidth="1"/>
    <col min="6" max="6" width="2.44140625" style="1658" customWidth="1"/>
    <col min="7" max="7" width="2.44140625" style="62" customWidth="1"/>
    <col min="8" max="17" width="2.44140625" style="75" customWidth="1"/>
    <col min="18" max="18" width="2.44140625" style="62" customWidth="1"/>
    <col min="19" max="57" width="2.44140625" style="75" customWidth="1"/>
    <col min="58" max="58" width="2" style="75" customWidth="1"/>
    <col min="59" max="72" width="2.44140625" style="75" customWidth="1"/>
    <col min="73" max="73" width="2.5546875" style="75" customWidth="1"/>
    <col min="74" max="74" width="3.44140625" style="75" customWidth="1"/>
    <col min="75" max="75" width="2.5546875" style="75" customWidth="1"/>
    <col min="76" max="79" width="2.44140625" style="75" customWidth="1"/>
    <col min="80" max="80" width="3.44140625" style="75" customWidth="1"/>
    <col min="81" max="145" width="2.44140625" style="75" customWidth="1"/>
    <col min="146" max="146" width="2.5546875" style="75" customWidth="1"/>
    <col min="147" max="171" width="2.44140625" style="75" customWidth="1"/>
    <col min="172" max="172" width="2.5546875" style="75" customWidth="1"/>
    <col min="173" max="185" width="2.44140625" style="75" customWidth="1"/>
    <col min="186" max="186" width="3.44140625" style="75" customWidth="1"/>
    <col min="187" max="198" width="2.44140625" style="75" customWidth="1"/>
    <col min="199" max="199" width="3.44140625" style="75" customWidth="1"/>
    <col min="200" max="243" width="2.44140625" style="75" customWidth="1"/>
    <col min="244" max="245" width="2" style="75" customWidth="1"/>
    <col min="246" max="246" width="2.5546875" style="75" customWidth="1"/>
    <col min="247" max="247" width="2" style="75" customWidth="1"/>
    <col min="248" max="248" width="2.5546875" style="75" customWidth="1"/>
    <col min="249" max="250" width="2" style="75" customWidth="1"/>
    <col min="251" max="251" width="2.5546875" style="75" customWidth="1"/>
    <col min="252" max="254" width="2" style="75" customWidth="1"/>
    <col min="255" max="255" width="2.88671875" style="75" customWidth="1"/>
    <col min="256" max="257" width="2" style="75" customWidth="1"/>
    <col min="258" max="258" width="2.44140625" style="75" customWidth="1"/>
    <col min="259" max="260" width="2" style="75" customWidth="1"/>
    <col min="261" max="261" width="2.44140625" style="75" customWidth="1"/>
    <col min="262" max="262" width="2" style="75" customWidth="1"/>
    <col min="263" max="263" width="2.5546875" style="75" customWidth="1"/>
    <col min="264" max="264" width="1.5546875" style="75" customWidth="1"/>
    <col min="265" max="265" width="2.5546875" style="75" customWidth="1"/>
    <col min="266" max="268" width="2" style="75" customWidth="1"/>
    <col min="269" max="269" width="3" style="75" customWidth="1"/>
    <col min="270" max="271" width="2" style="75" customWidth="1"/>
    <col min="272" max="272" width="2.5546875" style="75" customWidth="1"/>
    <col min="273" max="274" width="2" style="75" customWidth="1"/>
    <col min="275" max="275" width="3.109375" style="75" customWidth="1"/>
    <col min="276" max="276" width="2" style="75" customWidth="1"/>
    <col min="277" max="277" width="2.44140625" style="75" customWidth="1"/>
    <col min="278" max="278" width="2" style="75" customWidth="1"/>
    <col min="279" max="279" width="2.5546875" style="75" customWidth="1"/>
    <col min="280" max="285" width="2" style="75" customWidth="1"/>
    <col min="286" max="286" width="2.44140625" style="75" customWidth="1"/>
    <col min="287" max="287" width="2" style="75" customWidth="1"/>
    <col min="288" max="288" width="2.44140625" style="75" customWidth="1"/>
    <col min="289" max="289" width="2" style="75" customWidth="1"/>
    <col min="290" max="290" width="3.44140625" style="75" customWidth="1"/>
    <col min="291" max="292" width="2" style="75" customWidth="1"/>
    <col min="293" max="293" width="2.5546875" style="75" customWidth="1"/>
    <col min="294" max="295" width="2" style="75" customWidth="1"/>
    <col min="296" max="296" width="3.44140625" style="75" customWidth="1"/>
    <col min="297" max="341" width="2" style="75" customWidth="1"/>
    <col min="342" max="342" width="2.5546875" style="75" customWidth="1"/>
    <col min="343" max="348" width="2" style="75" customWidth="1"/>
    <col min="349" max="349" width="2.5546875" style="75" customWidth="1"/>
    <col min="350" max="417" width="2" style="75" customWidth="1"/>
    <col min="418" max="418" width="2.5546875" style="75" customWidth="1"/>
    <col min="419" max="443" width="2" style="75" customWidth="1"/>
    <col min="444" max="444" width="3.44140625" style="75" customWidth="1"/>
    <col min="445" max="460" width="2" style="75" customWidth="1"/>
    <col min="461" max="461" width="3.5546875" style="75" customWidth="1"/>
    <col min="462" max="462" width="2" style="75" customWidth="1"/>
    <col min="463" max="463" width="2.5546875" style="75" customWidth="1"/>
    <col min="464" max="665" width="2" style="75" customWidth="1"/>
    <col min="666" max="16384" width="9.44140625" style="75"/>
  </cols>
  <sheetData>
    <row r="1" spans="1:665" ht="23.4">
      <c r="E1" s="1694"/>
      <c r="DJ1" s="330"/>
      <c r="DK1" s="330"/>
      <c r="DL1" s="330"/>
      <c r="DM1" s="330"/>
      <c r="DN1" s="330"/>
      <c r="DO1" s="330"/>
      <c r="DP1" s="330"/>
      <c r="DQ1" s="330"/>
      <c r="DR1" s="330"/>
      <c r="DS1" s="330"/>
      <c r="DT1" s="330"/>
      <c r="DU1" s="330"/>
      <c r="DV1" s="330"/>
      <c r="DW1" s="330"/>
      <c r="DX1" s="330"/>
      <c r="DY1" s="330"/>
      <c r="DZ1" s="330"/>
      <c r="EA1" s="330"/>
      <c r="EB1" s="330"/>
      <c r="EC1" s="330"/>
      <c r="ED1" s="330"/>
      <c r="EE1" s="330"/>
      <c r="EF1" s="330"/>
      <c r="EG1" s="330"/>
      <c r="EH1" s="330"/>
      <c r="EI1" s="330"/>
      <c r="EJ1" s="330"/>
      <c r="EK1" s="330"/>
      <c r="EL1" s="330"/>
      <c r="EM1" s="330"/>
      <c r="EN1" s="330"/>
      <c r="EO1" s="330"/>
      <c r="EP1" s="330"/>
      <c r="EQ1" s="330"/>
    </row>
    <row r="2" spans="1:665" s="32" customFormat="1" ht="25.35" customHeight="1">
      <c r="C2" s="33" t="s">
        <v>37</v>
      </c>
      <c r="D2" s="1614">
        <f>'ПЕЧАТЬ ЗАДАНИЙ'!C4</f>
        <v>44223</v>
      </c>
      <c r="E2" s="1694"/>
      <c r="F2" s="1631">
        <v>0</v>
      </c>
      <c r="G2" s="1640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1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35" customHeight="1">
      <c r="D3" s="1615"/>
      <c r="E3" s="1695"/>
      <c r="F3" s="1659"/>
      <c r="G3" s="1641"/>
      <c r="R3" s="1632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09"/>
      <c r="B4" s="509"/>
      <c r="C4" s="509"/>
      <c r="D4" s="1646"/>
      <c r="E4" s="1696"/>
      <c r="R4" s="2485" t="s">
        <v>481</v>
      </c>
      <c r="S4" s="2486"/>
      <c r="T4" s="2486"/>
      <c r="U4" s="2486"/>
      <c r="V4" s="2486"/>
      <c r="W4" s="2486"/>
      <c r="X4" s="2486"/>
      <c r="Y4" s="2486"/>
      <c r="Z4" s="2486"/>
      <c r="AA4" s="2486"/>
      <c r="AB4" s="2486"/>
      <c r="AC4" s="2486"/>
      <c r="AD4" s="2486"/>
      <c r="AE4" s="2486"/>
      <c r="AF4" s="2486"/>
      <c r="AG4" s="2486"/>
      <c r="AH4" s="2486"/>
      <c r="AI4" s="2486"/>
      <c r="AJ4" s="2486"/>
      <c r="AK4" s="2486"/>
      <c r="AL4" s="2486"/>
      <c r="AM4" s="2486"/>
      <c r="AN4" s="2486"/>
      <c r="AO4" s="2486"/>
      <c r="AP4" s="2486"/>
      <c r="AQ4" s="2486"/>
      <c r="AR4" s="2486"/>
      <c r="AS4" s="2486"/>
      <c r="AT4" s="2486"/>
      <c r="AU4" s="2486"/>
      <c r="AV4" s="2486"/>
      <c r="AW4" s="2486"/>
      <c r="AX4" s="2486"/>
      <c r="AY4" s="2486"/>
      <c r="AZ4" s="2486"/>
      <c r="BA4" s="2486"/>
      <c r="BB4" s="2486"/>
      <c r="BC4" s="2486"/>
      <c r="BD4" s="2486"/>
      <c r="BE4" s="2486"/>
      <c r="BF4" s="2486"/>
      <c r="BG4" s="2486"/>
      <c r="BH4" s="2486"/>
      <c r="BI4" s="2486"/>
      <c r="BJ4" s="2486"/>
      <c r="BK4" s="2486"/>
      <c r="BL4" s="2486"/>
      <c r="BM4" s="2486"/>
      <c r="BN4" s="2486"/>
      <c r="BO4" s="2486"/>
      <c r="BP4" s="2486"/>
      <c r="BQ4" s="2486"/>
      <c r="BR4" s="2486"/>
      <c r="BS4" s="2486"/>
      <c r="BT4" s="2486"/>
      <c r="BU4" s="2486"/>
      <c r="BV4" s="2486"/>
      <c r="BW4" s="2486"/>
      <c r="BX4" s="2486"/>
      <c r="BY4" s="2486"/>
      <c r="BZ4" s="2486"/>
      <c r="CA4" s="2486"/>
      <c r="CB4" s="2486"/>
      <c r="CC4" s="2486"/>
      <c r="CD4" s="2486"/>
      <c r="CE4" s="2486"/>
      <c r="CF4" s="2486"/>
      <c r="CG4" s="2486"/>
      <c r="CH4" s="2486"/>
      <c r="CI4" s="2486"/>
      <c r="CJ4" s="2486"/>
      <c r="CK4" s="2486"/>
      <c r="CL4" s="2486"/>
      <c r="CM4" s="2486"/>
      <c r="CN4" s="2486"/>
      <c r="CO4" s="2486"/>
      <c r="CP4" s="2486"/>
      <c r="CQ4" s="2486"/>
      <c r="CR4" s="2486"/>
      <c r="CS4" s="2486"/>
      <c r="CT4" s="2486"/>
      <c r="CU4" s="2486"/>
      <c r="CV4" s="2486"/>
      <c r="CW4" s="2486"/>
      <c r="CX4" s="2486"/>
      <c r="CY4" s="2486"/>
      <c r="CZ4" s="2486"/>
      <c r="DA4" s="2486"/>
      <c r="DB4" s="2486"/>
      <c r="DC4" s="2486"/>
      <c r="DD4" s="2486"/>
      <c r="DE4" s="2486"/>
      <c r="DF4" s="2486"/>
      <c r="DG4" s="2486"/>
      <c r="DH4" s="2486"/>
      <c r="DI4" s="2486"/>
      <c r="DJ4" s="2486"/>
      <c r="DK4" s="2486"/>
      <c r="DL4" s="2486"/>
      <c r="DM4" s="2486"/>
      <c r="DN4" s="2486"/>
      <c r="DO4" s="2486"/>
      <c r="DP4" s="2486"/>
      <c r="DQ4" s="2486"/>
      <c r="DR4" s="2486"/>
      <c r="DS4" s="2486"/>
      <c r="DT4" s="2486"/>
      <c r="DU4" s="2486"/>
      <c r="DV4" s="2486"/>
      <c r="DW4" s="2486"/>
      <c r="DX4" s="2486"/>
      <c r="DY4" s="2486"/>
      <c r="DZ4" s="2486"/>
      <c r="EA4" s="2486"/>
      <c r="EB4" s="2486"/>
      <c r="EC4" s="2486"/>
      <c r="ED4" s="2486"/>
      <c r="EE4" s="2486"/>
      <c r="EF4" s="2486"/>
      <c r="EG4" s="2486"/>
      <c r="EH4" s="2486"/>
      <c r="EI4" s="2486"/>
      <c r="EJ4" s="2486"/>
      <c r="EK4" s="2486"/>
      <c r="EL4" s="2486"/>
      <c r="EM4" s="2486"/>
      <c r="EN4" s="2486"/>
      <c r="EO4" s="2486"/>
      <c r="EP4" s="2486"/>
      <c r="EQ4" s="2486"/>
      <c r="ER4" s="2486"/>
      <c r="ES4" s="2487"/>
      <c r="ET4" s="2488" t="s">
        <v>786</v>
      </c>
      <c r="EU4" s="2489"/>
      <c r="EV4" s="2489"/>
      <c r="EW4" s="2489"/>
      <c r="EX4" s="2489"/>
      <c r="EY4" s="2489"/>
      <c r="EZ4" s="2489"/>
      <c r="FA4" s="2489"/>
      <c r="FB4" s="2489"/>
      <c r="FC4" s="2489"/>
      <c r="FD4" s="2489"/>
      <c r="FE4" s="2489"/>
      <c r="FF4" s="2489"/>
      <c r="FG4" s="2489"/>
      <c r="FH4" s="2489"/>
      <c r="FI4" s="2489"/>
      <c r="FJ4" s="2489"/>
      <c r="FK4" s="2489"/>
      <c r="FL4" s="2489"/>
      <c r="FM4" s="2489"/>
      <c r="FN4" s="2489"/>
      <c r="FO4" s="2489"/>
      <c r="FP4" s="2489"/>
      <c r="FQ4" s="2489"/>
      <c r="FR4" s="2489"/>
      <c r="FS4" s="2489"/>
      <c r="FT4" s="2489"/>
      <c r="FU4" s="2489"/>
      <c r="FV4" s="2489"/>
      <c r="FW4" s="2489"/>
      <c r="FX4" s="2489"/>
      <c r="FY4" s="2489"/>
      <c r="FZ4" s="2489"/>
      <c r="GA4" s="2489"/>
      <c r="GB4" s="2489"/>
      <c r="GC4" s="2489"/>
      <c r="GD4" s="2489"/>
      <c r="GE4" s="2489"/>
      <c r="GF4" s="2489"/>
      <c r="GG4" s="2489"/>
      <c r="GH4" s="2489"/>
      <c r="GI4" s="2489"/>
      <c r="GJ4" s="2489"/>
      <c r="GK4" s="2489"/>
      <c r="GL4" s="2489"/>
      <c r="GM4" s="2489"/>
      <c r="GN4" s="2489"/>
      <c r="GO4" s="2489"/>
      <c r="GP4" s="2489"/>
      <c r="GQ4" s="2489"/>
      <c r="GR4" s="2489"/>
      <c r="GS4" s="2489"/>
      <c r="GT4" s="2489"/>
      <c r="GU4" s="2489"/>
      <c r="GV4" s="2489"/>
      <c r="GW4" s="2489"/>
      <c r="GX4" s="2489"/>
      <c r="GY4" s="2489"/>
      <c r="GZ4" s="2489"/>
      <c r="HA4" s="2489"/>
      <c r="HB4" s="2489"/>
      <c r="HC4" s="2489"/>
      <c r="HD4" s="2489"/>
      <c r="HE4" s="2489"/>
      <c r="HF4" s="2489"/>
      <c r="HG4" s="2489"/>
      <c r="HH4" s="2489"/>
      <c r="HI4" s="2489"/>
      <c r="HJ4" s="2489"/>
      <c r="HK4" s="2489"/>
      <c r="HL4" s="2489"/>
      <c r="HM4" s="2489"/>
      <c r="HN4" s="2489"/>
      <c r="HO4" s="2489"/>
      <c r="HP4" s="2489"/>
      <c r="HQ4" s="2489"/>
      <c r="HR4" s="2489"/>
      <c r="HS4" s="2489"/>
      <c r="HT4" s="2489"/>
      <c r="HU4" s="2489"/>
      <c r="HV4" s="2489"/>
      <c r="HW4" s="2489"/>
      <c r="HX4" s="2489"/>
      <c r="HY4" s="2489"/>
      <c r="HZ4" s="2489"/>
      <c r="IA4" s="2489"/>
      <c r="IB4" s="2489"/>
      <c r="IC4" s="2489"/>
      <c r="ID4" s="2489"/>
      <c r="IE4" s="2489"/>
      <c r="IF4" s="2489"/>
      <c r="IG4" s="2489"/>
      <c r="IH4" s="2489"/>
      <c r="II4" s="2489"/>
      <c r="IJ4" s="2489"/>
      <c r="IK4" s="2489"/>
      <c r="IL4" s="2489"/>
      <c r="IM4" s="2489"/>
      <c r="IN4" s="2489"/>
      <c r="IO4" s="2489"/>
      <c r="IP4" s="2489"/>
      <c r="IQ4" s="2489"/>
      <c r="IR4" s="2489"/>
      <c r="IS4" s="2489"/>
      <c r="IT4" s="2489"/>
      <c r="IU4" s="2489"/>
      <c r="IV4" s="2489"/>
      <c r="IW4" s="2489"/>
      <c r="IX4" s="2489"/>
      <c r="IY4" s="2489"/>
      <c r="IZ4" s="2489"/>
      <c r="JA4" s="2489"/>
      <c r="JB4" s="2489"/>
      <c r="JC4" s="2489"/>
      <c r="JD4" s="2489"/>
      <c r="JE4" s="2489"/>
      <c r="JF4" s="2489"/>
      <c r="JG4" s="2489"/>
      <c r="JH4" s="2489"/>
      <c r="JI4" s="2489"/>
      <c r="JJ4" s="2489"/>
      <c r="JK4" s="2489"/>
      <c r="JL4" s="2489"/>
      <c r="JM4" s="2489"/>
      <c r="JN4" s="2489"/>
      <c r="JO4" s="2489"/>
      <c r="JP4" s="2489"/>
      <c r="JQ4" s="2489"/>
      <c r="JR4" s="2489"/>
      <c r="JS4" s="2489"/>
      <c r="JT4" s="2489"/>
      <c r="JU4" s="2489"/>
      <c r="JV4" s="2490"/>
      <c r="JW4" s="1762"/>
      <c r="JX4" s="1762"/>
      <c r="JY4" s="1762"/>
      <c r="JZ4" s="1762"/>
      <c r="KA4" s="1762"/>
      <c r="KB4" s="1762"/>
      <c r="KC4" s="1762"/>
      <c r="KD4" s="1762"/>
      <c r="KE4" s="1762"/>
      <c r="KF4" s="1762"/>
      <c r="KG4" s="1762"/>
      <c r="KH4" s="1762"/>
      <c r="KI4" s="1762"/>
      <c r="KJ4" s="1762"/>
      <c r="KK4" s="1762"/>
      <c r="KL4" s="1762"/>
      <c r="KM4" s="1762"/>
      <c r="KN4" s="1762"/>
      <c r="KO4" s="1762"/>
      <c r="KP4" s="1762"/>
      <c r="KQ4" s="1762"/>
      <c r="KR4" s="1762"/>
      <c r="KS4" s="1762"/>
      <c r="KT4" s="1762"/>
      <c r="KU4" s="1762"/>
      <c r="KV4" s="1762"/>
      <c r="KW4" s="1762"/>
      <c r="KX4" s="1762"/>
      <c r="KY4" s="1762"/>
    </row>
    <row r="5" spans="1:665" s="76" customFormat="1" ht="25.35" customHeight="1" thickBot="1">
      <c r="B5" s="55"/>
      <c r="C5" s="55"/>
      <c r="D5" s="55"/>
      <c r="E5" s="1694"/>
      <c r="F5" s="1761"/>
      <c r="G5" s="1761"/>
      <c r="H5" s="1761"/>
      <c r="I5" s="1761"/>
      <c r="J5" s="1761"/>
      <c r="K5" s="1761"/>
      <c r="L5" s="1761"/>
      <c r="M5" s="1761"/>
      <c r="N5" s="1761"/>
      <c r="O5" s="1761"/>
      <c r="P5" s="1761"/>
      <c r="Q5" s="1761"/>
      <c r="R5" s="1761"/>
      <c r="S5" s="1761"/>
      <c r="T5" s="1761"/>
      <c r="U5" s="1761"/>
      <c r="V5" s="1761"/>
      <c r="W5" s="1761"/>
      <c r="X5" s="1761"/>
      <c r="Y5" s="1761"/>
      <c r="Z5" s="1761"/>
      <c r="AA5" s="1761"/>
      <c r="AB5" s="1761"/>
      <c r="AC5" s="1761"/>
      <c r="AD5" s="1761"/>
      <c r="AE5" s="1761"/>
      <c r="AF5" s="1761"/>
      <c r="AG5" s="1761"/>
      <c r="AH5" s="1761"/>
      <c r="AI5" s="1761"/>
      <c r="AJ5" s="1761"/>
      <c r="AK5" s="1761"/>
      <c r="AL5" s="1761"/>
      <c r="AM5" s="1761"/>
      <c r="AN5" s="1761"/>
      <c r="AO5" s="1761"/>
      <c r="AP5" s="1761"/>
      <c r="AQ5" s="1761"/>
      <c r="AR5" s="1761"/>
      <c r="AS5" s="1761"/>
      <c r="AT5" s="1761"/>
      <c r="AU5" s="1761"/>
      <c r="AV5" s="1761"/>
      <c r="AW5" s="1761"/>
      <c r="AX5" s="1761"/>
      <c r="AY5" s="1761"/>
      <c r="AZ5" s="1761"/>
      <c r="BA5" s="1761"/>
      <c r="BB5" s="1761"/>
      <c r="BC5" s="1761"/>
      <c r="BD5" s="1761"/>
      <c r="BE5" s="1761"/>
      <c r="BF5" s="1761"/>
      <c r="BG5" s="1761"/>
      <c r="BH5" s="1761"/>
      <c r="BI5" s="1761"/>
      <c r="BJ5" s="1761"/>
      <c r="BK5" s="1761"/>
      <c r="BL5" s="1761"/>
      <c r="BM5" s="1761"/>
      <c r="BN5" s="1761"/>
      <c r="BO5" s="1761"/>
      <c r="BP5" s="1761"/>
      <c r="BQ5" s="1761"/>
      <c r="BR5" s="1761"/>
      <c r="BS5" s="1761"/>
      <c r="BT5" s="1761"/>
      <c r="BU5" s="1761"/>
      <c r="BV5" s="1761"/>
      <c r="BW5" s="1761"/>
      <c r="BX5" s="1761"/>
      <c r="BY5" s="1761"/>
      <c r="BZ5" s="1761"/>
      <c r="CA5" s="1761"/>
      <c r="CB5" s="1761"/>
      <c r="CC5" s="1761"/>
      <c r="CD5" s="1761"/>
      <c r="CE5" s="1761"/>
      <c r="CF5" s="1761"/>
      <c r="CG5" s="1761"/>
      <c r="CH5" s="1761"/>
      <c r="CI5" s="1761"/>
      <c r="CJ5" s="1761"/>
      <c r="CK5" s="1761"/>
      <c r="CL5" s="1761"/>
      <c r="CM5" s="1761"/>
      <c r="CN5" s="1761"/>
      <c r="CO5" s="1761"/>
      <c r="CP5" s="1761"/>
      <c r="CQ5" s="1761"/>
      <c r="CR5" s="1761"/>
      <c r="CS5" s="1761"/>
      <c r="CT5" s="1761"/>
      <c r="CU5" s="1761"/>
      <c r="CV5" s="1761"/>
      <c r="CW5" s="1761"/>
      <c r="CX5" s="1761"/>
      <c r="CY5" s="1761"/>
      <c r="CZ5" s="1761"/>
      <c r="DA5" s="1761"/>
      <c r="DB5" s="1761"/>
      <c r="DC5" s="1761"/>
      <c r="DD5" s="1761"/>
      <c r="DE5" s="1761"/>
      <c r="DF5" s="1761"/>
      <c r="DG5" s="1761"/>
      <c r="DH5" s="1761"/>
      <c r="DI5" s="1761"/>
      <c r="DJ5" s="1761"/>
      <c r="DK5" s="1761"/>
      <c r="DL5" s="1761"/>
      <c r="DM5" s="1761"/>
      <c r="DN5" s="1761"/>
      <c r="DO5" s="1761"/>
      <c r="DP5" s="1761"/>
      <c r="DQ5" s="1761"/>
      <c r="DR5" s="1761"/>
      <c r="DS5" s="1761"/>
      <c r="DT5" s="1761"/>
      <c r="DU5" s="1761"/>
      <c r="DV5" s="1761"/>
      <c r="DW5" s="1761"/>
      <c r="DX5" s="1761"/>
      <c r="DY5" s="1761"/>
      <c r="DZ5" s="1761"/>
      <c r="EA5" s="1761"/>
      <c r="EB5" s="1761"/>
      <c r="EC5" s="1761"/>
      <c r="ED5" s="1761"/>
      <c r="EE5" s="1761"/>
      <c r="EF5" s="1761"/>
      <c r="EG5" s="1761"/>
      <c r="EH5" s="1761"/>
      <c r="EI5" s="1761"/>
      <c r="EJ5" s="1761"/>
      <c r="EK5" s="1761"/>
      <c r="EL5" s="1761"/>
      <c r="EM5" s="1761"/>
      <c r="EN5" s="1761"/>
      <c r="EO5" s="1761"/>
      <c r="EP5" s="1761"/>
      <c r="EQ5" s="1761"/>
      <c r="ER5" s="1761"/>
      <c r="ES5" s="1761"/>
      <c r="ET5" s="1761"/>
      <c r="EU5" s="1761"/>
      <c r="EV5" s="1761"/>
      <c r="EW5" s="1761"/>
      <c r="EX5" s="1761"/>
      <c r="EY5" s="1761"/>
      <c r="EZ5" s="1761"/>
      <c r="FA5" s="1761"/>
      <c r="FB5" s="1761"/>
      <c r="FC5" s="1761"/>
      <c r="FD5" s="1761"/>
      <c r="FE5" s="1761"/>
      <c r="FF5" s="1761"/>
      <c r="FG5" s="1761"/>
      <c r="FH5" s="1761"/>
      <c r="FI5" s="1761"/>
      <c r="FJ5" s="1761"/>
      <c r="FK5" s="1761"/>
      <c r="FL5" s="1761"/>
      <c r="FM5" s="1761"/>
      <c r="FN5" s="1761"/>
      <c r="FO5" s="1761"/>
      <c r="FP5" s="1761"/>
      <c r="FQ5" s="1761"/>
      <c r="FR5" s="1761"/>
      <c r="FS5" s="1761"/>
      <c r="FT5" s="1761"/>
      <c r="FU5" s="1761"/>
      <c r="FV5" s="1761"/>
      <c r="FW5" s="1761"/>
      <c r="FX5" s="1761"/>
      <c r="FY5" s="1761"/>
      <c r="FZ5" s="1761"/>
      <c r="GA5" s="1761"/>
      <c r="GB5" s="1761"/>
      <c r="GC5" s="1761"/>
      <c r="GD5" s="1761"/>
      <c r="GE5" s="1761"/>
      <c r="GF5" s="1761"/>
      <c r="GG5" s="1761"/>
      <c r="GH5" s="1761"/>
      <c r="GI5" s="1761"/>
      <c r="GJ5" s="1761"/>
      <c r="GK5" s="1761"/>
      <c r="GL5" s="1761"/>
      <c r="GM5" s="1761"/>
      <c r="GN5" s="1761"/>
      <c r="GO5" s="1761"/>
      <c r="GP5" s="1761"/>
      <c r="GQ5" s="1761"/>
      <c r="GR5" s="1761"/>
      <c r="GS5" s="1761"/>
      <c r="GT5" s="1761"/>
      <c r="GU5" s="1761"/>
      <c r="GV5" s="1761"/>
      <c r="GW5" s="1761"/>
      <c r="GX5" s="1761"/>
      <c r="GY5" s="1761"/>
      <c r="GZ5" s="1761"/>
      <c r="HA5" s="1761"/>
      <c r="HB5" s="1761"/>
      <c r="HC5" s="1761"/>
      <c r="HD5" s="1761"/>
      <c r="HE5" s="1761"/>
      <c r="HF5" s="1761"/>
      <c r="HG5" s="1761"/>
      <c r="HH5" s="1761"/>
      <c r="HI5" s="1761"/>
      <c r="HJ5" s="1761"/>
      <c r="HK5" s="1761"/>
      <c r="HL5" s="1761"/>
      <c r="HM5" s="1761"/>
      <c r="HN5" s="1761"/>
      <c r="HO5" s="1761"/>
      <c r="HP5" s="1761"/>
      <c r="HQ5" s="1761"/>
      <c r="HR5" s="1761"/>
      <c r="HS5" s="1761"/>
      <c r="HT5" s="1761"/>
      <c r="HU5" s="1761"/>
      <c r="HV5" s="1761"/>
      <c r="HW5" s="1761"/>
      <c r="HX5" s="1761"/>
      <c r="HY5" s="1761"/>
      <c r="HZ5" s="1761"/>
      <c r="IA5" s="1761"/>
      <c r="IB5" s="1761"/>
      <c r="IC5" s="1761"/>
      <c r="ID5" s="1761"/>
      <c r="IE5" s="1761"/>
      <c r="IF5" s="1761"/>
      <c r="IG5" s="1761"/>
      <c r="IH5" s="1761"/>
      <c r="II5" s="1761"/>
      <c r="IJ5" s="1761"/>
      <c r="IK5" s="1761"/>
      <c r="IL5" s="1761"/>
      <c r="IM5" s="1761"/>
      <c r="IN5" s="1761"/>
      <c r="IO5" s="1761"/>
      <c r="IP5" s="1761"/>
      <c r="IQ5" s="1761"/>
      <c r="IR5" s="1761"/>
      <c r="IS5" s="1761"/>
      <c r="IT5" s="1761"/>
      <c r="IU5" s="1761"/>
      <c r="IV5" s="1761"/>
      <c r="IW5" s="1761"/>
      <c r="IX5" s="1761"/>
      <c r="IY5" s="1761"/>
      <c r="LB5" s="330"/>
      <c r="LC5" s="330"/>
      <c r="LD5" s="330"/>
      <c r="LE5" s="330"/>
      <c r="LF5" s="330"/>
      <c r="LG5" s="330"/>
      <c r="LH5" s="330"/>
      <c r="LI5" s="330"/>
      <c r="LJ5" s="330"/>
      <c r="LK5" s="330"/>
      <c r="LL5" s="330"/>
      <c r="LM5" s="330"/>
      <c r="LN5" s="330"/>
      <c r="LO5" s="330"/>
      <c r="LP5" s="330"/>
      <c r="LQ5" s="330"/>
      <c r="LR5" s="330"/>
      <c r="LS5" s="330"/>
      <c r="LT5" s="330"/>
      <c r="LU5" s="330"/>
      <c r="LV5" s="330"/>
      <c r="LW5" s="330"/>
      <c r="LX5" s="330"/>
      <c r="LY5" s="330"/>
      <c r="LZ5" s="330"/>
      <c r="MA5" s="330"/>
      <c r="MB5" s="330"/>
      <c r="MC5" s="330"/>
      <c r="MD5" s="330"/>
      <c r="ME5" s="330"/>
      <c r="MF5" s="330"/>
      <c r="MG5" s="330"/>
      <c r="MH5" s="330"/>
      <c r="MI5" s="330"/>
      <c r="MJ5" s="330"/>
      <c r="MK5" s="330"/>
      <c r="ML5" s="330"/>
      <c r="MM5" s="330"/>
      <c r="MN5" s="330"/>
      <c r="MO5" s="330"/>
      <c r="MP5" s="330"/>
      <c r="MQ5" s="330"/>
      <c r="MR5" s="330"/>
      <c r="MS5" s="330"/>
      <c r="MT5" s="330"/>
      <c r="MU5" s="330"/>
      <c r="MV5" s="330"/>
      <c r="MW5" s="330"/>
      <c r="MX5" s="330"/>
      <c r="MY5" s="330"/>
      <c r="MZ5" s="330"/>
      <c r="NA5" s="330"/>
      <c r="NB5" s="330"/>
      <c r="NC5" s="330"/>
      <c r="ND5" s="330"/>
      <c r="NE5" s="330"/>
      <c r="NF5" s="330"/>
      <c r="NG5" s="330"/>
      <c r="NH5" s="330"/>
      <c r="NI5" s="330"/>
      <c r="NJ5" s="330"/>
      <c r="NK5" s="330"/>
      <c r="NL5" s="330"/>
      <c r="NM5" s="330"/>
      <c r="NN5" s="330"/>
      <c r="NO5" s="330"/>
      <c r="NP5" s="330"/>
      <c r="NQ5" s="330"/>
      <c r="NR5" s="330"/>
      <c r="NS5" s="330"/>
      <c r="NT5" s="330"/>
      <c r="NU5" s="330"/>
      <c r="NV5" s="330"/>
      <c r="NW5" s="330"/>
      <c r="NX5" s="330"/>
      <c r="NY5" s="330"/>
      <c r="NZ5" s="330"/>
      <c r="OA5" s="330"/>
      <c r="OB5" s="330"/>
      <c r="OC5" s="330"/>
      <c r="OD5" s="330"/>
      <c r="OE5" s="330"/>
      <c r="OF5" s="330"/>
      <c r="OG5" s="330"/>
      <c r="OH5" s="330"/>
      <c r="OI5" s="330"/>
      <c r="OJ5" s="330"/>
      <c r="OK5" s="330"/>
      <c r="OL5" s="330"/>
      <c r="OM5" s="330"/>
      <c r="ON5" s="330"/>
      <c r="OO5" s="330"/>
      <c r="OP5" s="330"/>
      <c r="OQ5" s="330"/>
      <c r="OR5" s="330"/>
      <c r="OS5" s="330"/>
      <c r="OT5" s="330"/>
      <c r="OU5" s="330"/>
      <c r="OV5" s="330"/>
      <c r="OW5" s="330"/>
      <c r="OX5" s="330"/>
      <c r="OY5" s="330"/>
      <c r="OZ5" s="330"/>
      <c r="PA5" s="330"/>
      <c r="PB5" s="330"/>
      <c r="PC5" s="330"/>
      <c r="PD5" s="330"/>
      <c r="PE5" s="330"/>
      <c r="PF5" s="330"/>
      <c r="PG5" s="330"/>
      <c r="PH5" s="330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  <c r="QT5" s="74"/>
      <c r="QU5" s="74"/>
      <c r="QV5" s="74"/>
      <c r="QW5" s="74"/>
      <c r="QX5" s="74"/>
      <c r="QY5" s="74"/>
      <c r="QZ5" s="74"/>
      <c r="RA5" s="74"/>
      <c r="RB5" s="74"/>
      <c r="RC5" s="74"/>
      <c r="RD5" s="74"/>
      <c r="RE5" s="74"/>
      <c r="RF5" s="74"/>
    </row>
    <row r="6" spans="1:665" s="76" customFormat="1" ht="28.5" customHeight="1" thickBot="1">
      <c r="B6" s="56" t="s">
        <v>56</v>
      </c>
      <c r="C6" s="56"/>
      <c r="D6" s="56"/>
      <c r="E6" s="1694"/>
      <c r="F6" s="1761"/>
      <c r="G6" s="1761"/>
      <c r="H6" s="1761"/>
      <c r="I6" s="1761"/>
      <c r="J6" s="1761"/>
      <c r="K6" s="1761"/>
      <c r="L6" s="1761"/>
      <c r="M6" s="1761"/>
      <c r="N6" s="1761"/>
      <c r="O6" s="1761"/>
      <c r="P6" s="1761"/>
      <c r="Q6" s="1761"/>
      <c r="AF6" s="2118" t="s">
        <v>989</v>
      </c>
      <c r="AG6" s="2119"/>
      <c r="AH6" s="2119"/>
      <c r="AI6" s="2119"/>
      <c r="AJ6" s="2119"/>
      <c r="AK6" s="2120"/>
      <c r="AL6" s="2497" t="s">
        <v>988</v>
      </c>
      <c r="AM6" s="2498"/>
      <c r="AN6" s="2498"/>
      <c r="AO6" s="2498"/>
      <c r="AP6" s="2498"/>
      <c r="AQ6" s="2498"/>
      <c r="AR6" s="2498"/>
      <c r="AS6" s="2498"/>
      <c r="AT6" s="2498"/>
      <c r="AU6" s="2498"/>
      <c r="AV6" s="2498"/>
      <c r="AW6" s="2498"/>
      <c r="AX6" s="2498"/>
      <c r="AY6" s="2498"/>
      <c r="AZ6" s="2498"/>
      <c r="BA6" s="2498"/>
      <c r="BB6" s="2498"/>
      <c r="BC6" s="2498"/>
      <c r="BD6" s="2498"/>
      <c r="BE6" s="2498"/>
      <c r="BF6" s="2499"/>
      <c r="BZ6" s="2118" t="s">
        <v>993</v>
      </c>
      <c r="CA6" s="2119"/>
      <c r="CB6" s="2119"/>
      <c r="CC6" s="2119"/>
      <c r="CD6" s="2119"/>
      <c r="CE6" s="2120"/>
      <c r="CF6" s="2497" t="s">
        <v>992</v>
      </c>
      <c r="CG6" s="2498"/>
      <c r="CH6" s="2498"/>
      <c r="CI6" s="2498"/>
      <c r="CJ6" s="2498"/>
      <c r="CK6" s="2498"/>
      <c r="CL6" s="2498"/>
      <c r="CM6" s="2498"/>
      <c r="CN6" s="2498"/>
      <c r="CO6" s="2498"/>
      <c r="CP6" s="2498"/>
      <c r="CQ6" s="2498"/>
      <c r="CR6" s="2498"/>
      <c r="CS6" s="2498"/>
      <c r="CT6" s="2498"/>
      <c r="CU6" s="2498"/>
      <c r="CV6" s="2498"/>
      <c r="CW6" s="2498"/>
      <c r="CX6" s="2499"/>
      <c r="JX6" s="1762"/>
      <c r="JY6" s="1762"/>
      <c r="JZ6" s="1762"/>
      <c r="KA6" s="1762"/>
      <c r="KB6" s="1762"/>
      <c r="KC6" s="1762"/>
      <c r="KD6" s="1762"/>
      <c r="KE6" s="1762"/>
      <c r="KF6" s="1762"/>
      <c r="KG6" s="1762"/>
      <c r="KH6" s="1762"/>
      <c r="KI6" s="1762"/>
      <c r="KJ6" s="1762"/>
      <c r="KK6" s="1762"/>
      <c r="KL6" s="1762"/>
      <c r="KM6" s="1762"/>
      <c r="KN6" s="1762"/>
      <c r="KO6" s="1762"/>
      <c r="KP6" s="1762"/>
      <c r="KQ6" s="1762"/>
      <c r="KR6" s="1762"/>
      <c r="KS6" s="1762"/>
      <c r="KT6" s="1762"/>
      <c r="KU6" s="1762"/>
      <c r="KV6" s="1762"/>
      <c r="KW6" s="1762"/>
      <c r="KX6" s="1762"/>
      <c r="KY6" s="1762"/>
      <c r="KZ6" s="1762"/>
      <c r="LA6" s="1762"/>
      <c r="LB6" s="1762"/>
      <c r="LC6" s="1762"/>
      <c r="LD6" s="1762"/>
      <c r="LE6" s="1762"/>
      <c r="LF6" s="1762"/>
      <c r="LG6" s="1762"/>
      <c r="LH6" s="1762"/>
      <c r="LI6" s="1762"/>
      <c r="LJ6" s="1762"/>
      <c r="LK6" s="1762"/>
      <c r="LL6" s="1762"/>
      <c r="LM6" s="1762"/>
      <c r="LN6" s="1762"/>
      <c r="LO6" s="1762"/>
      <c r="LP6" s="1762"/>
      <c r="LQ6" s="1762"/>
      <c r="LR6" s="1762"/>
      <c r="LS6" s="1762"/>
      <c r="LT6" s="1762"/>
      <c r="LU6" s="1762"/>
      <c r="LV6" s="1762"/>
      <c r="LW6" s="1762"/>
      <c r="LX6" s="1762"/>
      <c r="LY6" s="1762"/>
      <c r="LZ6" s="1762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  <c r="MW6" s="74"/>
      <c r="MX6" s="74"/>
      <c r="MY6" s="74"/>
      <c r="MZ6" s="74"/>
      <c r="NA6" s="74"/>
      <c r="NB6" s="74"/>
      <c r="NC6" s="74"/>
      <c r="ND6" s="74"/>
      <c r="NE6" s="74"/>
      <c r="NF6" s="74"/>
      <c r="NG6" s="74"/>
      <c r="NH6" s="74"/>
      <c r="NI6" s="74"/>
      <c r="NJ6" s="74"/>
      <c r="NK6" s="74"/>
    </row>
    <row r="7" spans="1:665" s="1726" customFormat="1" ht="37.5" customHeight="1" thickBot="1">
      <c r="B7" s="56"/>
      <c r="C7" s="56"/>
      <c r="D7" s="56"/>
      <c r="E7" s="1697"/>
      <c r="F7" s="1762"/>
      <c r="G7" s="1762"/>
      <c r="H7" s="1762"/>
      <c r="I7" s="1762"/>
      <c r="J7" s="1762"/>
      <c r="K7" s="1762"/>
      <c r="L7" s="1762"/>
      <c r="M7" s="1762"/>
      <c r="N7" s="1761"/>
      <c r="O7" s="1761"/>
      <c r="P7" s="1761"/>
      <c r="Q7" s="1761"/>
      <c r="R7" s="1761"/>
      <c r="S7" s="1761"/>
      <c r="T7" s="1761"/>
      <c r="U7" s="1761"/>
      <c r="V7" s="1761"/>
      <c r="W7" s="1761"/>
      <c r="X7" s="1761"/>
      <c r="Y7" s="1761"/>
      <c r="Z7" s="1761"/>
      <c r="AA7" s="1761"/>
      <c r="AB7" s="1761"/>
      <c r="AC7" s="1761"/>
      <c r="AD7" s="1761"/>
      <c r="AE7" s="1761"/>
      <c r="AF7" s="2121" t="s">
        <v>779</v>
      </c>
      <c r="AG7" s="2122"/>
      <c r="AH7" s="2122"/>
      <c r="AI7" s="2122"/>
      <c r="AJ7" s="2122"/>
      <c r="AK7" s="2122"/>
      <c r="AL7" s="2122"/>
      <c r="AM7" s="2122"/>
      <c r="AN7" s="2122"/>
      <c r="AO7" s="2122"/>
      <c r="AP7" s="2122"/>
      <c r="AQ7" s="2123"/>
      <c r="AR7" s="2124" t="s">
        <v>780</v>
      </c>
      <c r="AS7" s="2125"/>
      <c r="AT7" s="2125"/>
      <c r="AU7" s="2126"/>
      <c r="AV7" s="2127" t="s">
        <v>781</v>
      </c>
      <c r="AW7" s="2128"/>
      <c r="AX7" s="2128"/>
      <c r="AY7" s="2128"/>
      <c r="AZ7" s="2128"/>
      <c r="BA7" s="2128"/>
      <c r="BB7" s="2130" t="s">
        <v>782</v>
      </c>
      <c r="BC7" s="2131"/>
      <c r="BD7" s="2132"/>
      <c r="BE7" s="2133"/>
      <c r="BF7" s="2134"/>
      <c r="BG7" s="1761"/>
      <c r="BH7" s="1761"/>
      <c r="BI7" s="1761"/>
      <c r="BJ7" s="1761"/>
      <c r="BK7" s="1761"/>
      <c r="BL7" s="1761"/>
      <c r="BM7" s="1761"/>
      <c r="BN7" s="1761"/>
      <c r="BO7" s="1761"/>
      <c r="BP7" s="1761"/>
      <c r="BQ7" s="1761"/>
      <c r="BR7" s="1761"/>
      <c r="BS7" s="1761"/>
      <c r="BT7" s="1761"/>
      <c r="BU7" s="1761"/>
      <c r="BV7" s="1761"/>
      <c r="BW7" s="1761"/>
      <c r="BX7" s="1761"/>
      <c r="BY7" s="1761"/>
      <c r="BZ7" s="2121" t="s">
        <v>779</v>
      </c>
      <c r="CA7" s="2122"/>
      <c r="CB7" s="2122"/>
      <c r="CC7" s="2122"/>
      <c r="CD7" s="2122"/>
      <c r="CE7" s="2122"/>
      <c r="CF7" s="2122"/>
      <c r="CG7" s="2122"/>
      <c r="CH7" s="2123"/>
      <c r="CI7" s="2124" t="s">
        <v>780</v>
      </c>
      <c r="CJ7" s="2125"/>
      <c r="CK7" s="2125"/>
      <c r="CL7" s="2126"/>
      <c r="CM7" s="2127" t="s">
        <v>781</v>
      </c>
      <c r="CN7" s="2128"/>
      <c r="CO7" s="2128"/>
      <c r="CP7" s="2128"/>
      <c r="CQ7" s="2128"/>
      <c r="CR7" s="2128"/>
      <c r="CS7" s="2129"/>
      <c r="CT7" s="2130" t="s">
        <v>782</v>
      </c>
      <c r="CU7" s="2131"/>
      <c r="CV7" s="2132"/>
      <c r="CW7" s="2133"/>
      <c r="CX7" s="2134"/>
      <c r="CY7" s="1761"/>
      <c r="CZ7" s="1761"/>
      <c r="DA7" s="1761"/>
      <c r="DB7" s="1761"/>
      <c r="DC7" s="1761"/>
      <c r="DD7" s="1761"/>
      <c r="DE7" s="1761"/>
      <c r="DF7" s="1761"/>
      <c r="DG7" s="1761"/>
      <c r="DH7" s="1761"/>
      <c r="DI7" s="1761"/>
      <c r="DJ7" s="1761"/>
      <c r="DK7" s="1761"/>
      <c r="DL7" s="1761"/>
      <c r="DM7" s="1761"/>
      <c r="DN7" s="1761"/>
      <c r="DO7" s="1761"/>
      <c r="DP7" s="1761"/>
      <c r="DQ7" s="1761"/>
      <c r="DR7" s="1761"/>
      <c r="DS7" s="1761"/>
      <c r="DT7" s="1761"/>
      <c r="DU7" s="1761"/>
      <c r="DV7" s="1761"/>
      <c r="DW7" s="1761"/>
      <c r="DX7" s="1761"/>
      <c r="DY7" s="1761"/>
      <c r="DZ7" s="1761"/>
      <c r="EA7" s="1761"/>
      <c r="EB7" s="1761"/>
      <c r="EC7" s="1761"/>
      <c r="ED7" s="1761"/>
      <c r="EE7" s="1761"/>
      <c r="EF7" s="1761"/>
      <c r="EG7" s="1761"/>
      <c r="EH7" s="1761"/>
      <c r="EI7" s="1761"/>
      <c r="EJ7" s="1761"/>
      <c r="EK7" s="1761"/>
      <c r="EL7" s="1761"/>
      <c r="EM7" s="1761"/>
      <c r="EN7" s="1761"/>
      <c r="EO7" s="1761"/>
      <c r="EP7" s="1761"/>
      <c r="EQ7" s="1761"/>
      <c r="ER7" s="1761"/>
      <c r="ES7" s="1761"/>
      <c r="ET7" s="1761"/>
      <c r="EU7" s="1761"/>
      <c r="EV7" s="1761"/>
      <c r="EW7" s="1761"/>
      <c r="EX7" s="1761"/>
      <c r="EY7" s="1761"/>
      <c r="EZ7" s="1761"/>
      <c r="FA7" s="1761"/>
      <c r="FB7" s="1761"/>
      <c r="FC7" s="1761"/>
      <c r="FD7" s="1761"/>
      <c r="FE7" s="1761"/>
      <c r="FF7" s="1761"/>
      <c r="FG7" s="1761"/>
      <c r="FH7" s="1761"/>
      <c r="FI7" s="1761"/>
      <c r="FJ7" s="1761"/>
      <c r="FK7" s="1761"/>
      <c r="FL7" s="1761"/>
      <c r="FM7" s="1761"/>
      <c r="FN7" s="1761"/>
      <c r="FO7" s="1761"/>
      <c r="FP7" s="1761"/>
      <c r="FQ7" s="1761"/>
      <c r="FR7" s="1761"/>
      <c r="FS7" s="1761"/>
      <c r="FT7" s="1761"/>
      <c r="FU7" s="1761"/>
      <c r="FV7" s="1761"/>
      <c r="FW7" s="1761"/>
      <c r="FX7" s="1761"/>
      <c r="FY7" s="1761"/>
      <c r="FZ7" s="1761"/>
      <c r="GA7" s="1761"/>
      <c r="GB7" s="1761"/>
      <c r="GC7" s="1761"/>
      <c r="GD7" s="1761"/>
      <c r="GE7" s="1761"/>
      <c r="GF7" s="1761"/>
      <c r="GG7" s="1761"/>
      <c r="GH7" s="1761"/>
      <c r="GI7" s="1761"/>
      <c r="GJ7" s="1761"/>
      <c r="GK7" s="1761"/>
      <c r="GL7" s="1761"/>
      <c r="GM7" s="1761"/>
      <c r="GN7" s="1761"/>
      <c r="GO7" s="1761"/>
      <c r="GP7" s="1761"/>
      <c r="GQ7" s="1761"/>
      <c r="GR7" s="1761"/>
      <c r="GS7" s="1761"/>
      <c r="GT7" s="1761"/>
      <c r="GU7" s="1761"/>
      <c r="GV7" s="1761"/>
      <c r="GW7" s="1761"/>
      <c r="GX7" s="1761"/>
      <c r="GY7" s="1761"/>
      <c r="GZ7" s="1761"/>
      <c r="HA7" s="1761"/>
      <c r="HB7" s="1761"/>
      <c r="HC7" s="1761"/>
      <c r="HD7" s="1761"/>
      <c r="HE7" s="1761"/>
      <c r="HF7" s="1761"/>
      <c r="HG7" s="1761"/>
      <c r="HH7" s="1761"/>
      <c r="HI7" s="1761"/>
      <c r="HJ7" s="1761"/>
      <c r="HK7" s="1761"/>
      <c r="HL7" s="1761"/>
      <c r="HM7" s="1761"/>
      <c r="HN7" s="1761"/>
      <c r="HO7" s="1761"/>
      <c r="HP7" s="1761"/>
      <c r="HQ7" s="1761"/>
      <c r="HR7" s="1761"/>
      <c r="HS7" s="1761"/>
      <c r="HT7" s="1761"/>
      <c r="HU7" s="1761"/>
      <c r="HV7" s="1761"/>
      <c r="HW7" s="1761"/>
      <c r="HX7" s="1761"/>
      <c r="HY7" s="1761"/>
      <c r="HZ7" s="1761"/>
      <c r="IA7" s="1761"/>
      <c r="IB7" s="1761"/>
      <c r="IC7" s="1761"/>
      <c r="ID7" s="1761"/>
      <c r="IE7" s="1761"/>
      <c r="IF7" s="1761"/>
      <c r="IG7" s="1761"/>
      <c r="IH7" s="1761"/>
      <c r="II7" s="1761"/>
      <c r="IJ7" s="1761"/>
      <c r="IK7" s="1761"/>
      <c r="IL7" s="1761"/>
      <c r="IM7" s="1761"/>
      <c r="IN7" s="1761"/>
      <c r="IO7" s="1761"/>
      <c r="IP7" s="1761"/>
      <c r="IQ7" s="1761"/>
      <c r="IR7" s="1761"/>
      <c r="IS7" s="1761"/>
      <c r="IT7" s="1761"/>
      <c r="IU7" s="1761"/>
      <c r="IV7" s="1761"/>
      <c r="IW7" s="1761"/>
      <c r="IX7" s="1761"/>
      <c r="IY7" s="1761"/>
      <c r="IZ7" s="1761"/>
      <c r="JA7" s="1762"/>
      <c r="JB7" s="1762"/>
      <c r="JC7" s="1762"/>
      <c r="JD7" s="1762"/>
      <c r="JE7" s="1762"/>
      <c r="JF7" s="1762"/>
      <c r="JG7" s="1762"/>
      <c r="JH7" s="1762"/>
      <c r="JI7" s="1762"/>
      <c r="JJ7" s="1762"/>
      <c r="JK7" s="1762"/>
      <c r="JL7" s="1762"/>
      <c r="JM7" s="1762"/>
      <c r="JN7" s="1762"/>
      <c r="JO7" s="1762"/>
      <c r="JP7" s="1762"/>
      <c r="JQ7" s="1762"/>
      <c r="JR7" s="1762"/>
      <c r="JS7" s="1762"/>
      <c r="JT7" s="1762"/>
      <c r="JU7" s="1762"/>
      <c r="JV7" s="1762"/>
      <c r="JW7" s="1762"/>
      <c r="JX7" s="1762"/>
      <c r="JY7" s="1762"/>
      <c r="JZ7" s="1762"/>
      <c r="KA7" s="1762"/>
      <c r="KB7" s="1762"/>
      <c r="KC7" s="1762"/>
      <c r="KD7" s="1762"/>
      <c r="KE7" s="1762"/>
      <c r="KF7" s="1762"/>
      <c r="KG7" s="1762"/>
      <c r="KH7" s="1762"/>
      <c r="KI7" s="1762"/>
      <c r="KJ7" s="1762"/>
      <c r="KK7" s="1762"/>
      <c r="KL7" s="1762"/>
      <c r="KM7" s="1762"/>
      <c r="KN7" s="1762"/>
      <c r="KO7" s="1762"/>
      <c r="KP7" s="1762"/>
      <c r="KQ7" s="1762"/>
      <c r="KR7" s="1762"/>
      <c r="KS7" s="1762"/>
      <c r="KT7" s="1762"/>
      <c r="KU7" s="1762"/>
      <c r="KV7" s="1762"/>
      <c r="KW7" s="1762"/>
      <c r="KX7" s="1762"/>
      <c r="KY7" s="1762"/>
      <c r="KZ7" s="1762"/>
      <c r="LA7" s="1762"/>
      <c r="LB7" s="1762"/>
      <c r="LC7" s="1762"/>
      <c r="LD7" s="1762"/>
      <c r="LE7" s="1762"/>
      <c r="LF7" s="1762"/>
      <c r="LG7" s="1762"/>
      <c r="LH7" s="1762"/>
      <c r="LI7" s="1762"/>
      <c r="LJ7" s="1762"/>
      <c r="LK7" s="1762"/>
      <c r="LL7" s="1762"/>
      <c r="LM7" s="1762"/>
      <c r="LN7" s="1762"/>
      <c r="LO7" s="1762"/>
      <c r="LP7" s="1762"/>
      <c r="LQ7" s="1762"/>
      <c r="LR7" s="1762"/>
      <c r="LS7" s="1762"/>
      <c r="LT7" s="1762"/>
      <c r="LU7" s="1762"/>
      <c r="LV7" s="1762"/>
      <c r="LW7" s="1762"/>
      <c r="LX7" s="1762"/>
      <c r="LY7" s="1762"/>
      <c r="LZ7" s="1762"/>
    </row>
    <row r="8" spans="1:665" s="1671" customFormat="1" ht="35.1" customHeight="1">
      <c r="B8" s="1672"/>
      <c r="C8" s="1672"/>
      <c r="D8" s="1673"/>
      <c r="E8" s="1697" t="s">
        <v>873</v>
      </c>
      <c r="F8" s="1762"/>
      <c r="G8" s="1762"/>
      <c r="H8" s="1762"/>
      <c r="I8" s="1762"/>
      <c r="J8" s="1762"/>
      <c r="K8" s="1762"/>
      <c r="L8" s="1762"/>
      <c r="M8" s="1762"/>
      <c r="N8" s="1761"/>
      <c r="O8" s="1761"/>
      <c r="P8" s="1761"/>
      <c r="Q8" s="1761"/>
      <c r="R8" s="1761"/>
      <c r="S8" s="1761"/>
      <c r="T8" s="1761"/>
      <c r="U8" s="1761"/>
      <c r="V8" s="1761"/>
      <c r="W8" s="1761"/>
      <c r="X8" s="1761"/>
      <c r="Y8" s="1761"/>
      <c r="Z8" s="1761"/>
      <c r="AA8" s="1761"/>
      <c r="AB8" s="1761"/>
      <c r="AC8" s="1761"/>
      <c r="AD8" s="1761"/>
      <c r="AE8" s="1761"/>
      <c r="AF8" s="1835">
        <v>1100</v>
      </c>
      <c r="AG8" s="1835">
        <v>1100</v>
      </c>
      <c r="AH8" s="1835">
        <v>1100</v>
      </c>
      <c r="AI8" s="1835">
        <v>1100</v>
      </c>
      <c r="AJ8" s="1835">
        <v>1100</v>
      </c>
      <c r="AK8" s="1835">
        <v>1100</v>
      </c>
      <c r="AL8" s="1836"/>
      <c r="AM8" s="1836"/>
      <c r="AN8" s="1836"/>
      <c r="AO8" s="1836"/>
      <c r="AP8" s="1836"/>
      <c r="AQ8" s="1836"/>
      <c r="AR8" s="1836"/>
      <c r="AS8" s="1836"/>
      <c r="AT8" s="1836"/>
      <c r="AU8" s="1836"/>
      <c r="AV8" s="1836"/>
      <c r="AW8" s="1836"/>
      <c r="AX8" s="1836"/>
      <c r="AY8" s="1836"/>
      <c r="AZ8" s="1836"/>
      <c r="BA8" s="1836"/>
      <c r="BB8" s="1836"/>
      <c r="BC8" s="1836"/>
      <c r="BD8" s="1836"/>
      <c r="BE8" s="1836"/>
      <c r="BF8" s="1837"/>
      <c r="BG8" s="1761"/>
      <c r="BH8" s="1761"/>
      <c r="BI8" s="1761"/>
      <c r="BJ8" s="1761"/>
      <c r="BK8" s="1761"/>
      <c r="BL8" s="1761"/>
      <c r="BM8" s="1761"/>
      <c r="BN8" s="1761"/>
      <c r="BO8" s="1761"/>
      <c r="BP8" s="1761"/>
      <c r="BQ8" s="1761"/>
      <c r="BR8" s="1761"/>
      <c r="BS8" s="1761"/>
      <c r="BT8" s="1761"/>
      <c r="BU8" s="1761"/>
      <c r="BV8" s="1761"/>
      <c r="BW8" s="1761"/>
      <c r="BX8" s="1761"/>
      <c r="BY8" s="1761"/>
      <c r="BZ8" s="1835">
        <v>1100</v>
      </c>
      <c r="CA8" s="1835">
        <v>1100</v>
      </c>
      <c r="CB8" s="1835">
        <v>1100</v>
      </c>
      <c r="CC8" s="1835">
        <v>1100</v>
      </c>
      <c r="CD8" s="1835">
        <v>1100</v>
      </c>
      <c r="CE8" s="1835">
        <v>1100</v>
      </c>
      <c r="CF8" s="1836"/>
      <c r="CG8" s="1836"/>
      <c r="CH8" s="1836"/>
      <c r="CI8" s="1836"/>
      <c r="CJ8" s="1836"/>
      <c r="CK8" s="1836"/>
      <c r="CL8" s="1836"/>
      <c r="CM8" s="1836"/>
      <c r="CN8" s="1836"/>
      <c r="CO8" s="1836"/>
      <c r="CP8" s="1836"/>
      <c r="CQ8" s="1836"/>
      <c r="CR8" s="1836"/>
      <c r="CS8" s="1836"/>
      <c r="CT8" s="1836"/>
      <c r="CU8" s="1836"/>
      <c r="CV8" s="1836"/>
      <c r="CW8" s="1836"/>
      <c r="CX8" s="1836"/>
      <c r="CY8" s="1761"/>
      <c r="CZ8" s="1761"/>
      <c r="DA8" s="1761"/>
      <c r="DB8" s="1761"/>
      <c r="DC8" s="1761"/>
      <c r="DD8" s="1761"/>
      <c r="DE8" s="1761"/>
      <c r="DF8" s="1761"/>
      <c r="DG8" s="1761"/>
      <c r="DH8" s="1761"/>
      <c r="DI8" s="1761"/>
      <c r="DJ8" s="1761"/>
      <c r="DK8" s="1761"/>
      <c r="DL8" s="1761"/>
      <c r="DM8" s="1761"/>
      <c r="DN8" s="1761"/>
      <c r="DO8" s="1761"/>
      <c r="DP8" s="1761"/>
      <c r="DQ8" s="1761"/>
      <c r="DR8" s="1761"/>
      <c r="DS8" s="1761"/>
      <c r="DT8" s="1761"/>
      <c r="DU8" s="1761"/>
      <c r="DV8" s="1761"/>
      <c r="DW8" s="1761"/>
      <c r="DX8" s="1761"/>
      <c r="DY8" s="1761"/>
      <c r="DZ8" s="1761"/>
      <c r="EA8" s="1761"/>
      <c r="EB8" s="1761"/>
      <c r="EC8" s="1761"/>
      <c r="ED8" s="1761"/>
      <c r="EE8" s="1761"/>
      <c r="EF8" s="1761"/>
      <c r="EG8" s="1761"/>
      <c r="EH8" s="1761"/>
      <c r="EI8" s="1761"/>
      <c r="EJ8" s="1761"/>
      <c r="EK8" s="1761"/>
      <c r="EL8" s="1761"/>
      <c r="EM8" s="1761"/>
      <c r="EN8" s="1761"/>
      <c r="EO8" s="1761"/>
      <c r="EP8" s="1761"/>
      <c r="EQ8" s="1761"/>
      <c r="ER8" s="1761"/>
      <c r="ES8" s="1761"/>
      <c r="ET8" s="1761"/>
      <c r="EU8" s="1761"/>
      <c r="EV8" s="1761"/>
      <c r="EW8" s="1761"/>
      <c r="EX8" s="1761"/>
      <c r="EY8" s="1761"/>
      <c r="EZ8" s="1761"/>
      <c r="FA8" s="1761"/>
      <c r="FB8" s="1761"/>
      <c r="FC8" s="1761"/>
      <c r="FD8" s="1761"/>
      <c r="FE8" s="1761"/>
      <c r="FF8" s="1761"/>
      <c r="FG8" s="1761"/>
      <c r="FH8" s="1761"/>
      <c r="FI8" s="1761"/>
      <c r="FJ8" s="1761"/>
      <c r="FK8" s="1761"/>
      <c r="FL8" s="1761"/>
      <c r="FM8" s="1761"/>
      <c r="FN8" s="1761"/>
      <c r="FO8" s="1761"/>
      <c r="FP8" s="1761"/>
      <c r="FQ8" s="1761"/>
      <c r="FR8" s="1761"/>
      <c r="FS8" s="1761"/>
      <c r="FT8" s="1761"/>
      <c r="FU8" s="1761"/>
      <c r="FV8" s="1761"/>
      <c r="FW8" s="1761"/>
      <c r="FX8" s="1761"/>
      <c r="FY8" s="1761"/>
      <c r="FZ8" s="1761"/>
      <c r="GA8" s="1761"/>
      <c r="GB8" s="1761"/>
      <c r="GC8" s="1761"/>
      <c r="GD8" s="1761"/>
      <c r="GE8" s="1761"/>
      <c r="GF8" s="1761"/>
      <c r="GG8" s="1761"/>
      <c r="GH8" s="1761"/>
      <c r="GI8" s="1761"/>
      <c r="GJ8" s="1761"/>
      <c r="GK8" s="1761"/>
      <c r="GL8" s="1761"/>
      <c r="GM8" s="1761"/>
      <c r="GN8" s="1761"/>
      <c r="GO8" s="1761"/>
      <c r="GP8" s="1761"/>
      <c r="GQ8" s="1761"/>
      <c r="GR8" s="1761"/>
      <c r="GS8" s="1761"/>
      <c r="GT8" s="1761"/>
      <c r="GU8" s="1761"/>
      <c r="GV8" s="1761"/>
      <c r="GW8" s="1761"/>
      <c r="GX8" s="1761"/>
      <c r="GY8" s="1761"/>
      <c r="GZ8" s="1761"/>
      <c r="HA8" s="1761"/>
      <c r="HB8" s="1761"/>
      <c r="HC8" s="1761"/>
      <c r="HD8" s="1761"/>
      <c r="HE8" s="1761"/>
      <c r="HF8" s="1761"/>
      <c r="HG8" s="1761"/>
      <c r="HH8" s="1761"/>
      <c r="HI8" s="1761"/>
      <c r="HJ8" s="1761"/>
      <c r="HK8" s="1761"/>
      <c r="HL8" s="1761"/>
      <c r="HM8" s="1761"/>
      <c r="HN8" s="1761"/>
      <c r="HO8" s="1761"/>
      <c r="HP8" s="1761"/>
      <c r="HQ8" s="1761"/>
      <c r="HR8" s="1761"/>
      <c r="HS8" s="1761"/>
      <c r="HT8" s="1761"/>
      <c r="HU8" s="1761"/>
      <c r="HV8" s="1761"/>
      <c r="HW8" s="1761"/>
      <c r="HX8" s="1761"/>
      <c r="HY8" s="1761"/>
      <c r="HZ8" s="1761"/>
      <c r="IA8" s="1761"/>
      <c r="IB8" s="1761"/>
      <c r="IC8" s="1761"/>
      <c r="ID8" s="1761"/>
      <c r="IE8" s="1761"/>
      <c r="IF8" s="1761"/>
      <c r="IG8" s="1761"/>
      <c r="IH8" s="1761"/>
      <c r="II8" s="1761"/>
      <c r="IJ8" s="1761"/>
      <c r="IK8" s="1761"/>
      <c r="IL8" s="1761"/>
      <c r="IM8" s="1761"/>
      <c r="IN8" s="1761"/>
      <c r="IO8" s="1761"/>
      <c r="IP8" s="1761"/>
      <c r="IQ8" s="1761"/>
      <c r="IR8" s="1761"/>
      <c r="IS8" s="1761"/>
      <c r="IT8" s="1761"/>
      <c r="IU8" s="1761"/>
      <c r="IV8" s="1761"/>
      <c r="IW8" s="1761"/>
      <c r="IX8" s="1761"/>
      <c r="IY8" s="1761"/>
      <c r="IZ8" s="1761"/>
      <c r="JA8" s="1762"/>
      <c r="JB8" s="1762"/>
      <c r="JC8" s="1762"/>
      <c r="JD8" s="1762"/>
      <c r="JE8" s="1762"/>
      <c r="JF8" s="1762"/>
      <c r="JG8" s="1762"/>
      <c r="JH8" s="1762"/>
      <c r="JI8" s="1762"/>
      <c r="JJ8" s="1762"/>
      <c r="JK8" s="1762"/>
      <c r="JL8" s="1762"/>
      <c r="JM8" s="1762"/>
      <c r="JN8" s="1762"/>
      <c r="JO8" s="1762"/>
      <c r="JP8" s="1762"/>
      <c r="JQ8" s="1762"/>
      <c r="JR8" s="1762"/>
      <c r="JS8" s="1762"/>
      <c r="JT8" s="1762"/>
      <c r="JU8" s="1762"/>
      <c r="JV8" s="1762"/>
      <c r="JW8" s="1762"/>
      <c r="JX8" s="1762"/>
      <c r="JY8" s="1762"/>
      <c r="JZ8" s="1762"/>
      <c r="KA8" s="1762"/>
      <c r="KB8" s="1762"/>
      <c r="KC8" s="1762"/>
      <c r="KD8" s="1762"/>
      <c r="KE8" s="1762"/>
      <c r="KF8" s="1762"/>
      <c r="KG8" s="1762"/>
      <c r="KH8" s="1762"/>
      <c r="KI8" s="1762"/>
      <c r="KJ8" s="1762"/>
      <c r="KK8" s="1762"/>
      <c r="KL8" s="1762"/>
      <c r="KM8" s="1762"/>
      <c r="KN8" s="1762"/>
      <c r="KO8" s="1762"/>
      <c r="KP8" s="1762"/>
      <c r="KQ8" s="1762"/>
      <c r="KR8" s="1762"/>
      <c r="KS8" s="1762"/>
      <c r="KT8" s="1762"/>
      <c r="KU8" s="1762"/>
      <c r="KV8" s="1762"/>
      <c r="KW8" s="1762"/>
      <c r="KX8" s="1762"/>
      <c r="KY8" s="1762"/>
      <c r="KZ8" s="1762"/>
      <c r="LA8" s="1762"/>
      <c r="LB8" s="1762"/>
      <c r="LC8" s="1762"/>
      <c r="LD8" s="1762"/>
      <c r="LE8" s="1762"/>
      <c r="LF8" s="1762"/>
      <c r="LG8" s="1762"/>
      <c r="LH8" s="1762"/>
      <c r="LI8" s="1762"/>
      <c r="LJ8" s="1762"/>
      <c r="LK8" s="1762"/>
      <c r="LL8" s="1762"/>
      <c r="LM8" s="1762"/>
      <c r="LN8" s="1762"/>
      <c r="LO8" s="1762"/>
      <c r="LP8" s="1762"/>
      <c r="LQ8" s="1762"/>
      <c r="LR8" s="1762"/>
      <c r="LS8" s="1762"/>
      <c r="LT8" s="1762"/>
      <c r="LU8" s="1762"/>
      <c r="LV8" s="1762"/>
      <c r="LW8" s="1762"/>
      <c r="LX8" s="1762"/>
      <c r="LY8" s="1762"/>
      <c r="LZ8" s="1762"/>
      <c r="MA8" s="1670"/>
      <c r="MB8" s="1670"/>
      <c r="MC8" s="1670"/>
      <c r="MD8" s="1670"/>
      <c r="ME8" s="1670"/>
      <c r="MF8" s="1670"/>
      <c r="MG8" s="1670"/>
      <c r="MH8" s="1670"/>
      <c r="MI8" s="1670"/>
      <c r="MJ8" s="1670"/>
      <c r="MK8" s="1670"/>
      <c r="ML8" s="1670"/>
      <c r="MM8" s="1670"/>
      <c r="MN8" s="1670"/>
      <c r="MO8" s="1670"/>
      <c r="MP8" s="1670"/>
      <c r="MQ8" s="1670"/>
      <c r="MR8" s="1670"/>
      <c r="MS8" s="1670"/>
      <c r="MT8" s="1670"/>
      <c r="MU8" s="1670"/>
      <c r="MV8" s="1670"/>
      <c r="MW8" s="1670"/>
      <c r="MX8" s="1670"/>
      <c r="MY8" s="1670"/>
      <c r="MZ8" s="1670"/>
      <c r="NA8" s="1670"/>
      <c r="NB8" s="1670"/>
      <c r="NC8" s="1670"/>
      <c r="ND8" s="1670"/>
      <c r="NE8" s="1670"/>
      <c r="NF8" s="1670"/>
      <c r="NG8" s="1670"/>
      <c r="NH8" s="1670"/>
      <c r="NI8" s="1670"/>
      <c r="NJ8" s="1670"/>
      <c r="NK8" s="1670"/>
      <c r="NL8" s="1670"/>
      <c r="NM8" s="1670"/>
      <c r="NN8" s="1670"/>
      <c r="NO8" s="1670"/>
      <c r="NP8" s="1670"/>
      <c r="NQ8" s="1670"/>
      <c r="NR8" s="1670"/>
      <c r="NS8" s="1670"/>
      <c r="NT8" s="1670"/>
      <c r="NU8" s="1670"/>
      <c r="NV8" s="1670"/>
      <c r="NW8" s="1670"/>
      <c r="NX8" s="1670"/>
      <c r="NY8" s="1670"/>
      <c r="NZ8" s="1670"/>
      <c r="OA8" s="1670"/>
      <c r="OB8" s="1670"/>
      <c r="OC8" s="1670"/>
      <c r="OD8" s="1670"/>
      <c r="OE8" s="1670"/>
      <c r="OF8" s="1670"/>
      <c r="OG8" s="1670"/>
      <c r="OH8" s="1670"/>
      <c r="OI8" s="1670"/>
      <c r="OJ8" s="1670"/>
      <c r="OK8" s="1670"/>
      <c r="OL8" s="1670"/>
      <c r="OM8" s="1670"/>
      <c r="ON8" s="1670"/>
      <c r="OO8" s="1670"/>
      <c r="OP8" s="1670"/>
      <c r="OQ8" s="1670"/>
      <c r="OR8" s="1670"/>
      <c r="OS8" s="1670"/>
      <c r="OT8" s="1670"/>
      <c r="OU8" s="1670"/>
      <c r="OV8" s="1670"/>
      <c r="OW8" s="1670"/>
      <c r="OX8" s="1670"/>
      <c r="OY8" s="1670"/>
      <c r="OZ8" s="1670"/>
      <c r="PA8" s="1670"/>
      <c r="PB8" s="1670"/>
      <c r="PC8" s="1670"/>
      <c r="PD8" s="1670"/>
      <c r="PE8" s="1670"/>
      <c r="PF8" s="1670"/>
      <c r="PG8" s="1670"/>
      <c r="PH8" s="1670"/>
      <c r="PI8" s="1670"/>
      <c r="PJ8" s="1670"/>
      <c r="PK8" s="1670"/>
      <c r="PL8" s="1670"/>
      <c r="PM8" s="1670"/>
      <c r="PN8" s="1670"/>
      <c r="PO8" s="1670"/>
      <c r="PP8" s="1670"/>
      <c r="PQ8" s="1670"/>
      <c r="PR8" s="1670"/>
      <c r="PS8" s="1670"/>
      <c r="PT8" s="1670"/>
      <c r="PU8" s="1670"/>
      <c r="PV8" s="1670"/>
      <c r="PW8" s="1670"/>
      <c r="PX8" s="1670"/>
      <c r="PY8" s="1670"/>
      <c r="PZ8" s="1670"/>
      <c r="QA8" s="1670"/>
      <c r="QB8" s="1670"/>
      <c r="QC8" s="1670"/>
      <c r="QD8" s="1670"/>
      <c r="QE8" s="1670"/>
      <c r="QF8" s="1670"/>
      <c r="QG8" s="1670"/>
      <c r="QH8" s="1670"/>
      <c r="QI8" s="1670"/>
      <c r="QJ8" s="1670"/>
      <c r="QK8" s="1670"/>
      <c r="QL8" s="1670"/>
      <c r="QM8" s="1670"/>
      <c r="QN8" s="1670"/>
      <c r="QO8" s="1670"/>
      <c r="QP8" s="1670"/>
      <c r="QQ8" s="1670"/>
      <c r="QR8" s="1670"/>
      <c r="QS8" s="1670"/>
      <c r="QT8" s="1670"/>
      <c r="QU8" s="1670"/>
      <c r="QV8" s="1670"/>
      <c r="QW8" s="1670"/>
      <c r="QX8" s="1670"/>
      <c r="QY8" s="1670"/>
      <c r="QZ8" s="1670"/>
      <c r="RA8" s="1670"/>
      <c r="RB8" s="1670"/>
      <c r="RC8" s="1670"/>
      <c r="RD8" s="1670"/>
      <c r="RE8" s="1670"/>
      <c r="RF8" s="1670"/>
      <c r="RG8" s="1670"/>
      <c r="RH8" s="1670"/>
      <c r="RI8" s="1670"/>
      <c r="RJ8" s="1670"/>
      <c r="RK8" s="1670"/>
      <c r="RL8" s="1670"/>
      <c r="RM8" s="1670"/>
      <c r="RN8" s="1670"/>
      <c r="RO8" s="1670"/>
      <c r="RP8" s="1670"/>
      <c r="RQ8" s="1670"/>
      <c r="RR8" s="1670"/>
      <c r="RS8" s="1670"/>
      <c r="RT8" s="1670"/>
      <c r="RU8" s="1670"/>
      <c r="RV8" s="1670"/>
      <c r="RW8" s="1670"/>
      <c r="RX8" s="1670"/>
      <c r="RY8" s="1670"/>
      <c r="RZ8" s="1670"/>
      <c r="SA8" s="1670"/>
      <c r="SB8" s="1670"/>
      <c r="SC8" s="1670"/>
      <c r="SD8" s="1670"/>
      <c r="SE8" s="1670"/>
      <c r="SF8" s="1670"/>
      <c r="SG8" s="1670"/>
      <c r="SH8" s="1670"/>
      <c r="SI8" s="1670"/>
      <c r="SJ8" s="1670"/>
      <c r="SK8" s="1670"/>
      <c r="SL8" s="1670"/>
      <c r="SM8" s="1670"/>
      <c r="SN8" s="1670"/>
      <c r="SO8" s="1670"/>
      <c r="SP8" s="1670"/>
      <c r="SQ8" s="1670"/>
      <c r="SR8" s="1670"/>
      <c r="SS8" s="1670"/>
      <c r="ST8" s="1670"/>
      <c r="SU8" s="1670"/>
      <c r="SV8" s="1670"/>
      <c r="SW8" s="1670"/>
      <c r="SX8" s="1670"/>
      <c r="SY8" s="1670"/>
      <c r="SZ8" s="1670"/>
      <c r="TA8" s="1670"/>
      <c r="TB8" s="1670"/>
      <c r="TC8" s="1670"/>
      <c r="TD8" s="1670"/>
      <c r="TE8" s="1670"/>
      <c r="TF8" s="1670"/>
      <c r="TG8" s="1670"/>
      <c r="TH8" s="1670"/>
      <c r="TI8" s="1670"/>
      <c r="TJ8" s="1670"/>
      <c r="TK8" s="1670"/>
      <c r="TL8" s="1670"/>
      <c r="TM8" s="1670"/>
      <c r="TN8" s="1670"/>
      <c r="TO8" s="1670"/>
      <c r="TP8" s="1670"/>
      <c r="TQ8" s="1670"/>
      <c r="TR8" s="1670"/>
      <c r="TS8" s="1670"/>
      <c r="TT8" s="1670"/>
      <c r="TU8" s="1670"/>
      <c r="TV8" s="1670"/>
      <c r="TW8" s="1670"/>
      <c r="TX8" s="1670"/>
      <c r="TY8" s="1670"/>
      <c r="TZ8" s="1670"/>
      <c r="UA8" s="1670"/>
      <c r="UB8" s="1670"/>
      <c r="UC8" s="1670"/>
      <c r="UD8" s="1670"/>
      <c r="UE8" s="1670"/>
      <c r="UF8" s="1670"/>
      <c r="UG8" s="1670"/>
      <c r="UH8" s="1670"/>
      <c r="UI8" s="1670"/>
      <c r="UJ8" s="1670"/>
      <c r="UK8" s="1670"/>
      <c r="UL8" s="1670"/>
      <c r="UM8" s="1670"/>
      <c r="UN8" s="1670"/>
      <c r="UO8" s="1670"/>
      <c r="UP8" s="1670"/>
      <c r="UQ8" s="1670"/>
      <c r="UR8" s="1670"/>
      <c r="US8" s="1670"/>
      <c r="UT8" s="1670"/>
      <c r="UU8" s="1670"/>
      <c r="UV8" s="1670"/>
      <c r="UW8" s="1670"/>
      <c r="UX8" s="1670"/>
      <c r="UY8" s="1670"/>
      <c r="UZ8" s="1670"/>
      <c r="VA8" s="1670"/>
      <c r="VB8" s="1670"/>
      <c r="VC8" s="1670"/>
      <c r="VD8" s="1670"/>
      <c r="VE8" s="1670"/>
      <c r="VF8" s="1670"/>
      <c r="VG8" s="1670"/>
      <c r="VH8" s="1670"/>
      <c r="VI8" s="1670"/>
      <c r="VJ8" s="1670"/>
      <c r="VK8" s="1670"/>
      <c r="VL8" s="1670"/>
      <c r="VM8" s="1670"/>
      <c r="VN8" s="1670"/>
      <c r="VO8" s="1670"/>
      <c r="VP8" s="1670"/>
      <c r="VQ8" s="1670"/>
      <c r="VR8" s="1670"/>
      <c r="VS8" s="1670"/>
      <c r="VT8" s="1670"/>
      <c r="VU8" s="1670"/>
      <c r="VV8" s="1670"/>
      <c r="VW8" s="1670"/>
    </row>
    <row r="9" spans="1:665" s="76" customFormat="1" ht="25.35" customHeight="1" thickBot="1">
      <c r="D9" s="55"/>
      <c r="E9" s="1694"/>
      <c r="F9" s="1761"/>
      <c r="G9" s="1761"/>
      <c r="H9" s="1761"/>
      <c r="I9" s="1761"/>
      <c r="J9" s="1761"/>
      <c r="K9" s="1761"/>
      <c r="L9" s="1761"/>
      <c r="M9" s="1761"/>
      <c r="N9" s="1761"/>
      <c r="O9" s="1761"/>
      <c r="P9" s="1761"/>
      <c r="Q9" s="1761"/>
      <c r="R9" s="1761"/>
      <c r="S9" s="1761"/>
      <c r="T9" s="1761"/>
      <c r="U9" s="1761"/>
      <c r="V9" s="1761"/>
      <c r="W9" s="1761"/>
      <c r="X9" s="1761"/>
      <c r="Y9" s="1761"/>
      <c r="Z9" s="1761"/>
      <c r="AA9" s="1761"/>
      <c r="AB9" s="1761"/>
      <c r="AC9" s="1761"/>
      <c r="AD9" s="1761"/>
      <c r="AE9" s="1761"/>
      <c r="AF9" s="1761"/>
      <c r="AG9" s="1761"/>
      <c r="AH9" s="1761"/>
      <c r="AI9" s="1761"/>
      <c r="AJ9" s="1761"/>
      <c r="AK9" s="1761"/>
      <c r="AL9" s="1761"/>
      <c r="AM9" s="1761"/>
      <c r="AN9" s="1761"/>
      <c r="AO9" s="1761"/>
      <c r="AP9" s="1761"/>
      <c r="AQ9" s="1761"/>
      <c r="AR9" s="1761"/>
      <c r="AS9" s="1761"/>
      <c r="AT9" s="1761"/>
      <c r="AU9" s="1761"/>
      <c r="AV9" s="1761"/>
      <c r="AW9" s="1761"/>
      <c r="AX9" s="1761"/>
      <c r="AY9" s="1761"/>
      <c r="AZ9" s="1761"/>
      <c r="BA9" s="1761"/>
      <c r="BB9" s="1761"/>
      <c r="BC9" s="1761"/>
      <c r="BD9" s="1761"/>
      <c r="BE9" s="1761"/>
      <c r="BF9" s="1761"/>
      <c r="BG9" s="1761"/>
      <c r="BH9" s="1761"/>
      <c r="BI9" s="1761"/>
      <c r="BJ9" s="1761"/>
      <c r="BK9" s="1761"/>
      <c r="BL9" s="1761"/>
      <c r="BM9" s="1761"/>
      <c r="BN9" s="1761"/>
      <c r="BO9" s="1761"/>
      <c r="BP9" s="1761"/>
      <c r="BQ9" s="1761"/>
      <c r="BR9" s="1761"/>
      <c r="BS9" s="1761"/>
      <c r="BT9" s="1761"/>
      <c r="BU9" s="1761"/>
      <c r="BV9" s="1761"/>
      <c r="BW9" s="1761"/>
      <c r="BX9" s="1761"/>
      <c r="BY9" s="1761"/>
      <c r="BZ9" s="1761"/>
      <c r="CA9" s="1761"/>
      <c r="CB9" s="1761"/>
      <c r="CC9" s="1761"/>
      <c r="CD9" s="1761"/>
      <c r="CE9" s="1761"/>
      <c r="CF9" s="1761"/>
      <c r="CG9" s="1761"/>
      <c r="CH9" s="1761"/>
      <c r="CI9" s="1761"/>
      <c r="CJ9" s="1761"/>
      <c r="CK9" s="1761"/>
      <c r="CL9" s="1761"/>
      <c r="CM9" s="1761"/>
      <c r="CN9" s="1761"/>
      <c r="CO9" s="1761"/>
      <c r="CP9" s="1761"/>
      <c r="CQ9" s="1761"/>
      <c r="CR9" s="1761"/>
      <c r="CS9" s="1761"/>
      <c r="CT9" s="1761"/>
      <c r="CU9" s="1761"/>
      <c r="CV9" s="1761"/>
      <c r="CW9" s="1761"/>
      <c r="CX9" s="1761"/>
      <c r="CY9" s="1761"/>
      <c r="CZ9" s="1761"/>
      <c r="DA9" s="1761"/>
      <c r="DB9" s="1761"/>
      <c r="DC9" s="1761"/>
      <c r="DD9" s="1761"/>
      <c r="DE9" s="1761"/>
      <c r="DF9" s="1761"/>
      <c r="DG9" s="1761"/>
      <c r="DH9" s="1761"/>
      <c r="DI9" s="1761"/>
      <c r="DJ9" s="1761"/>
      <c r="DK9" s="1761"/>
      <c r="DL9" s="1761"/>
      <c r="DM9" s="1761"/>
      <c r="DN9" s="1761"/>
      <c r="DO9" s="1761"/>
      <c r="DP9" s="1761"/>
      <c r="DQ9" s="1761"/>
      <c r="DR9" s="1761"/>
      <c r="DS9" s="1761"/>
      <c r="DT9" s="1761"/>
      <c r="DU9" s="1761"/>
      <c r="DV9" s="1761"/>
      <c r="DW9" s="1761"/>
      <c r="DX9" s="1761"/>
      <c r="DY9" s="1761"/>
      <c r="DZ9" s="1761"/>
      <c r="EA9" s="1761"/>
      <c r="EB9" s="1761"/>
      <c r="EC9" s="1761"/>
      <c r="ED9" s="1761"/>
      <c r="EE9" s="1761"/>
      <c r="EF9" s="1761"/>
      <c r="EG9" s="1761"/>
      <c r="EH9" s="1761"/>
      <c r="EI9" s="1761"/>
      <c r="EJ9" s="1761"/>
      <c r="EK9" s="1761"/>
      <c r="EL9" s="1761"/>
      <c r="EM9" s="1761"/>
      <c r="EN9" s="1761"/>
      <c r="EO9" s="1761"/>
      <c r="EP9" s="1761"/>
      <c r="EQ9" s="1761"/>
      <c r="ER9" s="1761"/>
      <c r="ES9" s="1761"/>
      <c r="ET9" s="1761"/>
      <c r="EU9" s="1761"/>
      <c r="EV9" s="1761"/>
      <c r="EW9" s="1761"/>
      <c r="EX9" s="1761"/>
      <c r="EY9" s="1761"/>
      <c r="EZ9" s="1761"/>
      <c r="FA9" s="1761"/>
      <c r="FB9" s="1761"/>
      <c r="FC9" s="1761"/>
      <c r="FD9" s="1761"/>
      <c r="FE9" s="1761"/>
      <c r="FF9" s="1761"/>
      <c r="FG9" s="1761"/>
      <c r="FH9" s="1761"/>
      <c r="FI9" s="1761"/>
      <c r="FJ9" s="1761"/>
      <c r="FK9" s="1761"/>
      <c r="FL9" s="1761"/>
      <c r="FM9" s="1761"/>
      <c r="FN9" s="1761"/>
      <c r="FO9" s="1761"/>
      <c r="FP9" s="1761"/>
      <c r="FQ9" s="1761"/>
      <c r="FR9" s="1761"/>
      <c r="FS9" s="1761"/>
      <c r="FT9" s="1761"/>
      <c r="FU9" s="1761"/>
      <c r="FV9" s="1761"/>
      <c r="FW9" s="1761"/>
      <c r="FX9" s="1761"/>
      <c r="FY9" s="1761"/>
      <c r="FZ9" s="1761"/>
      <c r="GA9" s="1761"/>
      <c r="GB9" s="1761"/>
      <c r="GC9" s="1761"/>
      <c r="GD9" s="1761"/>
      <c r="GE9" s="1761"/>
      <c r="GF9" s="1761"/>
      <c r="GG9" s="1761"/>
      <c r="GH9" s="1761"/>
      <c r="GI9" s="1761"/>
      <c r="GJ9" s="1761"/>
      <c r="GK9" s="1761"/>
      <c r="GL9" s="1761"/>
      <c r="GM9" s="1761"/>
      <c r="GN9" s="1761"/>
      <c r="GO9" s="1761"/>
      <c r="GP9" s="1761"/>
      <c r="GQ9" s="1761"/>
      <c r="GR9" s="1761"/>
      <c r="GS9" s="1761"/>
      <c r="GT9" s="1761"/>
      <c r="GU9" s="1761"/>
      <c r="GV9" s="1761"/>
      <c r="GW9" s="1761"/>
      <c r="GX9" s="1761"/>
      <c r="GY9" s="1761"/>
      <c r="GZ9" s="1761"/>
      <c r="HA9" s="1761"/>
      <c r="HB9" s="1761"/>
      <c r="HC9" s="1761"/>
      <c r="HD9" s="1761"/>
      <c r="HE9" s="1761"/>
      <c r="HF9" s="1761"/>
      <c r="HG9" s="1761"/>
      <c r="HH9" s="1761"/>
      <c r="HI9" s="1761"/>
      <c r="HJ9" s="1761"/>
      <c r="HK9" s="1761"/>
      <c r="HL9" s="1761"/>
      <c r="HM9" s="1761"/>
      <c r="HN9" s="1761"/>
      <c r="HO9" s="1761"/>
      <c r="HP9" s="1761"/>
      <c r="HQ9" s="1761"/>
      <c r="HR9" s="1761"/>
      <c r="HS9" s="1761"/>
      <c r="HT9" s="1761"/>
      <c r="HU9" s="1761"/>
      <c r="HV9" s="1761"/>
      <c r="HW9" s="1761"/>
      <c r="HX9" s="1761"/>
      <c r="HY9" s="1761"/>
      <c r="HZ9" s="1761"/>
      <c r="IA9" s="1761"/>
      <c r="IB9" s="1761"/>
      <c r="IC9" s="1761"/>
      <c r="ID9" s="1761"/>
      <c r="IE9" s="1761"/>
      <c r="IF9" s="1761"/>
      <c r="IG9" s="1761"/>
      <c r="IH9" s="1761"/>
      <c r="II9" s="1761"/>
      <c r="IJ9" s="1761"/>
      <c r="IK9" s="1761"/>
      <c r="IL9" s="1761"/>
      <c r="IM9" s="1761"/>
      <c r="IN9" s="1761"/>
      <c r="IO9" s="1761"/>
      <c r="IP9" s="1761"/>
      <c r="IQ9" s="1761"/>
      <c r="IR9" s="1761"/>
      <c r="IS9" s="1761"/>
      <c r="IT9" s="1761"/>
      <c r="IU9" s="1761"/>
      <c r="IV9" s="1761"/>
      <c r="IW9" s="1761"/>
      <c r="IX9" s="1761"/>
      <c r="IY9" s="1761"/>
      <c r="IZ9" s="1762"/>
      <c r="JA9" s="1762"/>
      <c r="JB9" s="1762"/>
      <c r="JC9" s="1762"/>
      <c r="JD9" s="1762"/>
      <c r="JE9" s="1762"/>
      <c r="JF9" s="1762"/>
      <c r="JG9" s="1762"/>
      <c r="JH9" s="1762"/>
      <c r="JI9" s="1762"/>
      <c r="JJ9" s="1762"/>
      <c r="JK9" s="1762"/>
      <c r="JL9" s="1762"/>
      <c r="JM9" s="1762"/>
      <c r="JN9" s="1762"/>
      <c r="JO9" s="1762"/>
      <c r="JP9" s="1762"/>
      <c r="JQ9" s="1762"/>
      <c r="JR9" s="1762"/>
      <c r="JS9" s="1762"/>
      <c r="JT9" s="1762"/>
      <c r="JU9" s="1762"/>
      <c r="JV9" s="1762"/>
      <c r="JW9" s="1762"/>
      <c r="JX9" s="1762"/>
      <c r="JY9" s="1762"/>
      <c r="JZ9" s="1762"/>
      <c r="KA9" s="1762"/>
      <c r="KB9" s="1762"/>
      <c r="KC9" s="1762"/>
      <c r="KD9" s="1762"/>
      <c r="KE9" s="1762"/>
      <c r="KF9" s="1762"/>
      <c r="KG9" s="1762"/>
      <c r="KH9" s="1762"/>
      <c r="KI9" s="1762"/>
      <c r="KJ9" s="1762"/>
      <c r="KK9" s="1762"/>
      <c r="KL9" s="1762"/>
      <c r="KM9" s="1762"/>
      <c r="KN9" s="1762"/>
      <c r="KO9" s="1762"/>
      <c r="KP9" s="1762"/>
      <c r="KQ9" s="1762"/>
      <c r="KR9" s="1762"/>
      <c r="KS9" s="1762"/>
      <c r="KT9" s="1762"/>
      <c r="KU9" s="1762"/>
      <c r="KV9" s="1762"/>
      <c r="KW9" s="1762"/>
      <c r="KX9" s="1762"/>
      <c r="KY9" s="1762"/>
      <c r="KZ9" s="1762"/>
      <c r="LA9" s="1762"/>
      <c r="LB9" s="1762"/>
      <c r="LC9" s="1762"/>
      <c r="LD9" s="1762"/>
      <c r="LE9" s="1762"/>
      <c r="LF9" s="1762"/>
      <c r="LG9" s="1762"/>
      <c r="LH9" s="1762"/>
      <c r="LI9" s="1762"/>
      <c r="LJ9" s="1762"/>
      <c r="LK9" s="1762"/>
      <c r="LL9" s="1762"/>
      <c r="LM9" s="1762"/>
      <c r="LN9" s="1762"/>
      <c r="LO9" s="1762"/>
      <c r="LP9" s="1762"/>
      <c r="LQ9" s="1762"/>
      <c r="LR9" s="1762"/>
      <c r="LS9" s="1762"/>
      <c r="LT9" s="1762"/>
      <c r="LU9" s="1762"/>
      <c r="LV9" s="1762"/>
      <c r="LW9" s="1762"/>
      <c r="LX9" s="1762"/>
      <c r="LY9" s="1762"/>
      <c r="LZ9" s="330"/>
      <c r="MA9" s="330"/>
      <c r="MB9" s="330"/>
      <c r="MC9" s="330"/>
      <c r="MD9" s="330"/>
      <c r="ME9" s="330"/>
      <c r="MF9" s="330"/>
      <c r="MG9" s="330"/>
      <c r="MH9" s="330"/>
      <c r="MI9" s="330"/>
      <c r="MJ9" s="330"/>
      <c r="MK9" s="330"/>
      <c r="ML9" s="330"/>
      <c r="MM9" s="330"/>
      <c r="MN9" s="330"/>
      <c r="MO9" s="330"/>
      <c r="MP9" s="330"/>
      <c r="MQ9" s="330"/>
      <c r="MR9" s="330"/>
      <c r="MS9" s="330"/>
      <c r="MT9" s="330"/>
      <c r="MU9" s="330"/>
      <c r="MV9" s="330"/>
      <c r="MW9" s="330"/>
      <c r="MX9" s="330"/>
      <c r="MY9" s="330"/>
      <c r="MZ9" s="330"/>
      <c r="NA9" s="330"/>
      <c r="NB9" s="330"/>
      <c r="NC9" s="330"/>
      <c r="ND9" s="330"/>
      <c r="NE9" s="330"/>
      <c r="NF9" s="330"/>
      <c r="NG9" s="330"/>
      <c r="NH9" s="330"/>
      <c r="NI9" s="330"/>
      <c r="NJ9" s="330"/>
      <c r="NK9" s="330"/>
      <c r="NL9" s="330"/>
      <c r="NM9" s="330"/>
      <c r="NN9" s="330"/>
      <c r="NO9" s="330"/>
      <c r="NP9" s="330"/>
      <c r="NQ9" s="330"/>
      <c r="NR9" s="330"/>
      <c r="NS9" s="330"/>
      <c r="NT9" s="330"/>
      <c r="NU9" s="330"/>
      <c r="NV9" s="330"/>
      <c r="NW9" s="330"/>
      <c r="NX9" s="330"/>
      <c r="NY9" s="330"/>
      <c r="NZ9" s="330"/>
      <c r="OA9" s="330"/>
      <c r="OB9" s="330"/>
      <c r="OC9" s="330"/>
      <c r="OD9" s="330"/>
      <c r="OE9" s="330"/>
      <c r="OF9" s="330"/>
      <c r="OG9" s="330"/>
      <c r="OH9" s="330"/>
      <c r="OI9" s="330"/>
      <c r="OJ9" s="330"/>
      <c r="OK9" s="330"/>
      <c r="OL9" s="330"/>
      <c r="OM9" s="330"/>
      <c r="ON9" s="330"/>
      <c r="OO9" s="330"/>
      <c r="OP9" s="330"/>
      <c r="OQ9" s="330"/>
      <c r="OR9" s="330"/>
      <c r="OS9" s="330"/>
      <c r="OT9" s="330"/>
      <c r="OU9" s="330"/>
      <c r="OV9" s="330"/>
      <c r="OW9" s="330"/>
      <c r="OX9" s="330"/>
      <c r="OY9" s="330"/>
      <c r="OZ9" s="330"/>
      <c r="PA9" s="330"/>
      <c r="PB9" s="330"/>
      <c r="PC9" s="330"/>
      <c r="PD9" s="330"/>
      <c r="PE9" s="330"/>
      <c r="PF9" s="330"/>
      <c r="PG9" s="330"/>
      <c r="PH9" s="330"/>
      <c r="PI9" s="330"/>
      <c r="PJ9" s="330"/>
      <c r="PK9" s="330"/>
      <c r="PL9" s="330"/>
      <c r="PM9" s="330"/>
      <c r="PN9" s="330"/>
      <c r="PO9" s="330"/>
      <c r="PP9" s="330"/>
      <c r="PQ9" s="330"/>
      <c r="PR9" s="330"/>
      <c r="PS9" s="330"/>
      <c r="PT9" s="330"/>
      <c r="PU9" s="330"/>
      <c r="PV9" s="330"/>
      <c r="PW9" s="330"/>
      <c r="PX9" s="330"/>
      <c r="PY9" s="330"/>
      <c r="PZ9" s="330"/>
      <c r="QA9" s="330"/>
      <c r="QB9" s="330"/>
      <c r="QC9" s="330"/>
      <c r="QD9" s="330"/>
      <c r="QE9" s="330"/>
      <c r="QF9" s="330"/>
      <c r="QG9" s="330"/>
      <c r="QH9" s="330"/>
      <c r="QI9" s="330"/>
      <c r="QJ9" s="330"/>
      <c r="QK9" s="330"/>
      <c r="QL9" s="330"/>
    </row>
    <row r="10" spans="1:665" s="72" customFormat="1" ht="29.25" customHeight="1" thickBot="1">
      <c r="B10" s="38" t="s">
        <v>53</v>
      </c>
      <c r="C10" s="38"/>
      <c r="D10" s="56"/>
      <c r="E10" s="1694"/>
      <c r="F10" s="1761"/>
      <c r="G10" s="1761"/>
      <c r="H10" s="1761"/>
      <c r="I10" s="1761"/>
      <c r="J10" s="1761"/>
      <c r="K10" s="1761"/>
      <c r="L10" s="1761"/>
      <c r="M10" s="1761"/>
      <c r="N10" s="1761"/>
      <c r="O10" s="1761"/>
      <c r="P10" s="1761"/>
      <c r="Q10" s="1761"/>
      <c r="R10" s="1761"/>
      <c r="S10" s="1761"/>
      <c r="T10" s="1761"/>
      <c r="U10" s="1761"/>
      <c r="V10" s="1761"/>
      <c r="W10" s="1761"/>
      <c r="X10" s="1761"/>
      <c r="Y10" s="1761"/>
      <c r="Z10" s="1761"/>
      <c r="AA10" s="1761"/>
      <c r="AB10" s="1761"/>
      <c r="AC10" s="1761"/>
      <c r="AD10" s="1761"/>
      <c r="AE10" s="1761"/>
      <c r="AF10" s="1761"/>
      <c r="AG10" s="1761"/>
      <c r="AH10" s="1761"/>
      <c r="AI10" s="1761"/>
      <c r="AJ10" s="1761"/>
      <c r="AK10" s="1761"/>
      <c r="AL10" s="1761"/>
      <c r="AM10" s="1761"/>
      <c r="AN10" s="1761"/>
      <c r="AO10" s="1761"/>
      <c r="AP10" s="1761"/>
      <c r="AQ10" s="1761"/>
      <c r="AR10" s="1761"/>
      <c r="AS10" s="1761"/>
      <c r="AT10" s="1761"/>
      <c r="AU10" s="1761"/>
      <c r="AV10" s="1761"/>
      <c r="AW10" s="1761"/>
      <c r="AX10" s="1761"/>
      <c r="AY10" s="1761"/>
      <c r="AZ10" s="1761"/>
      <c r="BA10" s="1761"/>
      <c r="BB10" s="1761"/>
      <c r="BC10" s="2118" t="s">
        <v>991</v>
      </c>
      <c r="BD10" s="2119"/>
      <c r="BE10" s="2119"/>
      <c r="BF10" s="2119"/>
      <c r="BG10" s="2119"/>
      <c r="BH10" s="2120"/>
      <c r="BI10" s="2497" t="s">
        <v>990</v>
      </c>
      <c r="BJ10" s="2498"/>
      <c r="BK10" s="2498"/>
      <c r="BL10" s="2498"/>
      <c r="BM10" s="2498"/>
      <c r="BN10" s="2498"/>
      <c r="BO10" s="2498"/>
      <c r="BP10" s="2498"/>
      <c r="BQ10" s="2498"/>
      <c r="BR10" s="2498"/>
      <c r="BS10" s="2498"/>
      <c r="BT10" s="2498"/>
      <c r="BU10" s="2498"/>
      <c r="BV10" s="2498"/>
      <c r="BW10" s="2498"/>
      <c r="BX10" s="2498"/>
      <c r="BY10" s="2498"/>
      <c r="BZ10" s="2498"/>
      <c r="CA10" s="2498"/>
      <c r="CB10" s="2498"/>
      <c r="CC10" s="2499"/>
      <c r="CD10" s="1761"/>
      <c r="CE10" s="1761"/>
      <c r="CF10" s="1761"/>
      <c r="CG10" s="1761"/>
      <c r="CH10" s="1761"/>
      <c r="CI10" s="1761"/>
      <c r="CJ10" s="1761"/>
      <c r="CK10" s="1761"/>
      <c r="CL10" s="1761"/>
      <c r="CM10" s="2118" t="s">
        <v>994</v>
      </c>
      <c r="CN10" s="2119"/>
      <c r="CO10" s="2119"/>
      <c r="CP10" s="2119"/>
      <c r="CQ10" s="2119"/>
      <c r="CR10" s="2120"/>
      <c r="CS10" s="2497" t="s">
        <v>995</v>
      </c>
      <c r="CT10" s="2498"/>
      <c r="CU10" s="2498"/>
      <c r="CV10" s="2498"/>
      <c r="CW10" s="2498"/>
      <c r="CX10" s="2498"/>
      <c r="CY10" s="2498"/>
      <c r="CZ10" s="2498"/>
      <c r="DA10" s="2498"/>
      <c r="DB10" s="2498"/>
      <c r="DC10" s="2498"/>
      <c r="DD10" s="2498"/>
      <c r="DE10" s="2498"/>
      <c r="DF10" s="2498"/>
      <c r="DG10" s="2498"/>
      <c r="DH10" s="2498"/>
      <c r="DI10" s="2498"/>
      <c r="DJ10" s="2498"/>
      <c r="DK10" s="2499"/>
      <c r="DL10" s="1761"/>
      <c r="DM10" s="1761"/>
      <c r="DN10" s="1761"/>
      <c r="DO10" s="1761"/>
      <c r="DP10" s="1761"/>
      <c r="DQ10" s="1761"/>
      <c r="DR10" s="1761"/>
      <c r="DS10" s="1761"/>
      <c r="DT10" s="1761"/>
      <c r="DU10" s="1761"/>
      <c r="DV10" s="1761"/>
      <c r="DW10" s="1761"/>
      <c r="DX10" s="1761"/>
      <c r="DY10" s="1761"/>
      <c r="DZ10" s="1761"/>
      <c r="EA10" s="1761"/>
      <c r="EB10" s="1761"/>
      <c r="EC10" s="1761"/>
      <c r="ED10" s="1761"/>
      <c r="EE10" s="1761"/>
      <c r="EF10" s="1761"/>
      <c r="EG10" s="1761"/>
      <c r="EH10" s="1761"/>
      <c r="EI10" s="1761"/>
      <c r="EJ10" s="1761"/>
      <c r="EK10" s="1761"/>
      <c r="EL10" s="1761"/>
      <c r="EM10" s="1761"/>
      <c r="EN10" s="1761"/>
      <c r="EO10" s="1761"/>
      <c r="EP10" s="1761"/>
      <c r="EQ10" s="1761"/>
      <c r="ER10" s="1761"/>
      <c r="ES10" s="1761"/>
      <c r="ET10" s="1761"/>
      <c r="EU10" s="1761"/>
      <c r="EV10" s="1761"/>
      <c r="EW10" s="1761"/>
      <c r="EX10" s="1761"/>
      <c r="EY10" s="1761"/>
      <c r="EZ10" s="2118" t="s">
        <v>1032</v>
      </c>
      <c r="FA10" s="2119"/>
      <c r="FB10" s="2119"/>
      <c r="FC10" s="2119"/>
      <c r="FD10" s="2119"/>
      <c r="FE10" s="2120"/>
      <c r="FF10" s="2118" t="s">
        <v>1009</v>
      </c>
      <c r="FG10" s="2119"/>
      <c r="FH10" s="2119"/>
      <c r="FI10" s="2119"/>
      <c r="FJ10" s="2119"/>
      <c r="FK10" s="2119"/>
      <c r="FL10" s="2119"/>
      <c r="FM10" s="2119"/>
      <c r="FN10" s="2119"/>
      <c r="FO10" s="2119"/>
      <c r="FP10" s="2119"/>
      <c r="FQ10" s="2119"/>
      <c r="FR10" s="2119"/>
      <c r="FS10" s="2119"/>
      <c r="FT10" s="2119"/>
      <c r="FU10" s="2119"/>
      <c r="FV10" s="2119"/>
      <c r="FW10" s="2119"/>
      <c r="FX10" s="2120"/>
      <c r="FY10" s="1761"/>
      <c r="FZ10" s="1761"/>
      <c r="GA10" s="1761"/>
      <c r="GB10" s="1761"/>
      <c r="GC10" s="1761"/>
      <c r="GD10" s="1761"/>
      <c r="GE10" s="1761"/>
      <c r="GF10" s="1761"/>
      <c r="GG10" s="2118" t="s">
        <v>1036</v>
      </c>
      <c r="GH10" s="2119"/>
      <c r="GI10" s="2119"/>
      <c r="GJ10" s="2119"/>
      <c r="GK10" s="2119"/>
      <c r="GL10" s="2120"/>
      <c r="GM10" s="2118" t="s">
        <v>812</v>
      </c>
      <c r="GN10" s="2119"/>
      <c r="GO10" s="2119"/>
      <c r="GP10" s="2119"/>
      <c r="GQ10" s="2119"/>
      <c r="GR10" s="2119"/>
      <c r="GS10" s="2119"/>
      <c r="GT10" s="2119"/>
      <c r="GU10" s="2119"/>
      <c r="GV10" s="2119"/>
      <c r="GW10" s="2119"/>
      <c r="GX10" s="2119"/>
      <c r="GY10" s="2119"/>
      <c r="GZ10" s="2119"/>
      <c r="HA10" s="2119"/>
      <c r="HB10" s="2119"/>
      <c r="HC10" s="2119"/>
      <c r="HD10" s="2119"/>
      <c r="HE10" s="2120"/>
      <c r="HF10" s="1761"/>
      <c r="HG10" s="1761"/>
      <c r="HH10" s="1761"/>
      <c r="HI10" s="1761"/>
      <c r="HJ10" s="1761"/>
      <c r="HK10" s="1761"/>
      <c r="HL10" s="1761"/>
      <c r="HM10" s="1761"/>
      <c r="HN10" s="1761"/>
      <c r="HO10" s="1761"/>
      <c r="HP10" s="1761"/>
      <c r="HQ10" s="2118" t="s">
        <v>1046</v>
      </c>
      <c r="HR10" s="2119"/>
      <c r="HS10" s="2119"/>
      <c r="HT10" s="2119"/>
      <c r="HU10" s="2119"/>
      <c r="HV10" s="2120"/>
      <c r="HW10" s="2118" t="s">
        <v>1002</v>
      </c>
      <c r="HX10" s="2119"/>
      <c r="HY10" s="2119"/>
      <c r="HZ10" s="2119"/>
      <c r="IA10" s="2119"/>
      <c r="IB10" s="2119"/>
      <c r="IC10" s="2119"/>
      <c r="ID10" s="2119"/>
      <c r="IE10" s="2119"/>
      <c r="IF10" s="2119"/>
      <c r="IG10" s="2119"/>
      <c r="IH10" s="2119"/>
      <c r="II10" s="2119"/>
      <c r="IJ10" s="2119"/>
      <c r="IK10" s="2119"/>
      <c r="IL10" s="2119"/>
      <c r="IM10" s="2119"/>
      <c r="IN10" s="2119"/>
      <c r="IO10" s="2120"/>
      <c r="IP10" s="1761"/>
      <c r="IQ10" s="1761"/>
      <c r="IR10" s="1761"/>
      <c r="IS10" s="1761"/>
      <c r="IT10" s="1761"/>
      <c r="IU10" s="1761"/>
      <c r="IV10" s="1761"/>
      <c r="IW10" s="1761"/>
      <c r="IX10" s="1761"/>
      <c r="IY10" s="1761"/>
      <c r="IZ10" s="1761"/>
      <c r="JA10" s="1761"/>
      <c r="JB10" s="1762"/>
      <c r="JC10" s="1762"/>
      <c r="JD10" s="1762"/>
      <c r="JE10" s="1762"/>
      <c r="JF10" s="1762"/>
      <c r="JG10" s="1762"/>
      <c r="JH10" s="1762"/>
      <c r="JI10" s="1762"/>
      <c r="JJ10" s="1762"/>
      <c r="JK10" s="1762"/>
      <c r="JL10" s="1762"/>
      <c r="JM10" s="1762"/>
      <c r="JN10" s="1762"/>
      <c r="JO10" s="1762"/>
      <c r="JP10" s="1762"/>
      <c r="JQ10" s="1762"/>
      <c r="JR10" s="1762"/>
      <c r="JS10" s="1762"/>
      <c r="JT10" s="1762"/>
      <c r="JU10" s="1762"/>
      <c r="JV10" s="1762"/>
      <c r="JW10" s="1762"/>
      <c r="JX10" s="1762"/>
      <c r="JY10" s="1762"/>
      <c r="JZ10" s="1762"/>
      <c r="KA10" s="1762"/>
      <c r="KB10" s="1762"/>
      <c r="KC10" s="1762"/>
      <c r="KD10" s="1762"/>
      <c r="KE10" s="1762"/>
      <c r="KF10" s="1762"/>
      <c r="KG10" s="1762"/>
      <c r="KH10" s="1762"/>
      <c r="KI10" s="1762"/>
      <c r="KJ10" s="1762"/>
      <c r="KK10" s="1762"/>
      <c r="KL10" s="1762"/>
      <c r="KM10" s="1762"/>
      <c r="KN10" s="1762"/>
      <c r="KO10" s="1762"/>
      <c r="KP10" s="1762"/>
      <c r="KQ10" s="1762"/>
      <c r="KR10" s="1762"/>
      <c r="KS10" s="1762"/>
      <c r="KT10" s="1762"/>
      <c r="KU10" s="1762"/>
      <c r="KV10" s="1762"/>
      <c r="KW10" s="1762"/>
      <c r="KX10" s="1762"/>
      <c r="KY10" s="1762"/>
      <c r="KZ10" s="1762"/>
      <c r="LA10" s="1762"/>
      <c r="LB10" s="1762"/>
      <c r="LC10" s="1762"/>
      <c r="LD10" s="1762"/>
      <c r="LE10" s="1762"/>
      <c r="LF10" s="1762"/>
      <c r="LG10" s="1762"/>
      <c r="LH10" s="1762"/>
      <c r="LI10" s="1762"/>
      <c r="LJ10" s="1762"/>
      <c r="LK10" s="1762"/>
      <c r="LL10" s="1762"/>
      <c r="LM10" s="1762"/>
      <c r="LN10" s="1762"/>
      <c r="LO10" s="1762"/>
      <c r="LP10" s="1762"/>
      <c r="LQ10" s="1762"/>
      <c r="LR10" s="1762"/>
      <c r="LS10" s="1762"/>
      <c r="LT10" s="1762"/>
      <c r="LU10" s="1762"/>
      <c r="LV10" s="1762"/>
      <c r="LW10" s="1762"/>
      <c r="LX10" s="1762"/>
      <c r="LY10" s="1762"/>
      <c r="LZ10" s="1762"/>
      <c r="MA10" s="330"/>
      <c r="MB10" s="330"/>
      <c r="MC10" s="330"/>
      <c r="MD10" s="330"/>
      <c r="ME10" s="330"/>
    </row>
    <row r="11" spans="1:665" s="74" customFormat="1" ht="38.1" customHeight="1" thickBot="1">
      <c r="B11" s="38"/>
      <c r="C11" s="38"/>
      <c r="D11" s="56"/>
      <c r="E11" s="1694"/>
      <c r="F11" s="1761"/>
      <c r="G11" s="1761"/>
      <c r="H11" s="1761"/>
      <c r="I11" s="1761"/>
      <c r="J11" s="1761"/>
      <c r="K11" s="1761"/>
      <c r="L11" s="1761"/>
      <c r="M11" s="1761"/>
      <c r="N11" s="1761"/>
      <c r="O11" s="1761"/>
      <c r="P11" s="1761"/>
      <c r="Q11" s="1761"/>
      <c r="R11" s="1761"/>
      <c r="S11" s="1761"/>
      <c r="T11" s="1761"/>
      <c r="U11" s="1761"/>
      <c r="V11" s="1761"/>
      <c r="W11" s="1761"/>
      <c r="X11" s="1761"/>
      <c r="Y11" s="1761"/>
      <c r="Z11" s="1761"/>
      <c r="AA11" s="1761"/>
      <c r="AB11" s="1761"/>
      <c r="AC11" s="1761"/>
      <c r="AD11" s="1761"/>
      <c r="AE11" s="1761"/>
      <c r="AF11" s="1761"/>
      <c r="AG11" s="1761"/>
      <c r="AH11" s="1761"/>
      <c r="AI11" s="1761"/>
      <c r="AJ11" s="1761"/>
      <c r="AK11" s="1761"/>
      <c r="AL11" s="1761"/>
      <c r="AM11" s="1761"/>
      <c r="AN11" s="1761"/>
      <c r="AO11" s="1761"/>
      <c r="AP11" s="1761"/>
      <c r="AQ11" s="1761"/>
      <c r="AR11" s="1761"/>
      <c r="AS11" s="1761"/>
      <c r="AT11" s="1761"/>
      <c r="AU11" s="1761"/>
      <c r="AV11" s="1761"/>
      <c r="AW11" s="1761"/>
      <c r="AX11" s="1761"/>
      <c r="AY11" s="1761"/>
      <c r="AZ11" s="1761"/>
      <c r="BA11" s="1761"/>
      <c r="BB11" s="1761"/>
      <c r="BC11" s="2121" t="s">
        <v>779</v>
      </c>
      <c r="BD11" s="2122"/>
      <c r="BE11" s="2122"/>
      <c r="BF11" s="2122"/>
      <c r="BG11" s="2122"/>
      <c r="BH11" s="2122"/>
      <c r="BI11" s="2122"/>
      <c r="BJ11" s="2123"/>
      <c r="BK11" s="2124" t="s">
        <v>780</v>
      </c>
      <c r="BL11" s="2125"/>
      <c r="BM11" s="2125"/>
      <c r="BN11" s="2125"/>
      <c r="BO11" s="2125"/>
      <c r="BP11" s="2125"/>
      <c r="BQ11" s="2126"/>
      <c r="BR11" s="2127" t="s">
        <v>781</v>
      </c>
      <c r="BS11" s="2128"/>
      <c r="BT11" s="2128"/>
      <c r="BU11" s="2128"/>
      <c r="BV11" s="2128"/>
      <c r="BW11" s="2128"/>
      <c r="BX11" s="2129"/>
      <c r="BY11" s="2130" t="s">
        <v>782</v>
      </c>
      <c r="BZ11" s="2131"/>
      <c r="CA11" s="2132"/>
      <c r="CB11" s="2133"/>
      <c r="CC11" s="2134"/>
      <c r="CD11" s="1761"/>
      <c r="CE11" s="1761"/>
      <c r="CF11" s="1761"/>
      <c r="CG11" s="1761"/>
      <c r="CH11" s="1761"/>
      <c r="CI11" s="1761"/>
      <c r="CJ11" s="1761"/>
      <c r="CK11" s="1761"/>
      <c r="CL11" s="1761"/>
      <c r="CM11" s="2121" t="s">
        <v>779</v>
      </c>
      <c r="CN11" s="2122"/>
      <c r="CO11" s="2122"/>
      <c r="CP11" s="2122"/>
      <c r="CQ11" s="2122"/>
      <c r="CR11" s="2122"/>
      <c r="CS11" s="2122"/>
      <c r="CT11" s="2122"/>
      <c r="CU11" s="2123"/>
      <c r="CV11" s="2124" t="s">
        <v>780</v>
      </c>
      <c r="CW11" s="2125"/>
      <c r="CX11" s="2125"/>
      <c r="CY11" s="2126"/>
      <c r="CZ11" s="2127" t="s">
        <v>781</v>
      </c>
      <c r="DA11" s="2128"/>
      <c r="DB11" s="2128"/>
      <c r="DC11" s="2128"/>
      <c r="DD11" s="2128"/>
      <c r="DE11" s="2128"/>
      <c r="DF11" s="2129"/>
      <c r="DG11" s="2130" t="s">
        <v>782</v>
      </c>
      <c r="DH11" s="2131"/>
      <c r="DI11" s="2132"/>
      <c r="DJ11" s="2133"/>
      <c r="DK11" s="2134"/>
      <c r="DL11" s="1761"/>
      <c r="DM11" s="1761"/>
      <c r="DN11" s="1761"/>
      <c r="DO11" s="1761"/>
      <c r="DP11" s="1761"/>
      <c r="DQ11" s="1761"/>
      <c r="DR11" s="1761"/>
      <c r="DS11" s="1761"/>
      <c r="DT11" s="1761"/>
      <c r="DU11" s="1761"/>
      <c r="DV11" s="1761"/>
      <c r="DW11" s="1761"/>
      <c r="DX11" s="1761"/>
      <c r="DY11" s="1761"/>
      <c r="DZ11" s="1761"/>
      <c r="EA11" s="1761"/>
      <c r="EB11" s="1761"/>
      <c r="EC11" s="1761"/>
      <c r="ED11" s="1761"/>
      <c r="EE11" s="1761"/>
      <c r="EF11" s="1761"/>
      <c r="EG11" s="1761"/>
      <c r="EH11" s="1761"/>
      <c r="EI11" s="1761"/>
      <c r="EJ11" s="1761"/>
      <c r="EK11" s="1761"/>
      <c r="EL11" s="1761"/>
      <c r="EM11" s="1761"/>
      <c r="EN11" s="1761"/>
      <c r="EO11" s="1761"/>
      <c r="EP11" s="1761"/>
      <c r="EQ11" s="1761"/>
      <c r="ER11" s="1761"/>
      <c r="ES11" s="1761"/>
      <c r="ET11" s="1761"/>
      <c r="EU11" s="1761"/>
      <c r="EV11" s="1761"/>
      <c r="EW11" s="1761"/>
      <c r="EX11" s="1761"/>
      <c r="EY11" s="1761"/>
      <c r="EZ11" s="2121" t="s">
        <v>779</v>
      </c>
      <c r="FA11" s="2122"/>
      <c r="FB11" s="2122"/>
      <c r="FC11" s="2122"/>
      <c r="FD11" s="2122"/>
      <c r="FE11" s="2122"/>
      <c r="FF11" s="2122"/>
      <c r="FG11" s="2122"/>
      <c r="FH11" s="2122"/>
      <c r="FI11" s="2123"/>
      <c r="FJ11" s="2124" t="s">
        <v>780</v>
      </c>
      <c r="FK11" s="2125"/>
      <c r="FL11" s="2125"/>
      <c r="FM11" s="2125"/>
      <c r="FN11" s="2125"/>
      <c r="FO11" s="2126"/>
      <c r="FP11" s="2127" t="s">
        <v>781</v>
      </c>
      <c r="FQ11" s="2128"/>
      <c r="FR11" s="2128"/>
      <c r="FS11" s="2129"/>
      <c r="FT11" s="2130" t="s">
        <v>782</v>
      </c>
      <c r="FU11" s="2131"/>
      <c r="FV11" s="2132"/>
      <c r="FW11" s="2133"/>
      <c r="FX11" s="2134"/>
      <c r="FY11" s="1761"/>
      <c r="FZ11" s="1761"/>
      <c r="GA11" s="1761"/>
      <c r="GB11" s="1761"/>
      <c r="GC11" s="1761"/>
      <c r="GD11" s="1761"/>
      <c r="GE11" s="1761"/>
      <c r="GF11" s="1761"/>
      <c r="GG11" s="2121" t="s">
        <v>779</v>
      </c>
      <c r="GH11" s="2122"/>
      <c r="GI11" s="2122"/>
      <c r="GJ11" s="2122"/>
      <c r="GK11" s="2122"/>
      <c r="GL11" s="2122"/>
      <c r="GM11" s="2122"/>
      <c r="GN11" s="2122"/>
      <c r="GO11" s="2122"/>
      <c r="GP11" s="2123"/>
      <c r="GQ11" s="2124" t="s">
        <v>780</v>
      </c>
      <c r="GR11" s="2125"/>
      <c r="GS11" s="2125"/>
      <c r="GT11" s="2125"/>
      <c r="GU11" s="2125"/>
      <c r="GV11" s="2126"/>
      <c r="GW11" s="2127" t="s">
        <v>781</v>
      </c>
      <c r="GX11" s="2128"/>
      <c r="GY11" s="2128"/>
      <c r="GZ11" s="2129"/>
      <c r="HA11" s="2130" t="s">
        <v>782</v>
      </c>
      <c r="HB11" s="2131"/>
      <c r="HC11" s="2132"/>
      <c r="HD11" s="2133"/>
      <c r="HE11" s="2134"/>
      <c r="HF11" s="1761"/>
      <c r="HG11" s="1761"/>
      <c r="HH11" s="1761"/>
      <c r="HI11" s="1761"/>
      <c r="HJ11" s="1761"/>
      <c r="HK11" s="1761"/>
      <c r="HL11" s="1761"/>
      <c r="HM11" s="1761"/>
      <c r="HN11" s="1761"/>
      <c r="HO11" s="1761"/>
      <c r="HP11" s="1761"/>
      <c r="HQ11" s="2121" t="s">
        <v>779</v>
      </c>
      <c r="HR11" s="2122"/>
      <c r="HS11" s="2122"/>
      <c r="HT11" s="2122"/>
      <c r="HU11" s="2122"/>
      <c r="HV11" s="2122"/>
      <c r="HW11" s="2122"/>
      <c r="HX11" s="2122"/>
      <c r="HY11" s="2122"/>
      <c r="HZ11" s="2123"/>
      <c r="IA11" s="2124" t="s">
        <v>780</v>
      </c>
      <c r="IB11" s="2125"/>
      <c r="IC11" s="2125"/>
      <c r="ID11" s="2125"/>
      <c r="IE11" s="2125"/>
      <c r="IF11" s="2126"/>
      <c r="IG11" s="2127" t="s">
        <v>781</v>
      </c>
      <c r="IH11" s="2128"/>
      <c r="II11" s="2128"/>
      <c r="IJ11" s="2129"/>
      <c r="IK11" s="2130" t="s">
        <v>782</v>
      </c>
      <c r="IL11" s="2131"/>
      <c r="IM11" s="2132"/>
      <c r="IN11" s="2133"/>
      <c r="IO11" s="2134"/>
      <c r="IP11" s="1761"/>
      <c r="IQ11" s="1761"/>
      <c r="IR11" s="1761"/>
      <c r="IS11" s="1761"/>
      <c r="IT11" s="1761"/>
      <c r="IU11" s="1761"/>
      <c r="IV11" s="1761"/>
      <c r="IW11" s="1761"/>
      <c r="IX11" s="1761"/>
      <c r="IY11" s="1761"/>
      <c r="IZ11" s="1761"/>
      <c r="JA11" s="1761"/>
      <c r="JB11" s="1762"/>
      <c r="JC11" s="1762"/>
      <c r="JD11" s="1762"/>
      <c r="JE11" s="1762"/>
      <c r="JF11" s="1762"/>
      <c r="JG11" s="1762"/>
      <c r="JH11" s="1762"/>
      <c r="JI11" s="1762"/>
      <c r="JJ11" s="1762"/>
      <c r="JK11" s="1762"/>
      <c r="JL11" s="1762"/>
      <c r="JM11" s="1762"/>
      <c r="JN11" s="1762"/>
      <c r="JO11" s="1762"/>
      <c r="JP11" s="1762"/>
      <c r="JQ11" s="1762"/>
      <c r="JR11" s="1762"/>
      <c r="JS11" s="1762"/>
      <c r="JT11" s="1762"/>
      <c r="JU11" s="1762"/>
      <c r="JV11" s="1762"/>
      <c r="JW11" s="1762"/>
      <c r="JX11" s="1762"/>
      <c r="JY11" s="1762"/>
      <c r="JZ11" s="1762"/>
      <c r="KA11" s="1762"/>
      <c r="KB11" s="1762"/>
      <c r="KC11" s="1762"/>
      <c r="KD11" s="1762"/>
      <c r="KE11" s="1762"/>
      <c r="KF11" s="1762"/>
      <c r="KG11" s="1762"/>
      <c r="KH11" s="1762"/>
      <c r="KI11" s="1762"/>
      <c r="KJ11" s="1762"/>
      <c r="KK11" s="1762"/>
      <c r="KL11" s="1762"/>
      <c r="KM11" s="1762"/>
      <c r="KN11" s="1762"/>
      <c r="KO11" s="1762"/>
      <c r="KP11" s="1762"/>
      <c r="KQ11" s="1762"/>
      <c r="KR11" s="1762"/>
      <c r="KS11" s="1762"/>
      <c r="KT11" s="1762"/>
      <c r="KU11" s="1762"/>
      <c r="KV11" s="1762"/>
      <c r="KW11" s="1762"/>
      <c r="KX11" s="1762"/>
      <c r="KY11" s="1762"/>
      <c r="KZ11" s="1762"/>
      <c r="LA11" s="1762"/>
      <c r="LB11" s="1762"/>
      <c r="LC11" s="1762"/>
      <c r="LD11" s="1762"/>
      <c r="LE11" s="1762"/>
      <c r="LF11" s="1762"/>
      <c r="LG11" s="1762"/>
      <c r="LH11" s="1762"/>
      <c r="LI11" s="1762"/>
      <c r="LJ11" s="1762"/>
      <c r="LK11" s="1762"/>
      <c r="LL11" s="1762"/>
      <c r="LM11" s="1762"/>
      <c r="LN11" s="1762"/>
      <c r="LO11" s="1762"/>
      <c r="LP11" s="1762"/>
      <c r="LQ11" s="1762"/>
      <c r="LR11" s="1762"/>
      <c r="LS11" s="1762"/>
      <c r="LT11" s="1762"/>
      <c r="LU11" s="1762"/>
      <c r="LV11" s="1762"/>
      <c r="LW11" s="1762"/>
      <c r="LX11" s="1762"/>
      <c r="LY11" s="1762"/>
      <c r="LZ11" s="1762"/>
      <c r="MA11" s="330"/>
      <c r="MB11" s="330"/>
      <c r="MC11" s="330"/>
      <c r="MD11" s="330"/>
      <c r="ME11" s="330"/>
    </row>
    <row r="12" spans="1:665" s="32" customFormat="1" ht="32.85" customHeight="1">
      <c r="B12" s="1672"/>
      <c r="C12" s="1672"/>
      <c r="D12" s="1673"/>
      <c r="E12" s="1697" t="s">
        <v>873</v>
      </c>
      <c r="F12" s="1762"/>
      <c r="G12" s="1762"/>
      <c r="H12" s="1762"/>
      <c r="I12" s="1762"/>
      <c r="J12" s="1762"/>
      <c r="K12" s="1762"/>
      <c r="L12" s="1762"/>
      <c r="M12" s="1762"/>
      <c r="N12" s="1761"/>
      <c r="O12" s="1761"/>
      <c r="P12" s="1761"/>
      <c r="Q12" s="1761"/>
      <c r="R12" s="1761"/>
      <c r="S12" s="1761"/>
      <c r="T12" s="1761"/>
      <c r="U12" s="1761"/>
      <c r="V12" s="1761"/>
      <c r="W12" s="1761"/>
      <c r="X12" s="1761"/>
      <c r="Y12" s="1761"/>
      <c r="Z12" s="1761"/>
      <c r="AA12" s="1761"/>
      <c r="AB12" s="1761"/>
      <c r="AC12" s="1761"/>
      <c r="AD12" s="1761"/>
      <c r="AE12" s="1761"/>
      <c r="AF12" s="1761"/>
      <c r="AG12" s="1761"/>
      <c r="AH12" s="1761"/>
      <c r="AI12" s="1761"/>
      <c r="AJ12" s="1761"/>
      <c r="AK12" s="1761"/>
      <c r="AL12" s="1761"/>
      <c r="AM12" s="1761"/>
      <c r="AN12" s="1761"/>
      <c r="AO12" s="1761"/>
      <c r="AP12" s="1761"/>
      <c r="AQ12" s="1761"/>
      <c r="AR12" s="1761"/>
      <c r="AS12" s="1761"/>
      <c r="AT12" s="1761"/>
      <c r="AU12" s="1761"/>
      <c r="AV12" s="1761"/>
      <c r="AW12" s="1761"/>
      <c r="AX12" s="1761"/>
      <c r="AY12" s="1761"/>
      <c r="AZ12" s="1761"/>
      <c r="BA12" s="1761"/>
      <c r="BB12" s="1761"/>
      <c r="BC12" s="1835">
        <v>1100</v>
      </c>
      <c r="BD12" s="1835">
        <v>1100</v>
      </c>
      <c r="BE12" s="1835">
        <v>1100</v>
      </c>
      <c r="BF12" s="1835">
        <v>1100</v>
      </c>
      <c r="BG12" s="1835">
        <v>1100</v>
      </c>
      <c r="BH12" s="1835">
        <v>1100</v>
      </c>
      <c r="BI12" s="1836"/>
      <c r="BJ12" s="1836"/>
      <c r="BK12" s="1836"/>
      <c r="BL12" s="1836"/>
      <c r="BM12" s="1836"/>
      <c r="BN12" s="1836"/>
      <c r="BO12" s="1836"/>
      <c r="BP12" s="1836"/>
      <c r="BQ12" s="1836"/>
      <c r="BR12" s="1836"/>
      <c r="BS12" s="1836"/>
      <c r="BT12" s="1836"/>
      <c r="BU12" s="1836"/>
      <c r="BV12" s="1836"/>
      <c r="BW12" s="1836"/>
      <c r="BX12" s="1836"/>
      <c r="BY12" s="1836"/>
      <c r="BZ12" s="1836"/>
      <c r="CA12" s="1836"/>
      <c r="CB12" s="1836"/>
      <c r="CC12" s="1836"/>
      <c r="CD12" s="1761"/>
      <c r="CE12" s="1761"/>
      <c r="CF12" s="1761"/>
      <c r="CG12" s="1761"/>
      <c r="CH12" s="1761"/>
      <c r="CI12" s="1761"/>
      <c r="CJ12" s="1761"/>
      <c r="CK12" s="1761"/>
      <c r="CL12" s="1761"/>
      <c r="CM12" s="1835">
        <v>1100</v>
      </c>
      <c r="CN12" s="1835">
        <v>1100</v>
      </c>
      <c r="CO12" s="1835">
        <v>1100</v>
      </c>
      <c r="CP12" s="1835">
        <v>1100</v>
      </c>
      <c r="CQ12" s="1835">
        <v>1100</v>
      </c>
      <c r="CR12" s="1835">
        <v>1100</v>
      </c>
      <c r="CS12" s="1836"/>
      <c r="CT12" s="1836"/>
      <c r="CU12" s="1836"/>
      <c r="CV12" s="1836"/>
      <c r="CW12" s="1836"/>
      <c r="CX12" s="1836"/>
      <c r="CY12" s="1836"/>
      <c r="CZ12" s="1836"/>
      <c r="DA12" s="1836"/>
      <c r="DB12" s="1836"/>
      <c r="DC12" s="1836"/>
      <c r="DD12" s="1836"/>
      <c r="DE12" s="1836"/>
      <c r="DF12" s="1836"/>
      <c r="DG12" s="1836"/>
      <c r="DH12" s="1836"/>
      <c r="DI12" s="1836"/>
      <c r="DJ12" s="1836"/>
      <c r="DK12" s="1836"/>
      <c r="DL12" s="1761"/>
      <c r="DM12" s="1761"/>
      <c r="DN12" s="1761"/>
      <c r="DO12" s="1761"/>
      <c r="DP12" s="1761"/>
      <c r="DQ12" s="1761"/>
      <c r="DR12" s="1761"/>
      <c r="DS12" s="1761"/>
      <c r="DT12" s="1761"/>
      <c r="DU12" s="1761"/>
      <c r="DV12" s="1761"/>
      <c r="DW12" s="1761"/>
      <c r="DX12" s="1761"/>
      <c r="DY12" s="1761"/>
      <c r="DZ12" s="1761"/>
      <c r="EA12" s="1761"/>
      <c r="EB12" s="1761"/>
      <c r="EC12" s="1761"/>
      <c r="ED12" s="1761"/>
      <c r="EE12" s="1761"/>
      <c r="EF12" s="1761"/>
      <c r="EG12" s="1761"/>
      <c r="EH12" s="1761"/>
      <c r="EI12" s="1761"/>
      <c r="EJ12" s="1761"/>
      <c r="EK12" s="1761"/>
      <c r="EL12" s="1761"/>
      <c r="EM12" s="1761"/>
      <c r="EN12" s="1761"/>
      <c r="EO12" s="1761"/>
      <c r="EP12" s="1761"/>
      <c r="EQ12" s="1761"/>
      <c r="ER12" s="1761"/>
      <c r="ES12" s="1761"/>
      <c r="ET12" s="1761"/>
      <c r="EU12" s="1761"/>
      <c r="EV12" s="1761"/>
      <c r="EW12" s="1761"/>
      <c r="EX12" s="1761"/>
      <c r="EY12" s="1761"/>
      <c r="EZ12" s="1608">
        <v>1100</v>
      </c>
      <c r="FA12" s="1608">
        <v>1100</v>
      </c>
      <c r="FB12" s="1608">
        <v>1100</v>
      </c>
      <c r="FC12" s="1608">
        <v>1100</v>
      </c>
      <c r="FD12" s="1608">
        <v>1100</v>
      </c>
      <c r="FE12" s="1608">
        <v>1100</v>
      </c>
      <c r="FQ12" s="1608">
        <v>700</v>
      </c>
      <c r="FR12" s="1608">
        <v>700</v>
      </c>
      <c r="FS12" s="1608">
        <v>700</v>
      </c>
      <c r="FT12" s="1838"/>
      <c r="FU12" s="1838"/>
      <c r="FV12" s="1838"/>
      <c r="FW12" s="1839"/>
      <c r="FX12" s="1839"/>
      <c r="FY12" s="1761"/>
      <c r="FZ12" s="1761"/>
      <c r="GA12" s="1761"/>
      <c r="GB12" s="1761"/>
      <c r="GC12" s="1761"/>
      <c r="GD12" s="1761"/>
      <c r="GE12" s="1761"/>
      <c r="GF12" s="1761"/>
      <c r="GG12" s="1608">
        <v>1100</v>
      </c>
      <c r="GH12" s="1608">
        <v>1100</v>
      </c>
      <c r="GI12" s="1608">
        <v>1100</v>
      </c>
      <c r="GJ12" s="1608">
        <v>1100</v>
      </c>
      <c r="GK12" s="1608">
        <v>1100</v>
      </c>
      <c r="GL12" s="1608">
        <v>1100</v>
      </c>
      <c r="GX12" s="1608">
        <v>700</v>
      </c>
      <c r="GY12" s="1608">
        <v>700</v>
      </c>
      <c r="GZ12" s="1608">
        <v>700</v>
      </c>
      <c r="HA12" s="1838"/>
      <c r="HB12" s="1838"/>
      <c r="HC12" s="1838"/>
      <c r="HD12" s="1839"/>
      <c r="HE12" s="1839"/>
      <c r="HF12" s="1761"/>
      <c r="HG12" s="1761"/>
      <c r="HH12" s="1761"/>
      <c r="HI12" s="1761"/>
      <c r="HJ12" s="1761"/>
      <c r="HK12" s="1761"/>
      <c r="HL12" s="1761"/>
      <c r="HM12" s="1761"/>
      <c r="HN12" s="1761"/>
      <c r="HO12" s="1761"/>
      <c r="HP12" s="1761"/>
      <c r="HQ12" s="1608">
        <v>1100</v>
      </c>
      <c r="HR12" s="1608">
        <v>1100</v>
      </c>
      <c r="HS12" s="1608">
        <v>1100</v>
      </c>
      <c r="HT12" s="1608">
        <v>1100</v>
      </c>
      <c r="HU12" s="1608">
        <v>1100</v>
      </c>
      <c r="HV12" s="1608">
        <v>1100</v>
      </c>
      <c r="IH12" s="1608">
        <v>700</v>
      </c>
      <c r="II12" s="1608">
        <v>700</v>
      </c>
      <c r="IJ12" s="1608">
        <v>700</v>
      </c>
      <c r="IK12" s="1838"/>
      <c r="IL12" s="1838"/>
      <c r="IM12" s="1838"/>
      <c r="IN12" s="1839"/>
      <c r="IO12" s="1839"/>
      <c r="IP12" s="1761"/>
      <c r="IQ12" s="1761"/>
      <c r="IR12" s="1761"/>
      <c r="IS12" s="1761"/>
      <c r="IT12" s="1761"/>
      <c r="IU12" s="1761"/>
      <c r="IV12" s="1761"/>
      <c r="IW12" s="1761"/>
      <c r="IX12" s="1761"/>
      <c r="IY12" s="1761"/>
      <c r="IZ12" s="1761"/>
      <c r="JA12" s="1761"/>
      <c r="JB12" s="1762"/>
      <c r="JC12" s="1762"/>
      <c r="JD12" s="1762"/>
      <c r="JE12" s="1762"/>
      <c r="JF12" s="1762"/>
      <c r="JG12" s="1762"/>
      <c r="JH12" s="1762"/>
      <c r="JI12" s="1762"/>
      <c r="JJ12" s="1762"/>
      <c r="JK12" s="1762"/>
      <c r="JL12" s="1762"/>
      <c r="JM12" s="1762"/>
      <c r="JN12" s="1762"/>
      <c r="JO12" s="1762"/>
      <c r="JP12" s="1762"/>
      <c r="JQ12" s="1762"/>
      <c r="JR12" s="1762"/>
      <c r="JS12" s="1762"/>
      <c r="JT12" s="1762"/>
      <c r="JU12" s="1762"/>
      <c r="JV12" s="1762"/>
      <c r="JW12" s="1762"/>
      <c r="JX12" s="1762"/>
      <c r="JY12" s="1762"/>
      <c r="JZ12" s="1762"/>
      <c r="KA12" s="1762"/>
      <c r="KB12" s="1762"/>
      <c r="KC12" s="1762"/>
      <c r="KD12" s="1762"/>
      <c r="KE12" s="1762"/>
      <c r="KF12" s="1762"/>
      <c r="KG12" s="1762"/>
      <c r="KH12" s="1762"/>
      <c r="KI12" s="1762"/>
      <c r="KJ12" s="1762"/>
      <c r="KK12" s="1762"/>
      <c r="KL12" s="1762"/>
      <c r="KM12" s="1762"/>
      <c r="KN12" s="1762"/>
      <c r="KO12" s="1762"/>
      <c r="KP12" s="1762"/>
      <c r="KQ12" s="1762"/>
      <c r="KR12" s="1762"/>
      <c r="KS12" s="1762"/>
      <c r="KT12" s="1762"/>
      <c r="KU12" s="1762"/>
      <c r="KV12" s="1762"/>
      <c r="KW12" s="1762"/>
      <c r="KX12" s="1762"/>
      <c r="KY12" s="1762"/>
      <c r="KZ12" s="1762"/>
      <c r="LA12" s="1762"/>
      <c r="LB12" s="1762"/>
      <c r="LC12" s="1762"/>
      <c r="LD12" s="1762"/>
      <c r="LE12" s="1762"/>
      <c r="LF12" s="1762"/>
      <c r="LG12" s="1762"/>
      <c r="LH12" s="1762"/>
      <c r="LI12" s="1762"/>
      <c r="LJ12" s="1762"/>
      <c r="LK12" s="1762"/>
      <c r="LL12" s="1762"/>
      <c r="LM12" s="1762"/>
      <c r="LN12" s="1762"/>
      <c r="LO12" s="1762"/>
      <c r="LP12" s="1762"/>
      <c r="LQ12" s="1762"/>
      <c r="LR12" s="1762"/>
      <c r="LS12" s="1762"/>
      <c r="LT12" s="1762"/>
      <c r="LU12" s="1762"/>
      <c r="LV12" s="1762"/>
      <c r="LW12" s="1762"/>
      <c r="LX12" s="1762"/>
      <c r="LY12" s="1762"/>
      <c r="LZ12" s="1762"/>
      <c r="MA12" s="1672"/>
      <c r="MB12" s="1672"/>
      <c r="MC12" s="1672"/>
      <c r="MD12" s="1672"/>
    </row>
    <row r="13" spans="1:665" s="74" customFormat="1" ht="25.35" customHeight="1">
      <c r="D13" s="134"/>
      <c r="E13" s="1694"/>
      <c r="F13" s="1761"/>
      <c r="G13" s="1761"/>
      <c r="H13" s="1761"/>
      <c r="I13" s="1761"/>
      <c r="J13" s="1761"/>
      <c r="K13" s="1761"/>
      <c r="L13" s="1761"/>
      <c r="M13" s="1761"/>
      <c r="N13" s="1761"/>
      <c r="O13" s="1761"/>
      <c r="P13" s="1761"/>
      <c r="Q13" s="1761"/>
      <c r="R13" s="1761"/>
      <c r="S13" s="1761"/>
      <c r="T13" s="1761"/>
      <c r="U13" s="1761"/>
      <c r="V13" s="1761"/>
      <c r="W13" s="1761"/>
      <c r="X13" s="1761"/>
      <c r="Y13" s="1761"/>
      <c r="Z13" s="1761"/>
      <c r="AA13" s="1761"/>
      <c r="AB13" s="1761"/>
      <c r="AC13" s="1761"/>
      <c r="AD13" s="1761"/>
      <c r="AE13" s="1761"/>
      <c r="AF13" s="1761"/>
      <c r="AG13" s="1761"/>
      <c r="AH13" s="1761"/>
      <c r="AI13" s="1761"/>
      <c r="AJ13" s="1761"/>
      <c r="AK13" s="1761"/>
      <c r="AL13" s="1761"/>
      <c r="AM13" s="1761"/>
      <c r="AN13" s="1761"/>
      <c r="AO13" s="1761"/>
      <c r="AP13" s="1761"/>
      <c r="AQ13" s="1761"/>
      <c r="AR13" s="1761"/>
      <c r="AS13" s="1761"/>
      <c r="AT13" s="1761"/>
      <c r="AU13" s="1761"/>
      <c r="AV13" s="1761"/>
      <c r="AW13" s="1761"/>
      <c r="AX13" s="1761"/>
      <c r="AY13" s="1761"/>
      <c r="AZ13" s="1761"/>
      <c r="BA13" s="1761"/>
      <c r="BB13" s="1761"/>
      <c r="BC13" s="1761"/>
      <c r="BD13" s="1761"/>
      <c r="BE13" s="1761"/>
      <c r="BF13" s="1761"/>
      <c r="BG13" s="1761"/>
      <c r="BH13" s="1761"/>
      <c r="BI13" s="1761"/>
      <c r="BJ13" s="1761"/>
      <c r="BK13" s="1761"/>
      <c r="BL13" s="1761"/>
      <c r="BM13" s="1761"/>
      <c r="BN13" s="1761"/>
      <c r="BO13" s="1761"/>
      <c r="BP13" s="1761"/>
      <c r="BQ13" s="1761"/>
      <c r="BR13" s="1761"/>
      <c r="BS13" s="1761"/>
      <c r="BT13" s="1761"/>
      <c r="BU13" s="1761"/>
      <c r="BV13" s="1761"/>
      <c r="BW13" s="1761"/>
      <c r="BX13" s="1761"/>
      <c r="BY13" s="1761"/>
      <c r="BZ13" s="1761"/>
      <c r="CA13" s="1761"/>
      <c r="CB13" s="1761"/>
      <c r="CC13" s="1761"/>
      <c r="CD13" s="1761"/>
      <c r="CE13" s="1761"/>
      <c r="CF13" s="1761"/>
      <c r="CG13" s="1761"/>
      <c r="CH13" s="1761"/>
      <c r="CI13" s="1761"/>
      <c r="CJ13" s="1761"/>
      <c r="CK13" s="1761"/>
      <c r="CL13" s="1761"/>
      <c r="CM13" s="1761"/>
      <c r="CN13" s="1761"/>
      <c r="CO13" s="1761"/>
      <c r="CP13" s="1761"/>
      <c r="CQ13" s="1761"/>
      <c r="CR13" s="1761"/>
      <c r="CS13" s="1761"/>
      <c r="CT13" s="1761"/>
      <c r="CU13" s="1761"/>
      <c r="CV13" s="1761"/>
      <c r="CW13" s="1761"/>
      <c r="CX13" s="1761"/>
      <c r="CY13" s="1761"/>
      <c r="CZ13" s="1761"/>
      <c r="DA13" s="1761"/>
      <c r="DB13" s="1761"/>
      <c r="DC13" s="1761"/>
      <c r="DD13" s="1761"/>
      <c r="DE13" s="1761"/>
      <c r="DF13" s="1761"/>
      <c r="DG13" s="1761"/>
      <c r="DH13" s="1761"/>
      <c r="DI13" s="1761"/>
      <c r="DJ13" s="1761"/>
      <c r="DK13" s="1761"/>
      <c r="DL13" s="1761"/>
      <c r="DM13" s="1761"/>
      <c r="DN13" s="1761"/>
      <c r="DO13" s="1761"/>
      <c r="DP13" s="1761"/>
      <c r="DQ13" s="1761"/>
      <c r="DR13" s="1761"/>
      <c r="DS13" s="1761"/>
      <c r="DT13" s="1761"/>
      <c r="DU13" s="1761"/>
      <c r="DV13" s="1761"/>
      <c r="DW13" s="1761"/>
      <c r="DX13" s="1761"/>
      <c r="DY13" s="1761"/>
      <c r="DZ13" s="1761"/>
      <c r="EA13" s="1761"/>
      <c r="EB13" s="1761"/>
      <c r="EC13" s="1761"/>
      <c r="ED13" s="1761"/>
      <c r="EE13" s="1761"/>
      <c r="EF13" s="1761"/>
      <c r="EG13" s="1761"/>
      <c r="EH13" s="1761"/>
      <c r="EI13" s="1761"/>
      <c r="EJ13" s="1761"/>
      <c r="EK13" s="1761"/>
      <c r="EL13" s="1761"/>
      <c r="EM13" s="1761"/>
      <c r="EN13" s="1761"/>
      <c r="EO13" s="1761"/>
      <c r="EP13" s="1761"/>
      <c r="EQ13" s="1761"/>
      <c r="ER13" s="1761"/>
      <c r="ES13" s="1761"/>
      <c r="ET13" s="1761"/>
      <c r="EU13" s="1761"/>
      <c r="EV13" s="1761"/>
      <c r="EW13" s="1761"/>
      <c r="EX13" s="1761"/>
      <c r="EY13" s="1761"/>
      <c r="EZ13" s="1761"/>
      <c r="FA13" s="1761"/>
      <c r="FB13" s="1761"/>
      <c r="FC13" s="1761"/>
      <c r="FD13" s="1761"/>
      <c r="FE13" s="1761"/>
      <c r="FF13" s="1761"/>
      <c r="FG13" s="1761"/>
      <c r="FH13" s="1761"/>
      <c r="FI13" s="1761"/>
      <c r="FJ13" s="1761"/>
      <c r="FK13" s="1761"/>
      <c r="FL13" s="1761"/>
      <c r="FM13" s="1761"/>
      <c r="FN13" s="1761"/>
      <c r="FO13" s="1761"/>
      <c r="FP13" s="1761"/>
      <c r="FQ13" s="1761"/>
      <c r="FR13" s="1761"/>
      <c r="FS13" s="1761"/>
      <c r="FT13" s="1761"/>
      <c r="FU13" s="1761"/>
      <c r="FV13" s="1761"/>
      <c r="FW13" s="1761"/>
      <c r="FX13" s="1761"/>
      <c r="FY13" s="1761"/>
      <c r="FZ13" s="1761"/>
      <c r="GA13" s="1761"/>
      <c r="GB13" s="1761"/>
      <c r="GC13" s="1761"/>
      <c r="GD13" s="1761"/>
      <c r="GE13" s="1761"/>
      <c r="GF13" s="1761"/>
      <c r="GG13" s="1761"/>
      <c r="GH13" s="1761"/>
      <c r="GI13" s="1761"/>
      <c r="GJ13" s="1761"/>
      <c r="GK13" s="1761"/>
      <c r="GL13" s="1761"/>
      <c r="GM13" s="1761"/>
      <c r="GN13" s="1761"/>
      <c r="GO13" s="1761"/>
      <c r="GP13" s="1761"/>
      <c r="GQ13" s="1761"/>
      <c r="GR13" s="1761"/>
      <c r="GS13" s="1761"/>
      <c r="GT13" s="1761"/>
      <c r="GU13" s="1761"/>
      <c r="GV13" s="1761"/>
      <c r="GW13" s="1761"/>
      <c r="GX13" s="1761"/>
      <c r="GY13" s="1761"/>
      <c r="GZ13" s="1761"/>
      <c r="HA13" s="1761"/>
      <c r="HB13" s="1761"/>
      <c r="HC13" s="1761"/>
      <c r="HD13" s="1761"/>
      <c r="HE13" s="1761"/>
      <c r="HF13" s="1761"/>
      <c r="HG13" s="1761"/>
      <c r="HH13" s="1761"/>
      <c r="HI13" s="1761"/>
      <c r="HJ13" s="1761"/>
      <c r="HK13" s="1761"/>
      <c r="HL13" s="1761"/>
      <c r="HM13" s="1761"/>
      <c r="HN13" s="1761"/>
      <c r="HO13" s="1761"/>
      <c r="HP13" s="1761"/>
      <c r="HQ13" s="1761"/>
      <c r="HR13" s="1761"/>
      <c r="HS13" s="1761"/>
      <c r="HT13" s="1761"/>
      <c r="HU13" s="1761"/>
      <c r="HV13" s="1761"/>
      <c r="HW13" s="1761"/>
      <c r="HX13" s="1761"/>
      <c r="HY13" s="1761"/>
      <c r="HZ13" s="1761"/>
      <c r="IA13" s="1761"/>
      <c r="IB13" s="1761"/>
      <c r="IC13" s="1761"/>
      <c r="ID13" s="1761"/>
      <c r="IE13" s="1761"/>
      <c r="IF13" s="1761"/>
      <c r="IG13" s="1761"/>
      <c r="IH13" s="1761"/>
      <c r="II13" s="1761"/>
      <c r="IJ13" s="1761"/>
      <c r="IK13" s="1761"/>
      <c r="IL13" s="1761"/>
      <c r="IM13" s="1761"/>
      <c r="IN13" s="1761"/>
      <c r="IO13" s="1761"/>
      <c r="IP13" s="1761"/>
      <c r="IQ13" s="1761"/>
      <c r="IR13" s="1761"/>
      <c r="IS13" s="1761"/>
      <c r="IT13" s="1761"/>
      <c r="IU13" s="1761"/>
      <c r="IV13" s="1761"/>
      <c r="IW13" s="1761"/>
      <c r="IX13" s="1761"/>
      <c r="IY13" s="1761"/>
      <c r="IZ13" s="1762"/>
      <c r="JA13" s="1762"/>
      <c r="JB13" s="1762"/>
      <c r="JC13" s="1762"/>
      <c r="JD13" s="1762"/>
      <c r="JE13" s="1762"/>
      <c r="JF13" s="1762"/>
      <c r="JG13" s="1762"/>
      <c r="JH13" s="1762"/>
      <c r="JI13" s="1762"/>
      <c r="JJ13" s="1762"/>
      <c r="JK13" s="1762"/>
      <c r="JL13" s="1762"/>
      <c r="JM13" s="1762"/>
      <c r="JN13" s="1762"/>
      <c r="JO13" s="1762"/>
      <c r="JP13" s="1762"/>
      <c r="JQ13" s="1762"/>
      <c r="JR13" s="1762"/>
      <c r="JS13" s="1762"/>
      <c r="JT13" s="1762"/>
      <c r="JU13" s="1762"/>
      <c r="JV13" s="1762"/>
      <c r="JW13" s="1762"/>
      <c r="JX13" s="1762"/>
      <c r="JY13" s="1762"/>
      <c r="JZ13" s="1762"/>
      <c r="KA13" s="1762"/>
      <c r="KB13" s="1762"/>
      <c r="KC13" s="1762"/>
      <c r="KD13" s="1762"/>
      <c r="KE13" s="1762"/>
      <c r="KF13" s="1762"/>
      <c r="KG13" s="1762"/>
      <c r="KH13" s="1762"/>
      <c r="KI13" s="1762"/>
      <c r="KJ13" s="1762"/>
      <c r="KK13" s="1762"/>
      <c r="KL13" s="1762"/>
      <c r="KM13" s="1762"/>
      <c r="KN13" s="1762"/>
      <c r="KO13" s="1762"/>
      <c r="KP13" s="1762"/>
      <c r="KQ13" s="1762"/>
      <c r="KR13" s="1762"/>
      <c r="KS13" s="1762"/>
      <c r="KT13" s="1762"/>
      <c r="KU13" s="1762"/>
      <c r="KV13" s="1762"/>
      <c r="KW13" s="1762"/>
      <c r="KX13" s="1762"/>
      <c r="KY13" s="1762"/>
      <c r="KZ13" s="1762"/>
      <c r="LA13" s="1762"/>
      <c r="LB13" s="1762"/>
      <c r="LC13" s="1762"/>
      <c r="LD13" s="1762"/>
      <c r="LE13" s="1762"/>
      <c r="LF13" s="1762"/>
      <c r="LG13" s="1762"/>
      <c r="LH13" s="1762"/>
      <c r="LI13" s="1762"/>
      <c r="LJ13" s="1762"/>
      <c r="LK13" s="1762"/>
      <c r="LL13" s="1762"/>
      <c r="LM13" s="1762"/>
      <c r="LN13" s="1762"/>
      <c r="LO13" s="1762"/>
      <c r="LP13" s="1762"/>
      <c r="LQ13" s="1762"/>
      <c r="LR13" s="1762"/>
      <c r="LS13" s="1762"/>
      <c r="LT13" s="1762"/>
      <c r="LU13" s="1762"/>
      <c r="LV13" s="1762"/>
      <c r="LW13" s="1762"/>
      <c r="LX13" s="1762"/>
      <c r="LY13" s="1762"/>
      <c r="LZ13" s="330"/>
      <c r="MA13" s="330"/>
      <c r="MB13" s="330"/>
      <c r="MC13" s="330"/>
      <c r="MD13" s="330"/>
      <c r="ME13" s="330"/>
      <c r="MF13" s="330"/>
      <c r="MG13" s="330"/>
      <c r="MH13" s="330"/>
      <c r="MI13" s="330"/>
      <c r="MJ13" s="330"/>
      <c r="MK13" s="330"/>
      <c r="ML13" s="330"/>
      <c r="MM13" s="330"/>
      <c r="MN13" s="330"/>
      <c r="MO13" s="330"/>
      <c r="MP13" s="330"/>
      <c r="MQ13" s="330"/>
      <c r="MR13" s="330"/>
      <c r="MS13" s="330"/>
      <c r="MT13" s="330"/>
      <c r="MU13" s="330"/>
      <c r="MV13" s="330"/>
      <c r="MW13" s="330"/>
      <c r="MX13" s="330"/>
      <c r="MY13" s="330"/>
      <c r="MZ13" s="330"/>
      <c r="NA13" s="330"/>
      <c r="NB13" s="330"/>
      <c r="NC13" s="330"/>
      <c r="ND13" s="330"/>
      <c r="NE13" s="330"/>
      <c r="NF13" s="330"/>
      <c r="NG13" s="330"/>
      <c r="NH13" s="330"/>
      <c r="NI13" s="330"/>
      <c r="NJ13" s="330"/>
      <c r="NK13" s="330"/>
      <c r="NL13" s="330"/>
      <c r="NM13" s="330"/>
      <c r="NN13" s="330"/>
      <c r="NO13" s="330"/>
      <c r="NP13" s="330"/>
      <c r="NQ13" s="330"/>
      <c r="NR13" s="330"/>
      <c r="NS13" s="330"/>
      <c r="NT13" s="330"/>
      <c r="NU13" s="330"/>
      <c r="NV13" s="330"/>
      <c r="NW13" s="330"/>
      <c r="NX13" s="330"/>
      <c r="NY13" s="330"/>
      <c r="NZ13" s="330"/>
      <c r="OA13" s="330"/>
      <c r="OB13" s="330"/>
      <c r="OC13" s="330"/>
      <c r="OD13" s="330"/>
      <c r="OE13" s="330"/>
      <c r="OF13" s="330"/>
      <c r="OG13" s="330"/>
      <c r="OH13" s="330"/>
      <c r="OI13" s="330"/>
      <c r="OJ13" s="330"/>
      <c r="OK13" s="330"/>
      <c r="OL13" s="330"/>
      <c r="OM13" s="330"/>
      <c r="ON13" s="330"/>
      <c r="OO13" s="330"/>
      <c r="OP13" s="330"/>
      <c r="OQ13" s="330"/>
      <c r="OR13" s="330"/>
      <c r="OS13" s="330"/>
      <c r="OT13" s="330"/>
      <c r="OU13" s="330"/>
      <c r="OV13" s="330"/>
      <c r="OW13" s="330"/>
      <c r="OX13" s="330"/>
      <c r="OY13" s="330"/>
      <c r="OZ13" s="330"/>
      <c r="PA13" s="330"/>
      <c r="PB13" s="330"/>
      <c r="PC13" s="330"/>
      <c r="PD13" s="330"/>
      <c r="PE13" s="330"/>
      <c r="PF13" s="330"/>
      <c r="PG13" s="330"/>
      <c r="PH13" s="330"/>
      <c r="PI13" s="330"/>
      <c r="PJ13" s="330"/>
      <c r="PK13" s="330"/>
      <c r="PL13" s="330"/>
      <c r="PM13" s="330"/>
      <c r="PN13" s="330"/>
      <c r="PO13" s="330"/>
      <c r="PP13" s="330"/>
      <c r="PQ13" s="330"/>
      <c r="PR13" s="330"/>
      <c r="PS13" s="330"/>
      <c r="PT13" s="330"/>
      <c r="PU13" s="330"/>
      <c r="PV13" s="330"/>
      <c r="PW13" s="330"/>
      <c r="PX13" s="330"/>
      <c r="PY13" s="330"/>
      <c r="PZ13" s="330"/>
      <c r="QA13" s="330"/>
      <c r="QB13" s="330"/>
      <c r="QC13" s="330"/>
      <c r="QD13" s="330"/>
      <c r="QE13" s="330"/>
      <c r="QF13" s="330"/>
      <c r="QG13" s="330"/>
      <c r="QH13" s="330"/>
      <c r="QI13" s="330"/>
      <c r="QJ13" s="330"/>
      <c r="QK13" s="330"/>
      <c r="QL13" s="330"/>
    </row>
    <row r="14" spans="1:665" s="74" customFormat="1" ht="25.35" customHeight="1">
      <c r="B14" s="2422" t="s">
        <v>329</v>
      </c>
      <c r="C14" s="2422"/>
      <c r="D14" s="2422"/>
      <c r="E14" s="1694"/>
      <c r="F14" s="1761"/>
      <c r="G14" s="1761"/>
      <c r="H14" s="1761"/>
      <c r="I14" s="1761"/>
      <c r="J14" s="1761"/>
      <c r="K14" s="1761"/>
      <c r="L14" s="1761"/>
      <c r="M14" s="1761"/>
      <c r="N14" s="1761"/>
      <c r="O14" s="1761"/>
      <c r="P14" s="1761"/>
      <c r="Q14" s="1761"/>
      <c r="R14" s="1761"/>
      <c r="S14" s="1761"/>
      <c r="T14" s="1761"/>
      <c r="U14" s="1761"/>
      <c r="V14" s="1761"/>
      <c r="W14" s="1761"/>
      <c r="X14" s="1761"/>
      <c r="Y14" s="1761"/>
      <c r="Z14" s="1761"/>
      <c r="AA14" s="1761"/>
      <c r="AB14" s="1761"/>
      <c r="AC14" s="1761"/>
      <c r="AD14" s="1761"/>
      <c r="AE14" s="1761"/>
      <c r="AF14" s="1761"/>
      <c r="AG14" s="1761"/>
      <c r="AH14" s="1761"/>
      <c r="AI14" s="1761"/>
      <c r="AJ14" s="1761"/>
      <c r="AK14" s="1761"/>
      <c r="AL14" s="1761"/>
      <c r="AM14" s="1761"/>
      <c r="AN14" s="1761"/>
      <c r="AO14" s="1761"/>
      <c r="AP14" s="1761"/>
      <c r="AQ14" s="1761"/>
      <c r="AR14" s="1761"/>
      <c r="AS14" s="1761"/>
      <c r="AT14" s="1761"/>
      <c r="AU14" s="1761"/>
      <c r="AV14" s="1761"/>
      <c r="AW14" s="1761"/>
      <c r="AX14" s="1761"/>
      <c r="AY14" s="1761"/>
      <c r="AZ14" s="1761"/>
      <c r="BA14" s="1761"/>
      <c r="BB14" s="1761"/>
      <c r="BC14" s="1761"/>
      <c r="BD14" s="1761"/>
      <c r="BE14" s="1761"/>
      <c r="BF14" s="1761"/>
      <c r="BG14" s="1761"/>
      <c r="BH14" s="1761"/>
      <c r="BI14" s="1761"/>
      <c r="BJ14" s="1761"/>
      <c r="BK14" s="1761"/>
      <c r="BL14" s="1761"/>
      <c r="BM14" s="1761"/>
      <c r="BN14" s="1761"/>
      <c r="BO14" s="1761"/>
      <c r="BP14" s="1761"/>
      <c r="BQ14" s="1761"/>
      <c r="BR14" s="1761"/>
      <c r="BS14" s="1761"/>
      <c r="BT14" s="1761"/>
      <c r="BU14" s="1761"/>
      <c r="BV14" s="1761"/>
      <c r="BW14" s="1761"/>
      <c r="BX14" s="1761"/>
      <c r="BY14" s="1761"/>
      <c r="BZ14" s="1761"/>
      <c r="CA14" s="1761"/>
      <c r="CB14" s="1761"/>
      <c r="CC14" s="1761"/>
      <c r="CD14" s="1761"/>
      <c r="CE14" s="1761"/>
      <c r="CF14" s="1761"/>
      <c r="CG14" s="1761"/>
      <c r="CH14" s="1761"/>
      <c r="CI14" s="1761"/>
      <c r="CJ14" s="1761"/>
      <c r="CK14" s="1761"/>
      <c r="CL14" s="1761"/>
      <c r="CM14" s="1761"/>
      <c r="CN14" s="1761"/>
      <c r="CO14" s="1761"/>
      <c r="CP14" s="1761"/>
      <c r="CQ14" s="1761"/>
      <c r="CR14" s="1761"/>
      <c r="CS14" s="1761"/>
      <c r="CT14" s="1761"/>
      <c r="CU14" s="1761"/>
      <c r="CV14" s="1761"/>
      <c r="CW14" s="1761"/>
      <c r="CX14" s="1761"/>
      <c r="CY14" s="1761"/>
      <c r="CZ14" s="1761"/>
      <c r="DA14" s="1761"/>
      <c r="DB14" s="1761"/>
      <c r="DC14" s="1761"/>
      <c r="DD14" s="1761"/>
      <c r="DE14" s="1761"/>
      <c r="DF14" s="1761"/>
      <c r="DG14" s="1761"/>
      <c r="DH14" s="1761"/>
      <c r="DI14" s="1761"/>
      <c r="DJ14" s="1761"/>
      <c r="DK14" s="1761"/>
      <c r="DL14" s="1761"/>
      <c r="DM14" s="2135" t="s">
        <v>1020</v>
      </c>
      <c r="DN14" s="2136"/>
      <c r="DO14" s="2136"/>
      <c r="DP14" s="2136"/>
      <c r="DQ14" s="2136"/>
      <c r="DR14" s="2136"/>
      <c r="DS14" s="2136"/>
      <c r="DT14" s="2136"/>
      <c r="DU14" s="2136"/>
      <c r="DV14" s="2136"/>
      <c r="DW14" s="2136"/>
      <c r="DX14" s="2136"/>
      <c r="DY14" s="2136"/>
      <c r="DZ14" s="2136"/>
      <c r="EA14" s="2136"/>
      <c r="EB14" s="2136"/>
      <c r="EC14" s="2137"/>
      <c r="ED14" s="1761"/>
      <c r="EE14" s="1761"/>
      <c r="EF14" s="1761"/>
      <c r="EG14" s="1761"/>
      <c r="EH14" s="1761"/>
      <c r="EI14" s="1761"/>
      <c r="EJ14" s="1761"/>
      <c r="EK14" s="1761"/>
      <c r="EL14" s="1761"/>
      <c r="EM14" s="1761"/>
      <c r="EN14" s="1761"/>
      <c r="EO14" s="1761"/>
      <c r="EP14" s="1761"/>
      <c r="EQ14" s="1761"/>
      <c r="ER14" s="1761"/>
      <c r="ES14" s="1761"/>
      <c r="ET14" s="1761"/>
      <c r="EU14" s="1761"/>
      <c r="EV14" s="1761"/>
      <c r="EW14" s="1761"/>
      <c r="EX14" s="1761"/>
      <c r="EY14" s="1761"/>
      <c r="EZ14" s="1761"/>
      <c r="FA14" s="1761"/>
      <c r="FB14" s="1761"/>
      <c r="FC14" s="1761"/>
      <c r="FD14" s="1761"/>
      <c r="FE14" s="1761"/>
      <c r="FF14" s="1761"/>
      <c r="FG14" s="1761"/>
      <c r="FH14" s="1761"/>
      <c r="FI14" s="1761"/>
      <c r="FJ14" s="1761"/>
      <c r="FK14" s="1761"/>
      <c r="FL14" s="1761"/>
      <c r="FM14" s="1761"/>
      <c r="FN14" s="1761"/>
      <c r="FO14" s="1761"/>
      <c r="FP14" s="1761"/>
      <c r="FQ14" s="1761"/>
      <c r="FR14" s="1761"/>
      <c r="FS14" s="1761"/>
      <c r="FT14" s="1761"/>
      <c r="FU14" s="1761"/>
      <c r="FV14" s="1761"/>
      <c r="FW14" s="1761"/>
      <c r="FX14" s="1761"/>
      <c r="FY14" s="1761"/>
      <c r="FZ14" s="1761"/>
      <c r="GA14" s="1761"/>
      <c r="GB14" s="1761"/>
      <c r="GC14" s="1761"/>
      <c r="GD14" s="1761"/>
      <c r="GE14" s="1761"/>
      <c r="GF14" s="1761"/>
      <c r="GG14" s="1761"/>
      <c r="GH14" s="1761"/>
      <c r="GI14" s="1761"/>
      <c r="GJ14" s="1761"/>
      <c r="GK14" s="1761"/>
      <c r="GL14" s="1761"/>
      <c r="GM14" s="1761"/>
      <c r="GN14" s="1761"/>
      <c r="GO14" s="1761"/>
      <c r="GP14" s="1761"/>
      <c r="GQ14" s="1761"/>
      <c r="GR14" s="1761"/>
      <c r="GS14" s="1761"/>
      <c r="GT14" s="1761"/>
      <c r="GU14" s="1761"/>
      <c r="GV14" s="1761"/>
      <c r="GW14" s="1761"/>
      <c r="GX14" s="1761"/>
      <c r="GY14" s="1761"/>
      <c r="GZ14" s="1761"/>
      <c r="HA14" s="1761"/>
      <c r="HB14" s="1761"/>
      <c r="HC14" s="1761"/>
      <c r="HD14" s="1761"/>
      <c r="HE14" s="1761"/>
      <c r="HF14" s="1761"/>
      <c r="HG14" s="1761"/>
      <c r="HH14" s="1761"/>
      <c r="HI14" s="1761"/>
      <c r="HJ14" s="1761"/>
      <c r="HK14" s="1761"/>
      <c r="HL14" s="1761"/>
      <c r="HM14" s="1761"/>
      <c r="HN14" s="1761"/>
      <c r="HO14" s="1761"/>
      <c r="HP14" s="1761"/>
      <c r="HQ14" s="1761"/>
      <c r="HR14" s="1761"/>
      <c r="HS14" s="1761"/>
      <c r="HT14" s="1761"/>
      <c r="HU14" s="1761"/>
      <c r="HV14" s="1761"/>
      <c r="HW14" s="1761"/>
      <c r="HX14" s="1761"/>
      <c r="HY14" s="1761"/>
      <c r="HZ14" s="1761"/>
      <c r="IA14" s="1761"/>
      <c r="IB14" s="1761"/>
      <c r="IC14" s="1761"/>
      <c r="ID14" s="1761"/>
      <c r="IE14" s="1761"/>
      <c r="IF14" s="1761"/>
      <c r="IG14" s="1761"/>
      <c r="IH14" s="1761"/>
      <c r="II14" s="1761"/>
      <c r="IJ14" s="2135" t="s">
        <v>1020</v>
      </c>
      <c r="IK14" s="2136"/>
      <c r="IL14" s="2136"/>
      <c r="IM14" s="2136"/>
      <c r="IN14" s="2136"/>
      <c r="IO14" s="2136"/>
      <c r="IP14" s="2136"/>
      <c r="IQ14" s="2136"/>
      <c r="IR14" s="2136"/>
      <c r="IS14" s="2136"/>
      <c r="IT14" s="2136"/>
      <c r="IU14" s="2136"/>
      <c r="IV14" s="2136"/>
      <c r="IW14" s="2136"/>
      <c r="IX14" s="2136"/>
      <c r="IY14" s="2136"/>
      <c r="IZ14" s="2137"/>
      <c r="JA14" s="1762"/>
      <c r="JB14" s="1762"/>
      <c r="JC14" s="1762"/>
      <c r="JD14" s="1762"/>
      <c r="JE14" s="1762"/>
      <c r="JF14" s="1762"/>
      <c r="JG14" s="1762"/>
      <c r="JH14" s="1762"/>
      <c r="JI14" s="1762"/>
      <c r="JJ14" s="1762"/>
      <c r="JK14" s="1762"/>
      <c r="JL14" s="1762"/>
      <c r="JM14" s="1762"/>
      <c r="JN14" s="1762"/>
      <c r="JO14" s="1762"/>
      <c r="JP14" s="1762"/>
      <c r="JQ14" s="1762"/>
      <c r="JR14" s="1762"/>
      <c r="JS14" s="1762"/>
      <c r="JT14" s="1762"/>
      <c r="JU14" s="1762"/>
      <c r="JV14" s="1762"/>
      <c r="JW14" s="1762"/>
      <c r="JX14" s="1762"/>
      <c r="JY14" s="1762"/>
      <c r="JZ14" s="1762"/>
      <c r="KA14" s="1762"/>
      <c r="KB14" s="1762"/>
      <c r="KC14" s="1762"/>
      <c r="KD14" s="1762"/>
      <c r="KE14" s="1762"/>
      <c r="KF14" s="1762"/>
      <c r="KG14" s="1762"/>
      <c r="KH14" s="1762"/>
      <c r="KI14" s="1762"/>
      <c r="KJ14" s="1762"/>
      <c r="KK14" s="1762"/>
      <c r="KL14" s="1762"/>
      <c r="KM14" s="1762"/>
      <c r="KN14" s="1762"/>
      <c r="KO14" s="1762"/>
      <c r="KP14" s="1762"/>
      <c r="KQ14" s="1762"/>
      <c r="KR14" s="1762"/>
      <c r="KS14" s="1762"/>
      <c r="KT14" s="1762"/>
      <c r="KU14" s="1762"/>
      <c r="KV14" s="1762"/>
      <c r="KW14" s="1762"/>
      <c r="KX14" s="1762"/>
      <c r="KY14" s="1762"/>
      <c r="KZ14" s="1762"/>
      <c r="LA14" s="1762"/>
      <c r="LB14" s="1762"/>
      <c r="LC14" s="1762"/>
      <c r="LD14" s="1762"/>
      <c r="LE14" s="1762"/>
      <c r="LF14" s="1762"/>
      <c r="LG14" s="1762"/>
      <c r="LH14" s="1762"/>
      <c r="LI14" s="1762"/>
      <c r="LJ14" s="1762"/>
      <c r="LK14" s="1762"/>
      <c r="LL14" s="1762"/>
      <c r="LM14" s="1762"/>
      <c r="LN14" s="1762"/>
      <c r="LO14" s="1762"/>
      <c r="LP14" s="1762"/>
      <c r="LQ14" s="1762"/>
      <c r="LR14" s="1762"/>
      <c r="LS14" s="1762"/>
      <c r="LT14" s="1762"/>
      <c r="LU14" s="1762"/>
      <c r="LV14" s="1762"/>
      <c r="LW14" s="1762"/>
      <c r="LX14" s="1762"/>
      <c r="LY14" s="1762"/>
    </row>
    <row r="15" spans="1:665" s="74" customFormat="1" ht="25.35" customHeight="1">
      <c r="B15" s="2422"/>
      <c r="C15" s="2422"/>
      <c r="D15" s="2422"/>
      <c r="E15" s="1694"/>
      <c r="F15" s="1761"/>
      <c r="G15" s="1761"/>
      <c r="H15" s="1761"/>
      <c r="I15" s="1761"/>
      <c r="J15" s="1761"/>
      <c r="K15" s="1761"/>
      <c r="L15" s="1761"/>
      <c r="M15" s="1761"/>
      <c r="N15" s="1761"/>
      <c r="O15" s="1761"/>
      <c r="P15" s="1761"/>
      <c r="Q15" s="1761"/>
      <c r="R15" s="1761"/>
      <c r="S15" s="1761"/>
      <c r="T15" s="1761"/>
      <c r="U15" s="1761"/>
      <c r="V15" s="1761"/>
      <c r="W15" s="1761"/>
      <c r="X15" s="1761"/>
      <c r="Y15" s="1761"/>
      <c r="Z15" s="1761"/>
      <c r="AA15" s="1761"/>
      <c r="AB15" s="1761"/>
      <c r="AC15" s="1761"/>
      <c r="AD15" s="1761"/>
      <c r="AE15" s="1761"/>
      <c r="AF15" s="1761"/>
      <c r="AG15" s="1761"/>
      <c r="AH15" s="1761"/>
      <c r="AI15" s="1761"/>
      <c r="AJ15" s="1761"/>
      <c r="AK15" s="1761"/>
      <c r="AL15" s="1761"/>
      <c r="AM15" s="1761"/>
      <c r="AN15" s="1761"/>
      <c r="AO15" s="1761"/>
      <c r="AP15" s="1761"/>
      <c r="AQ15" s="1761"/>
      <c r="AR15" s="1761"/>
      <c r="AS15" s="1761"/>
      <c r="AT15" s="1761"/>
      <c r="AU15" s="1761"/>
      <c r="AV15" s="1761"/>
      <c r="AW15" s="1761"/>
      <c r="AX15" s="1761"/>
      <c r="AY15" s="1761"/>
      <c r="AZ15" s="1761"/>
      <c r="BA15" s="1761"/>
      <c r="BB15" s="1761"/>
      <c r="BC15" s="1761"/>
      <c r="BD15" s="1761"/>
      <c r="BE15" s="1761"/>
      <c r="BF15" s="1761"/>
      <c r="BG15" s="1761"/>
      <c r="BH15" s="1761"/>
      <c r="BI15" s="1761"/>
      <c r="BJ15" s="1761"/>
      <c r="BK15" s="1761"/>
      <c r="BL15" s="1761"/>
      <c r="BM15" s="1761"/>
      <c r="BN15" s="1761"/>
      <c r="BO15" s="1761"/>
      <c r="BP15" s="1761"/>
      <c r="BQ15" s="1761"/>
      <c r="BR15" s="1761"/>
      <c r="BS15" s="1761"/>
      <c r="BT15" s="1761"/>
      <c r="BU15" s="1761"/>
      <c r="BV15" s="1761"/>
      <c r="BW15" s="1761"/>
      <c r="BX15" s="1761"/>
      <c r="BY15" s="1761"/>
      <c r="BZ15" s="1761"/>
      <c r="CA15" s="1761"/>
      <c r="CB15" s="1761"/>
      <c r="CC15" s="1761"/>
      <c r="CD15" s="1761"/>
      <c r="CE15" s="1761"/>
      <c r="CF15" s="1761"/>
      <c r="CG15" s="1761"/>
      <c r="CH15" s="1761"/>
      <c r="CI15" s="1761"/>
      <c r="CJ15" s="1761"/>
      <c r="CK15" s="1761"/>
      <c r="CL15" s="1761"/>
      <c r="CM15" s="1761"/>
      <c r="CN15" s="1761"/>
      <c r="CO15" s="1761"/>
      <c r="CP15" s="1761"/>
      <c r="CQ15" s="1761"/>
      <c r="CR15" s="1761"/>
      <c r="CS15" s="1761"/>
      <c r="CT15" s="1761"/>
      <c r="CU15" s="1761"/>
      <c r="CV15" s="1761"/>
      <c r="CW15" s="1761"/>
      <c r="CX15" s="1761"/>
      <c r="CY15" s="1761"/>
      <c r="CZ15" s="1761"/>
      <c r="DA15" s="1761"/>
      <c r="DB15" s="1761"/>
      <c r="DC15" s="1761"/>
      <c r="DD15" s="1761"/>
      <c r="DE15" s="1761"/>
      <c r="DF15" s="1761"/>
      <c r="DG15" s="1761"/>
      <c r="DH15" s="1761"/>
      <c r="DI15" s="1761"/>
      <c r="DJ15" s="1761"/>
      <c r="DK15" s="1761"/>
      <c r="DL15" s="1761"/>
      <c r="DM15" s="2138"/>
      <c r="DN15" s="2139"/>
      <c r="DO15" s="2139"/>
      <c r="DP15" s="2139"/>
      <c r="DQ15" s="2139"/>
      <c r="DR15" s="2139"/>
      <c r="DS15" s="2139"/>
      <c r="DT15" s="2139"/>
      <c r="DU15" s="2139"/>
      <c r="DV15" s="2139"/>
      <c r="DW15" s="2139"/>
      <c r="DX15" s="2139"/>
      <c r="DY15" s="2139"/>
      <c r="DZ15" s="2139"/>
      <c r="EA15" s="2139"/>
      <c r="EB15" s="2139"/>
      <c r="EC15" s="2140"/>
      <c r="ED15" s="1761"/>
      <c r="EE15" s="1761"/>
      <c r="EF15" s="1761"/>
      <c r="EG15" s="1761"/>
      <c r="EH15" s="1761"/>
      <c r="EI15" s="1761"/>
      <c r="EJ15" s="1761"/>
      <c r="EK15" s="1761"/>
      <c r="EL15" s="1761"/>
      <c r="EM15" s="1761"/>
      <c r="EN15" s="1761"/>
      <c r="EO15" s="1761"/>
      <c r="EP15" s="1761"/>
      <c r="EQ15" s="1761"/>
      <c r="ER15" s="1761"/>
      <c r="ES15" s="1761"/>
      <c r="ET15" s="1761"/>
      <c r="EU15" s="1761"/>
      <c r="EV15" s="1761"/>
      <c r="EW15" s="1761"/>
      <c r="EX15" s="1761"/>
      <c r="EY15" s="1761"/>
      <c r="EZ15" s="1761"/>
      <c r="FA15" s="1761"/>
      <c r="FB15" s="1761"/>
      <c r="FC15" s="1761"/>
      <c r="FD15" s="1761"/>
      <c r="FE15" s="1761"/>
      <c r="FF15" s="1761"/>
      <c r="FG15" s="1761"/>
      <c r="FH15" s="1761"/>
      <c r="FI15" s="1761"/>
      <c r="FJ15" s="1761"/>
      <c r="FK15" s="1761"/>
      <c r="FL15" s="1761"/>
      <c r="FM15" s="1761"/>
      <c r="FN15" s="1761"/>
      <c r="FO15" s="1761"/>
      <c r="FP15" s="1761"/>
      <c r="FQ15" s="1761"/>
      <c r="FR15" s="1761"/>
      <c r="FS15" s="1761"/>
      <c r="FT15" s="1761"/>
      <c r="FU15" s="1761"/>
      <c r="FV15" s="1761"/>
      <c r="FW15" s="1761"/>
      <c r="FX15" s="1761"/>
      <c r="FY15" s="1761"/>
      <c r="FZ15" s="1761"/>
      <c r="GA15" s="1761"/>
      <c r="GB15" s="1761"/>
      <c r="GC15" s="1761"/>
      <c r="GD15" s="1761"/>
      <c r="GE15" s="1761"/>
      <c r="GF15" s="1761"/>
      <c r="GG15" s="1761"/>
      <c r="GH15" s="1761"/>
      <c r="GI15" s="1761"/>
      <c r="GJ15" s="1761"/>
      <c r="GK15" s="1761"/>
      <c r="GL15" s="1761"/>
      <c r="GM15" s="1761"/>
      <c r="GN15" s="1761"/>
      <c r="GO15" s="1761"/>
      <c r="GP15" s="1761"/>
      <c r="GQ15" s="1761"/>
      <c r="GR15" s="1761"/>
      <c r="GS15" s="1761"/>
      <c r="GT15" s="1761"/>
      <c r="GU15" s="1761"/>
      <c r="GV15" s="1761"/>
      <c r="GW15" s="1761"/>
      <c r="GX15" s="1761"/>
      <c r="GY15" s="1761"/>
      <c r="GZ15" s="1761"/>
      <c r="HA15" s="1761"/>
      <c r="HB15" s="1761"/>
      <c r="HC15" s="1761"/>
      <c r="HD15" s="1761"/>
      <c r="HE15" s="1761"/>
      <c r="HF15" s="1761"/>
      <c r="HG15" s="1761"/>
      <c r="HH15" s="1761"/>
      <c r="HI15" s="1761"/>
      <c r="HJ15" s="1761"/>
      <c r="HK15" s="1761"/>
      <c r="HL15" s="1761"/>
      <c r="HM15" s="1761"/>
      <c r="HN15" s="1761"/>
      <c r="HO15" s="1761"/>
      <c r="HP15" s="1761"/>
      <c r="HQ15" s="1761"/>
      <c r="HR15" s="1761"/>
      <c r="HS15" s="1761"/>
      <c r="HT15" s="1761"/>
      <c r="HU15" s="1761"/>
      <c r="HV15" s="1761"/>
      <c r="HW15" s="1761"/>
      <c r="HX15" s="1761"/>
      <c r="HY15" s="1761"/>
      <c r="HZ15" s="1761"/>
      <c r="IA15" s="1761"/>
      <c r="IB15" s="1761"/>
      <c r="IC15" s="1761"/>
      <c r="ID15" s="1761"/>
      <c r="IE15" s="1761"/>
      <c r="IF15" s="1761"/>
      <c r="IG15" s="1761"/>
      <c r="IH15" s="1761"/>
      <c r="II15" s="1761"/>
      <c r="IJ15" s="2138"/>
      <c r="IK15" s="2139"/>
      <c r="IL15" s="2139"/>
      <c r="IM15" s="2139"/>
      <c r="IN15" s="2139"/>
      <c r="IO15" s="2139"/>
      <c r="IP15" s="2139"/>
      <c r="IQ15" s="2139"/>
      <c r="IR15" s="2139"/>
      <c r="IS15" s="2139"/>
      <c r="IT15" s="2139"/>
      <c r="IU15" s="2139"/>
      <c r="IV15" s="2139"/>
      <c r="IW15" s="2139"/>
      <c r="IX15" s="2139"/>
      <c r="IY15" s="2139"/>
      <c r="IZ15" s="2140"/>
      <c r="JA15" s="1762"/>
      <c r="JB15" s="1762"/>
      <c r="JC15" s="1762"/>
      <c r="JD15" s="1762"/>
      <c r="JE15" s="1762"/>
      <c r="JF15" s="1762"/>
      <c r="JG15" s="1762"/>
      <c r="JH15" s="1762"/>
      <c r="JI15" s="1762"/>
      <c r="JJ15" s="1762"/>
      <c r="JK15" s="1762"/>
      <c r="JL15" s="1762"/>
      <c r="JM15" s="1762"/>
      <c r="JN15" s="1762"/>
      <c r="JO15" s="1762"/>
      <c r="JP15" s="1762"/>
      <c r="JQ15" s="1762"/>
      <c r="JR15" s="1762"/>
      <c r="JS15" s="1762"/>
      <c r="JT15" s="1762"/>
      <c r="JU15" s="1762"/>
      <c r="JV15" s="1762"/>
      <c r="JW15" s="1762"/>
      <c r="JX15" s="1762"/>
      <c r="JY15" s="1762"/>
      <c r="JZ15" s="1762"/>
      <c r="KA15" s="1762"/>
      <c r="KB15" s="1762"/>
      <c r="KC15" s="1762"/>
      <c r="KD15" s="1762"/>
      <c r="KE15" s="1762"/>
      <c r="KF15" s="1762"/>
      <c r="KG15" s="1762"/>
      <c r="KH15" s="1762"/>
      <c r="KI15" s="1762"/>
      <c r="KJ15" s="1762"/>
      <c r="KK15" s="1762"/>
      <c r="KL15" s="1762"/>
      <c r="KM15" s="1762"/>
      <c r="KN15" s="1762"/>
      <c r="KO15" s="1762"/>
      <c r="KP15" s="1762"/>
      <c r="KQ15" s="1762"/>
      <c r="KR15" s="1762"/>
      <c r="KS15" s="1762"/>
      <c r="KT15" s="1762"/>
      <c r="KU15" s="1762"/>
      <c r="KV15" s="1762"/>
      <c r="KW15" s="1762"/>
      <c r="KX15" s="1762"/>
      <c r="KY15" s="1762"/>
      <c r="KZ15" s="1762"/>
      <c r="LA15" s="1762"/>
      <c r="LB15" s="1762"/>
      <c r="LC15" s="1762"/>
      <c r="LD15" s="1762"/>
      <c r="LE15" s="1762"/>
      <c r="LF15" s="1762"/>
      <c r="LG15" s="1762"/>
      <c r="LH15" s="1762"/>
      <c r="LI15" s="1762"/>
      <c r="LJ15" s="1762"/>
      <c r="LK15" s="1762"/>
      <c r="LL15" s="1762"/>
      <c r="LM15" s="1762"/>
      <c r="LN15" s="1762"/>
      <c r="LO15" s="1762"/>
      <c r="LP15" s="1762"/>
      <c r="LQ15" s="1762"/>
      <c r="LR15" s="1762"/>
      <c r="LS15" s="1762"/>
      <c r="LT15" s="1762"/>
      <c r="LU15" s="1762"/>
      <c r="LV15" s="1762"/>
      <c r="LW15" s="1762"/>
      <c r="LX15" s="1762"/>
      <c r="LY15" s="1762"/>
    </row>
    <row r="16" spans="1:665" s="32" customFormat="1" ht="25.35" customHeight="1">
      <c r="B16" s="1672"/>
      <c r="C16" s="1672"/>
      <c r="D16" s="1673"/>
      <c r="E16" s="1697" t="s">
        <v>873</v>
      </c>
      <c r="F16" s="1762"/>
      <c r="G16" s="1762"/>
      <c r="H16" s="1762"/>
      <c r="I16" s="1762"/>
      <c r="J16" s="1762"/>
      <c r="K16" s="1762"/>
      <c r="L16" s="1762"/>
      <c r="M16" s="1762"/>
      <c r="N16" s="1761"/>
      <c r="O16" s="1761"/>
      <c r="P16" s="1761"/>
      <c r="Q16" s="1761"/>
      <c r="R16" s="1761"/>
      <c r="S16" s="1761"/>
      <c r="T16" s="1761"/>
      <c r="U16" s="1761"/>
      <c r="V16" s="1761"/>
      <c r="W16" s="1761"/>
      <c r="X16" s="1761"/>
      <c r="Y16" s="1761"/>
      <c r="Z16" s="1761"/>
      <c r="AA16" s="1761"/>
      <c r="AB16" s="1761"/>
      <c r="AC16" s="1761"/>
      <c r="AD16" s="1761"/>
      <c r="AE16" s="1761"/>
      <c r="AF16" s="1761"/>
      <c r="AG16" s="1761"/>
      <c r="AH16" s="1761"/>
      <c r="AI16" s="1761"/>
      <c r="AJ16" s="1761"/>
      <c r="AK16" s="1761"/>
      <c r="AL16" s="1761"/>
      <c r="AM16" s="1761"/>
      <c r="AN16" s="1761"/>
      <c r="AO16" s="1761"/>
      <c r="AP16" s="1761"/>
      <c r="AQ16" s="1761"/>
      <c r="AR16" s="1761"/>
      <c r="AS16" s="1761"/>
      <c r="AT16" s="1761"/>
      <c r="AU16" s="1761"/>
      <c r="AV16" s="1761"/>
      <c r="AW16" s="1761"/>
      <c r="AX16" s="1761"/>
      <c r="AY16" s="1761"/>
      <c r="AZ16" s="1761"/>
      <c r="BA16" s="1761"/>
      <c r="BB16" s="1761"/>
      <c r="BC16" s="1761"/>
      <c r="BD16" s="1761"/>
      <c r="BE16" s="1761"/>
      <c r="BF16" s="1761"/>
      <c r="BG16" s="1761"/>
      <c r="BH16" s="1761"/>
      <c r="BI16" s="1761"/>
      <c r="BJ16" s="1761"/>
      <c r="BK16" s="1761"/>
      <c r="BL16" s="1761"/>
      <c r="BM16" s="1761"/>
      <c r="BN16" s="1761"/>
      <c r="BO16" s="1761"/>
      <c r="BP16" s="1761"/>
      <c r="BQ16" s="1761"/>
      <c r="BR16" s="1761"/>
      <c r="BS16" s="1761"/>
      <c r="BT16" s="1761"/>
      <c r="BU16" s="1761"/>
      <c r="BV16" s="1761"/>
      <c r="BW16" s="1761"/>
      <c r="BX16" s="1761"/>
      <c r="BY16" s="1761"/>
      <c r="BZ16" s="1761"/>
      <c r="CA16" s="1761"/>
      <c r="CB16" s="1761"/>
      <c r="CC16" s="1761"/>
      <c r="CD16" s="1761"/>
      <c r="CE16" s="1761"/>
      <c r="CF16" s="1761"/>
      <c r="CG16" s="1761"/>
      <c r="CH16" s="1761"/>
      <c r="CI16" s="1761"/>
      <c r="CJ16" s="1761"/>
      <c r="CK16" s="1761"/>
      <c r="CL16" s="1761"/>
      <c r="CM16" s="1761"/>
      <c r="CN16" s="1761"/>
      <c r="CO16" s="1761"/>
      <c r="CP16" s="1761"/>
      <c r="CQ16" s="1761"/>
      <c r="CR16" s="1761"/>
      <c r="CS16" s="1761"/>
      <c r="CT16" s="1761"/>
      <c r="CU16" s="1761"/>
      <c r="CV16" s="1761"/>
      <c r="CW16" s="1761"/>
      <c r="CX16" s="1761"/>
      <c r="CY16" s="1761"/>
      <c r="CZ16" s="1761"/>
      <c r="DA16" s="1761"/>
      <c r="DB16" s="1761"/>
      <c r="DC16" s="1761"/>
      <c r="DD16" s="1761"/>
      <c r="DE16" s="1761"/>
      <c r="DF16" s="1761"/>
      <c r="DG16" s="1761"/>
      <c r="DH16" s="1761"/>
      <c r="DI16" s="1761"/>
      <c r="DJ16" s="1761"/>
      <c r="DK16" s="1761"/>
      <c r="DL16" s="1761"/>
      <c r="DM16" s="1761"/>
      <c r="DN16" s="1761"/>
      <c r="DO16" s="1761"/>
      <c r="DP16" s="1761"/>
      <c r="DQ16" s="1761"/>
      <c r="DR16" s="1761"/>
      <c r="DS16" s="1761"/>
      <c r="DT16" s="1761"/>
      <c r="DU16" s="1761"/>
      <c r="DV16" s="1761"/>
      <c r="DW16" s="1761"/>
      <c r="DX16" s="1761"/>
      <c r="DY16" s="1761"/>
      <c r="DZ16" s="1761"/>
      <c r="EA16" s="1761"/>
      <c r="EB16" s="1761"/>
      <c r="EC16" s="1761"/>
      <c r="ED16" s="1761"/>
      <c r="EE16" s="1761"/>
      <c r="EF16" s="1761"/>
      <c r="EG16" s="1761"/>
      <c r="EH16" s="1761"/>
      <c r="EI16" s="1761"/>
      <c r="EJ16" s="1761"/>
      <c r="EK16" s="1761"/>
      <c r="EL16" s="1761"/>
      <c r="EM16" s="1761"/>
      <c r="EN16" s="1761"/>
      <c r="EO16" s="1761"/>
      <c r="EP16" s="1761"/>
      <c r="EQ16" s="1761"/>
      <c r="ER16" s="1761"/>
      <c r="ES16" s="1761"/>
      <c r="ET16" s="1761"/>
      <c r="EU16" s="1761"/>
      <c r="EV16" s="1761"/>
      <c r="EW16" s="1761"/>
      <c r="EX16" s="1761"/>
      <c r="EY16" s="1761"/>
      <c r="EZ16" s="1761"/>
      <c r="FA16" s="1761"/>
      <c r="FB16" s="1761"/>
      <c r="FC16" s="1761"/>
      <c r="FD16" s="1761"/>
      <c r="FE16" s="1761"/>
      <c r="FF16" s="1761"/>
      <c r="FG16" s="1761"/>
      <c r="FH16" s="1761"/>
      <c r="FI16" s="1761"/>
      <c r="FJ16" s="1761"/>
      <c r="FK16" s="1761"/>
      <c r="FL16" s="1761"/>
      <c r="FM16" s="1761"/>
      <c r="FN16" s="1761"/>
      <c r="FO16" s="1761"/>
      <c r="FP16" s="1761"/>
      <c r="FQ16" s="1761"/>
      <c r="FR16" s="1761"/>
      <c r="FS16" s="1761"/>
      <c r="FT16" s="1761"/>
      <c r="FU16" s="1761"/>
      <c r="FV16" s="1761"/>
      <c r="FW16" s="1761"/>
      <c r="FX16" s="1761"/>
      <c r="FY16" s="1761"/>
      <c r="FZ16" s="1761"/>
      <c r="GA16" s="1761"/>
      <c r="GB16" s="1761"/>
      <c r="GC16" s="1761"/>
      <c r="GD16" s="1761"/>
      <c r="GE16" s="1761"/>
      <c r="GF16" s="1761"/>
      <c r="GG16" s="1761"/>
      <c r="GH16" s="1761"/>
      <c r="GI16" s="1761"/>
      <c r="GJ16" s="1761"/>
      <c r="GK16" s="1761"/>
      <c r="GL16" s="1761"/>
      <c r="GM16" s="1761"/>
      <c r="GN16" s="1761"/>
      <c r="GO16" s="1761"/>
      <c r="GP16" s="1761"/>
      <c r="GQ16" s="1761"/>
      <c r="GR16" s="1761"/>
      <c r="GS16" s="1761"/>
      <c r="GT16" s="1761"/>
      <c r="GU16" s="1761"/>
      <c r="GV16" s="1761"/>
      <c r="GW16" s="1761"/>
      <c r="GX16" s="1761"/>
      <c r="GY16" s="1761"/>
      <c r="GZ16" s="1761"/>
      <c r="HA16" s="1761"/>
      <c r="HB16" s="1761"/>
      <c r="HC16" s="1761"/>
      <c r="HD16" s="1761"/>
      <c r="HE16" s="1761"/>
      <c r="HF16" s="1761"/>
      <c r="HG16" s="1761"/>
      <c r="HH16" s="1761"/>
      <c r="HI16" s="1761"/>
      <c r="HJ16" s="1761"/>
      <c r="HK16" s="1761"/>
      <c r="HL16" s="1761"/>
      <c r="HM16" s="1761"/>
      <c r="HN16" s="1761"/>
      <c r="HO16" s="1761"/>
      <c r="HP16" s="1761"/>
      <c r="HQ16" s="1761"/>
      <c r="HR16" s="1761"/>
      <c r="HS16" s="1761"/>
      <c r="HT16" s="1761"/>
      <c r="HU16" s="1761"/>
      <c r="HV16" s="1761"/>
      <c r="HW16" s="1761"/>
      <c r="HX16" s="1761"/>
      <c r="HY16" s="1761"/>
      <c r="HZ16" s="1761"/>
      <c r="IA16" s="1761"/>
      <c r="IB16" s="1761"/>
      <c r="IC16" s="1761"/>
      <c r="ID16" s="1761"/>
      <c r="IE16" s="1761"/>
      <c r="IF16" s="1761"/>
      <c r="IG16" s="1761"/>
      <c r="IH16" s="1761"/>
      <c r="II16" s="1761"/>
      <c r="IJ16" s="1761"/>
      <c r="IK16" s="1761"/>
      <c r="IL16" s="1761"/>
      <c r="IM16" s="1761"/>
      <c r="IN16" s="1761"/>
      <c r="IO16" s="1761"/>
      <c r="IP16" s="1761"/>
      <c r="IQ16" s="1761"/>
      <c r="IR16" s="1761"/>
      <c r="IS16" s="1761"/>
      <c r="IT16" s="1761"/>
      <c r="IU16" s="1761"/>
      <c r="IV16" s="1761"/>
      <c r="IW16" s="1761"/>
      <c r="IX16" s="1761"/>
      <c r="IY16" s="1761"/>
      <c r="IZ16" s="1762"/>
      <c r="JA16" s="1762"/>
      <c r="JB16" s="1762"/>
      <c r="JC16" s="1762"/>
      <c r="JD16" s="1762"/>
      <c r="JE16" s="1762"/>
      <c r="JF16" s="1762"/>
      <c r="JG16" s="1762"/>
      <c r="JH16" s="1762"/>
      <c r="JI16" s="1762"/>
      <c r="JJ16" s="1762"/>
      <c r="JK16" s="1762"/>
      <c r="JL16" s="1762"/>
      <c r="JM16" s="1762"/>
      <c r="JN16" s="1762"/>
      <c r="JO16" s="1762"/>
      <c r="JP16" s="1762"/>
      <c r="JQ16" s="1762"/>
      <c r="JR16" s="1762"/>
      <c r="JS16" s="1762"/>
      <c r="JT16" s="1762"/>
      <c r="JU16" s="1762"/>
      <c r="JV16" s="1762"/>
      <c r="JW16" s="1762"/>
      <c r="JX16" s="1762"/>
      <c r="JY16" s="1762"/>
      <c r="JZ16" s="1762"/>
      <c r="KA16" s="1762"/>
      <c r="KB16" s="1762"/>
      <c r="KC16" s="1762"/>
      <c r="KD16" s="1762"/>
      <c r="KE16" s="1762"/>
      <c r="KF16" s="1762"/>
      <c r="KG16" s="1762"/>
      <c r="KH16" s="1762"/>
      <c r="KI16" s="1762"/>
      <c r="KJ16" s="1762"/>
      <c r="KK16" s="1762"/>
      <c r="KL16" s="1762"/>
      <c r="KM16" s="1762"/>
      <c r="KN16" s="1762"/>
      <c r="KO16" s="1762"/>
      <c r="KP16" s="1762"/>
      <c r="KQ16" s="1762"/>
      <c r="KR16" s="1762"/>
      <c r="KS16" s="1762"/>
      <c r="KT16" s="1762"/>
      <c r="KU16" s="1762"/>
      <c r="KV16" s="1762"/>
      <c r="KW16" s="1762"/>
      <c r="KX16" s="1762"/>
      <c r="KY16" s="1762"/>
      <c r="KZ16" s="1762"/>
      <c r="LA16" s="1762"/>
      <c r="LB16" s="1762"/>
      <c r="LC16" s="1762"/>
      <c r="LD16" s="1762"/>
      <c r="LE16" s="1762"/>
      <c r="LF16" s="1762"/>
      <c r="LG16" s="1762"/>
      <c r="LH16" s="1762"/>
      <c r="LI16" s="1762"/>
      <c r="LJ16" s="1762"/>
      <c r="LK16" s="1762"/>
      <c r="LL16" s="1762"/>
      <c r="LM16" s="1762"/>
      <c r="LN16" s="1762"/>
      <c r="LO16" s="1762"/>
      <c r="LP16" s="1762"/>
      <c r="LQ16" s="1762"/>
      <c r="LR16" s="1762"/>
      <c r="LS16" s="1762"/>
      <c r="LT16" s="1762"/>
      <c r="LU16" s="1762"/>
      <c r="LV16" s="1762"/>
      <c r="LW16" s="1762"/>
      <c r="LX16" s="1762"/>
      <c r="LY16" s="1762"/>
      <c r="MZ16" s="1672"/>
      <c r="NA16" s="1672"/>
      <c r="NB16" s="1672"/>
      <c r="NC16" s="1672"/>
      <c r="ND16" s="1672"/>
      <c r="NE16" s="1672"/>
      <c r="NF16" s="1672"/>
      <c r="NG16" s="1672"/>
      <c r="NH16" s="1672"/>
      <c r="NI16" s="1672"/>
      <c r="NJ16" s="1672"/>
      <c r="NK16" s="1672"/>
      <c r="NL16" s="1672"/>
      <c r="NM16" s="1672"/>
      <c r="NN16" s="1672"/>
      <c r="NO16" s="1672"/>
      <c r="NP16" s="1672"/>
      <c r="NQ16" s="1672"/>
      <c r="NR16" s="1672"/>
      <c r="NS16" s="1672"/>
      <c r="NT16" s="1672"/>
      <c r="NU16" s="1672"/>
      <c r="NV16" s="1672"/>
      <c r="NW16" s="1672"/>
      <c r="NX16" s="1672"/>
      <c r="NY16" s="1672"/>
      <c r="NZ16" s="1672"/>
      <c r="OA16" s="1672"/>
      <c r="OB16" s="1672"/>
      <c r="OC16" s="1672"/>
      <c r="OD16" s="1672"/>
      <c r="OE16" s="1672"/>
      <c r="OF16" s="1672"/>
      <c r="OG16" s="1672"/>
      <c r="OH16" s="1672"/>
      <c r="OI16" s="1672"/>
      <c r="OJ16" s="1672"/>
      <c r="OK16" s="1672"/>
      <c r="OL16" s="1672"/>
      <c r="OM16" s="1672"/>
      <c r="ON16" s="1672"/>
      <c r="OO16" s="1672"/>
      <c r="OP16" s="1672"/>
      <c r="OQ16" s="1672"/>
      <c r="OR16" s="1672"/>
      <c r="OS16" s="1672"/>
      <c r="OT16" s="1672"/>
      <c r="OU16" s="1672"/>
      <c r="OV16" s="1672"/>
      <c r="OW16" s="1672"/>
      <c r="OX16" s="1672"/>
      <c r="OY16" s="1672"/>
      <c r="OZ16" s="1672"/>
      <c r="PA16" s="1672"/>
      <c r="PB16" s="1672"/>
      <c r="PC16" s="1672"/>
      <c r="PD16" s="1672"/>
      <c r="PE16" s="1672"/>
      <c r="PF16" s="1672"/>
      <c r="PG16" s="1672"/>
      <c r="PH16" s="1672"/>
      <c r="PI16" s="1672"/>
      <c r="PJ16" s="1672"/>
      <c r="PK16" s="1672"/>
      <c r="PL16" s="1672"/>
      <c r="PM16" s="1672"/>
      <c r="PN16" s="1672"/>
      <c r="PO16" s="1672"/>
      <c r="PP16" s="1672"/>
      <c r="PQ16" s="1672"/>
      <c r="PR16" s="1672"/>
      <c r="PS16" s="1672"/>
      <c r="PT16" s="1672"/>
      <c r="PU16" s="1672"/>
      <c r="PV16" s="1672"/>
      <c r="PW16" s="1672"/>
      <c r="PX16" s="1672"/>
      <c r="PY16" s="1672"/>
      <c r="PZ16" s="1672"/>
      <c r="QA16" s="1672"/>
      <c r="QB16" s="1672"/>
      <c r="QC16" s="1672"/>
      <c r="QD16" s="1672"/>
      <c r="QE16" s="1672"/>
      <c r="QF16" s="1672"/>
      <c r="QG16" s="1672"/>
      <c r="QH16" s="1672"/>
      <c r="QI16" s="1672"/>
      <c r="QJ16" s="1672"/>
      <c r="QK16" s="1672"/>
      <c r="QL16" s="1672"/>
      <c r="QM16" s="1672"/>
      <c r="QN16" s="1672"/>
      <c r="QO16" s="1672"/>
      <c r="QP16" s="1672"/>
      <c r="QQ16" s="1672"/>
      <c r="QR16" s="1672"/>
      <c r="QS16" s="1672"/>
      <c r="QT16" s="1672"/>
      <c r="QU16" s="1672"/>
      <c r="QV16" s="1672"/>
      <c r="QW16" s="1672"/>
      <c r="QX16" s="1672"/>
      <c r="QY16" s="1672"/>
      <c r="QZ16" s="1672"/>
      <c r="RA16" s="1672"/>
      <c r="RB16" s="1672"/>
      <c r="RC16" s="1672"/>
      <c r="RD16" s="1672"/>
      <c r="RE16" s="1672"/>
      <c r="RF16" s="1672"/>
      <c r="RG16" s="1672"/>
      <c r="RH16" s="1672"/>
      <c r="RI16" s="1672"/>
      <c r="RJ16" s="1672"/>
      <c r="RK16" s="1672"/>
      <c r="RL16" s="1672"/>
      <c r="RM16" s="1672"/>
      <c r="RN16" s="1672"/>
      <c r="RO16" s="1672"/>
      <c r="RP16" s="1672"/>
      <c r="RQ16" s="1672"/>
      <c r="RR16" s="1672"/>
      <c r="RS16" s="1672"/>
      <c r="RT16" s="1672"/>
      <c r="RU16" s="1672"/>
      <c r="RV16" s="1672"/>
      <c r="RW16" s="1672"/>
      <c r="RX16" s="1672"/>
      <c r="RY16" s="1672"/>
      <c r="RZ16" s="1672"/>
      <c r="SA16" s="1672"/>
      <c r="SB16" s="1672"/>
      <c r="SC16" s="1672"/>
      <c r="SD16" s="1672"/>
      <c r="SE16" s="1672"/>
      <c r="SF16" s="1672"/>
      <c r="SG16" s="1672"/>
      <c r="SH16" s="1672"/>
      <c r="SI16" s="1672"/>
      <c r="SJ16" s="1672"/>
      <c r="SK16" s="1672"/>
      <c r="SL16" s="1672"/>
      <c r="SM16" s="1672"/>
      <c r="SN16" s="1672"/>
      <c r="SO16" s="1672"/>
      <c r="SP16" s="1672"/>
      <c r="SQ16" s="1672"/>
      <c r="SR16" s="1672"/>
      <c r="SS16" s="1672"/>
      <c r="ST16" s="1672"/>
      <c r="SU16" s="1672"/>
      <c r="SV16" s="1672"/>
      <c r="SW16" s="1672"/>
      <c r="SX16" s="1672"/>
      <c r="SY16" s="1672"/>
      <c r="SZ16" s="1672"/>
      <c r="TA16" s="1672"/>
      <c r="TB16" s="1672"/>
      <c r="TC16" s="1672"/>
      <c r="TD16" s="1672"/>
      <c r="TE16" s="1672"/>
      <c r="TF16" s="1672"/>
      <c r="TG16" s="1672"/>
      <c r="TH16" s="1672"/>
      <c r="TI16" s="1672"/>
      <c r="TJ16" s="1672"/>
      <c r="TK16" s="1672"/>
      <c r="TL16" s="1672"/>
      <c r="TM16" s="1672"/>
      <c r="TN16" s="1672"/>
      <c r="TO16" s="1672"/>
      <c r="TP16" s="1672"/>
      <c r="TQ16" s="1672"/>
      <c r="TR16" s="1672"/>
      <c r="TS16" s="1672"/>
      <c r="TT16" s="1672"/>
      <c r="TU16" s="1672"/>
      <c r="TV16" s="1672"/>
      <c r="TW16" s="1672"/>
      <c r="TX16" s="1672"/>
      <c r="TY16" s="1672"/>
      <c r="TZ16" s="1672"/>
      <c r="UA16" s="1672"/>
      <c r="UB16" s="1672"/>
      <c r="UC16" s="1672"/>
      <c r="UD16" s="1672"/>
      <c r="UE16" s="1672"/>
      <c r="UF16" s="1672"/>
      <c r="UG16" s="1672"/>
      <c r="UH16" s="1672"/>
      <c r="UI16" s="1672"/>
      <c r="UJ16" s="1672"/>
      <c r="UK16" s="1672"/>
      <c r="UL16" s="1672"/>
      <c r="UM16" s="1672"/>
      <c r="UN16" s="1672"/>
    </row>
    <row r="17" spans="1:665" s="73" customFormat="1" ht="25.35" customHeight="1" thickBot="1">
      <c r="B17" s="37"/>
      <c r="C17" s="37"/>
      <c r="D17" s="57"/>
      <c r="E17" s="1694"/>
      <c r="F17" s="1761"/>
      <c r="G17" s="1761"/>
      <c r="H17" s="1761"/>
      <c r="I17" s="1761"/>
      <c r="J17" s="1761"/>
      <c r="K17" s="1761"/>
      <c r="L17" s="1761"/>
      <c r="M17" s="1761"/>
      <c r="N17" s="1761"/>
      <c r="O17" s="1761"/>
      <c r="P17" s="1761"/>
      <c r="Q17" s="1761"/>
      <c r="R17" s="1761"/>
      <c r="S17" s="1761"/>
      <c r="T17" s="1761"/>
      <c r="U17" s="1761"/>
      <c r="V17" s="1761"/>
      <c r="W17" s="1761"/>
      <c r="X17" s="1761"/>
      <c r="Y17" s="1761"/>
      <c r="Z17" s="1761"/>
      <c r="AA17" s="1761"/>
      <c r="AB17" s="1761"/>
      <c r="AC17" s="1761"/>
      <c r="AD17" s="1761"/>
      <c r="AE17" s="1761"/>
      <c r="AF17" s="1761"/>
      <c r="AG17" s="1761"/>
      <c r="AH17" s="1761"/>
      <c r="AI17" s="1761"/>
      <c r="AJ17" s="1761"/>
      <c r="AK17" s="1761"/>
      <c r="AL17" s="1761"/>
      <c r="AM17" s="1761"/>
      <c r="AN17" s="1761"/>
      <c r="AO17" s="1761"/>
      <c r="AP17" s="1761"/>
      <c r="AQ17" s="1761"/>
      <c r="AR17" s="1761"/>
      <c r="AS17" s="1761"/>
      <c r="AT17" s="1761"/>
      <c r="AU17" s="1761"/>
      <c r="AV17" s="1761"/>
      <c r="AW17" s="1761"/>
      <c r="AX17" s="1761"/>
      <c r="AY17" s="1761"/>
      <c r="AZ17" s="1761"/>
      <c r="BA17" s="1761"/>
      <c r="BB17" s="1761"/>
      <c r="BC17" s="1761"/>
      <c r="BD17" s="1761"/>
      <c r="BE17" s="1761"/>
      <c r="BF17" s="1761"/>
      <c r="BG17" s="1761"/>
      <c r="BH17" s="1761"/>
      <c r="BI17" s="1761"/>
      <c r="BJ17" s="1761"/>
      <c r="BK17" s="1761"/>
      <c r="BL17" s="1761"/>
      <c r="BM17" s="1761"/>
      <c r="BN17" s="1761"/>
      <c r="BO17" s="1761"/>
      <c r="BP17" s="1761"/>
      <c r="BQ17" s="1761"/>
      <c r="BR17" s="1761"/>
      <c r="BS17" s="1761"/>
      <c r="BT17" s="1761"/>
      <c r="BU17" s="1761"/>
      <c r="BV17" s="1761"/>
      <c r="BW17" s="1761"/>
      <c r="BX17" s="1761"/>
      <c r="BY17" s="1761"/>
      <c r="BZ17" s="1761"/>
      <c r="CA17" s="1761"/>
      <c r="CB17" s="1761"/>
      <c r="CC17" s="1761"/>
      <c r="CD17" s="1761"/>
      <c r="CE17" s="1761"/>
      <c r="CF17" s="1761"/>
      <c r="CG17" s="1761"/>
      <c r="CH17" s="1761"/>
      <c r="CI17" s="1761"/>
      <c r="CJ17" s="1761"/>
      <c r="CK17" s="1761"/>
      <c r="CL17" s="1761"/>
      <c r="CM17" s="1761"/>
      <c r="CN17" s="1761"/>
      <c r="CO17" s="1761"/>
      <c r="CP17" s="1761"/>
      <c r="CQ17" s="1761"/>
      <c r="CR17" s="1761"/>
      <c r="CS17" s="1761"/>
      <c r="CT17" s="1761"/>
      <c r="CU17" s="1761"/>
      <c r="CV17" s="1761"/>
      <c r="CW17" s="1761"/>
      <c r="CX17" s="1761"/>
      <c r="CY17" s="1761"/>
      <c r="CZ17" s="1761"/>
      <c r="DA17" s="1761"/>
      <c r="DB17" s="1761"/>
      <c r="DC17" s="1761"/>
      <c r="DD17" s="1761"/>
      <c r="DE17" s="1761"/>
      <c r="DF17" s="1761"/>
      <c r="DG17" s="1761"/>
      <c r="DH17" s="1761"/>
      <c r="DI17" s="1761"/>
      <c r="DJ17" s="1761"/>
      <c r="DK17" s="1761"/>
      <c r="DL17" s="1761"/>
      <c r="DM17" s="1761"/>
      <c r="DN17" s="1761"/>
      <c r="DO17" s="1761"/>
      <c r="DP17" s="1761"/>
      <c r="DQ17" s="1761"/>
      <c r="DR17" s="1761"/>
      <c r="DS17" s="1761"/>
      <c r="DT17" s="1761"/>
      <c r="DU17" s="1761"/>
      <c r="DV17" s="1761"/>
      <c r="DW17" s="1761"/>
      <c r="DX17" s="1761"/>
      <c r="DY17" s="1761"/>
      <c r="DZ17" s="1761"/>
      <c r="EA17" s="1761"/>
      <c r="EB17" s="1761"/>
      <c r="EC17" s="1761"/>
      <c r="ED17" s="1761"/>
      <c r="EE17" s="1761"/>
      <c r="EF17" s="1761"/>
      <c r="EG17" s="1761"/>
      <c r="EH17" s="1761"/>
      <c r="EI17" s="1761"/>
      <c r="EJ17" s="1761"/>
      <c r="EK17" s="1761"/>
      <c r="EL17" s="1761"/>
      <c r="EM17" s="1761"/>
      <c r="EN17" s="1761"/>
      <c r="EO17" s="1761"/>
      <c r="EP17" s="1761"/>
      <c r="EQ17" s="1761"/>
      <c r="ER17" s="1761"/>
      <c r="ES17" s="1761"/>
      <c r="ET17" s="1761"/>
      <c r="EU17" s="1761"/>
      <c r="EV17" s="1761"/>
      <c r="EW17" s="1761"/>
      <c r="EX17" s="1761"/>
      <c r="EY17" s="1761"/>
      <c r="EZ17" s="1761"/>
      <c r="FA17" s="1761"/>
      <c r="FB17" s="1761"/>
      <c r="FC17" s="1761"/>
      <c r="FD17" s="1761"/>
      <c r="FE17" s="1761"/>
      <c r="FF17" s="1761"/>
      <c r="FG17" s="1761"/>
      <c r="FH17" s="1761"/>
      <c r="FI17" s="1761"/>
      <c r="FJ17" s="1761"/>
      <c r="FK17" s="1761"/>
      <c r="FL17" s="1761"/>
      <c r="FM17" s="1761"/>
      <c r="FN17" s="1761"/>
      <c r="FO17" s="1761"/>
      <c r="FP17" s="1761"/>
      <c r="FQ17" s="1761"/>
      <c r="FR17" s="1761"/>
      <c r="FS17" s="1761"/>
      <c r="FT17" s="1761"/>
      <c r="FU17" s="1761"/>
      <c r="FV17" s="1761"/>
      <c r="FW17" s="1761"/>
      <c r="FX17" s="1761"/>
      <c r="FY17" s="1761"/>
      <c r="FZ17" s="1761"/>
      <c r="GA17" s="1761"/>
      <c r="GB17" s="1761"/>
      <c r="GC17" s="1761"/>
      <c r="GD17" s="1761"/>
      <c r="GE17" s="1761"/>
      <c r="GF17" s="1761"/>
      <c r="GG17" s="1761"/>
      <c r="GH17" s="1761"/>
      <c r="GI17" s="1761"/>
      <c r="GJ17" s="1761"/>
      <c r="GK17" s="1761"/>
      <c r="GL17" s="1761"/>
      <c r="GM17" s="1761"/>
      <c r="GN17" s="1761"/>
      <c r="GO17" s="1761"/>
      <c r="GP17" s="1761"/>
      <c r="GQ17" s="1761"/>
      <c r="GR17" s="1761"/>
      <c r="GS17" s="1761"/>
      <c r="GT17" s="1761"/>
      <c r="GU17" s="1761"/>
      <c r="GV17" s="1761"/>
      <c r="GW17" s="1761"/>
      <c r="GX17" s="1761"/>
      <c r="GY17" s="1761"/>
      <c r="GZ17" s="1761"/>
      <c r="HA17" s="1761"/>
      <c r="HB17" s="1761"/>
      <c r="HC17" s="1761"/>
      <c r="HD17" s="1761"/>
      <c r="HE17" s="1761"/>
      <c r="HF17" s="1761"/>
      <c r="HG17" s="1761"/>
      <c r="HH17" s="1761"/>
      <c r="HI17" s="1761"/>
      <c r="HJ17" s="1761"/>
      <c r="HK17" s="1761"/>
      <c r="HL17" s="1761"/>
      <c r="HM17" s="1761"/>
      <c r="HN17" s="1761"/>
      <c r="HO17" s="1761"/>
      <c r="HP17" s="1761"/>
      <c r="HQ17" s="1761"/>
      <c r="HR17" s="1761"/>
      <c r="HS17" s="1761"/>
      <c r="HT17" s="1761"/>
      <c r="HU17" s="1761"/>
      <c r="HV17" s="1761"/>
      <c r="HW17" s="1761"/>
      <c r="HX17" s="1761"/>
      <c r="HY17" s="1761"/>
      <c r="HZ17" s="1761"/>
      <c r="IA17" s="1761"/>
      <c r="IB17" s="1761"/>
      <c r="IC17" s="1761"/>
      <c r="ID17" s="1761"/>
      <c r="IE17" s="1761"/>
      <c r="IF17" s="1761"/>
      <c r="IG17" s="1761"/>
      <c r="IH17" s="1761"/>
      <c r="II17" s="1761"/>
      <c r="IJ17" s="1761"/>
      <c r="IK17" s="1761"/>
      <c r="IL17" s="1761"/>
      <c r="IM17" s="1761"/>
      <c r="IN17" s="1761"/>
      <c r="IO17" s="1761"/>
      <c r="IP17" s="1761"/>
      <c r="IQ17" s="1761"/>
      <c r="IR17" s="1761"/>
      <c r="IS17" s="1761"/>
      <c r="IT17" s="1761"/>
      <c r="IU17" s="1761"/>
      <c r="IV17" s="1761"/>
      <c r="IW17" s="1761"/>
      <c r="IX17" s="1761"/>
      <c r="IY17" s="1761"/>
      <c r="IZ17" s="1762"/>
      <c r="JA17" s="1762"/>
      <c r="JB17" s="1762"/>
      <c r="JC17" s="1762"/>
      <c r="JD17" s="1762"/>
      <c r="JE17" s="1762"/>
      <c r="JF17" s="1762"/>
      <c r="JG17" s="1762"/>
      <c r="JH17" s="1762"/>
      <c r="JI17" s="1762"/>
      <c r="JJ17" s="1762"/>
      <c r="JK17" s="1762"/>
      <c r="JL17" s="1762"/>
      <c r="JM17" s="1762"/>
      <c r="JN17" s="1762"/>
      <c r="JO17" s="1762"/>
      <c r="JP17" s="1762"/>
      <c r="JQ17" s="1762"/>
      <c r="JR17" s="1762"/>
      <c r="JS17" s="1762"/>
      <c r="JT17" s="1762"/>
      <c r="JU17" s="1762"/>
      <c r="JV17" s="1762"/>
      <c r="JW17" s="1762"/>
      <c r="JX17" s="1762"/>
      <c r="JY17" s="1762"/>
      <c r="JZ17" s="1762"/>
      <c r="KA17" s="1762"/>
      <c r="KB17" s="1762"/>
      <c r="KC17" s="1762"/>
      <c r="KD17" s="1762"/>
      <c r="KE17" s="1762"/>
      <c r="KF17" s="1762"/>
      <c r="KG17" s="1762"/>
      <c r="KH17" s="1762"/>
      <c r="KI17" s="1762"/>
      <c r="KJ17" s="1762"/>
      <c r="KK17" s="1762"/>
      <c r="KL17" s="1762"/>
      <c r="KM17" s="1762"/>
      <c r="KN17" s="1762"/>
      <c r="KO17" s="1762"/>
      <c r="KP17" s="1762"/>
      <c r="KQ17" s="1762"/>
      <c r="KR17" s="1762"/>
      <c r="KS17" s="1762"/>
      <c r="KT17" s="1762"/>
      <c r="KU17" s="1762"/>
      <c r="KV17" s="1762"/>
      <c r="KW17" s="1762"/>
      <c r="KX17" s="1762"/>
      <c r="KY17" s="1762"/>
      <c r="KZ17" s="1762"/>
      <c r="LA17" s="1762"/>
      <c r="LB17" s="1762"/>
      <c r="LC17" s="1762"/>
      <c r="LD17" s="1762"/>
      <c r="LE17" s="1762"/>
      <c r="LF17" s="1762"/>
      <c r="LG17" s="1762"/>
      <c r="LH17" s="1762"/>
      <c r="LI17" s="1762"/>
      <c r="LJ17" s="1762"/>
      <c r="LK17" s="1762"/>
      <c r="LL17" s="1762"/>
      <c r="LM17" s="1762"/>
      <c r="LN17" s="1762"/>
      <c r="LO17" s="1762"/>
      <c r="LP17" s="1762"/>
      <c r="LQ17" s="1762"/>
      <c r="LR17" s="1762"/>
      <c r="LS17" s="1762"/>
      <c r="LT17" s="1762"/>
      <c r="LU17" s="1762"/>
      <c r="LV17" s="1762"/>
      <c r="LW17" s="1762"/>
      <c r="LX17" s="1762"/>
      <c r="LY17" s="1762"/>
      <c r="LZ17" s="330"/>
      <c r="MA17" s="330"/>
      <c r="MB17" s="330"/>
      <c r="MC17" s="330"/>
      <c r="MD17" s="330"/>
      <c r="ME17" s="330">
        <v>5</v>
      </c>
      <c r="MF17" s="330"/>
      <c r="MG17" s="330"/>
      <c r="MH17" s="330"/>
      <c r="MI17" s="330"/>
      <c r="MJ17" s="330"/>
      <c r="MK17" s="330"/>
      <c r="ML17" s="330"/>
      <c r="MM17" s="330"/>
      <c r="MN17" s="330"/>
      <c r="MO17" s="330"/>
      <c r="MP17" s="330"/>
      <c r="MQ17" s="330"/>
      <c r="MR17" s="330"/>
      <c r="MS17" s="330"/>
      <c r="MT17" s="330"/>
      <c r="MU17" s="330"/>
      <c r="MV17" s="330"/>
      <c r="MW17" s="330"/>
      <c r="MX17" s="330"/>
      <c r="MY17" s="330"/>
      <c r="MZ17" s="330"/>
      <c r="NA17" s="330"/>
      <c r="NB17" s="330"/>
      <c r="NC17" s="330"/>
      <c r="ND17" s="330"/>
      <c r="NE17" s="330"/>
      <c r="NF17" s="330"/>
      <c r="NG17" s="330"/>
      <c r="NH17" s="330"/>
      <c r="NI17" s="330"/>
      <c r="NJ17" s="330"/>
      <c r="NK17" s="330"/>
      <c r="NL17" s="330"/>
      <c r="NM17" s="330"/>
      <c r="NN17" s="330"/>
      <c r="NO17" s="330"/>
      <c r="NP17" s="330"/>
      <c r="NQ17" s="330"/>
      <c r="NR17" s="330"/>
      <c r="NS17" s="330"/>
      <c r="NT17" s="330"/>
      <c r="NU17" s="330"/>
      <c r="NV17" s="330"/>
      <c r="NW17" s="330"/>
      <c r="NX17" s="330"/>
      <c r="NY17" s="330"/>
      <c r="NZ17" s="330"/>
      <c r="OA17" s="330"/>
      <c r="OB17" s="330"/>
      <c r="OC17" s="330"/>
      <c r="OD17" s="330"/>
      <c r="OE17" s="330"/>
      <c r="OF17" s="330"/>
      <c r="OG17" s="330"/>
      <c r="OH17" s="330"/>
      <c r="OI17" s="330"/>
      <c r="OJ17" s="330"/>
      <c r="OK17" s="330"/>
      <c r="OL17" s="330"/>
      <c r="OM17" s="330"/>
      <c r="ON17" s="330"/>
      <c r="OO17" s="330"/>
      <c r="OP17" s="330"/>
      <c r="OQ17" s="330"/>
      <c r="OR17" s="330"/>
      <c r="OS17" s="330"/>
      <c r="OT17" s="330"/>
      <c r="OU17" s="330"/>
      <c r="OV17" s="330"/>
      <c r="OW17" s="330"/>
      <c r="OX17" s="330"/>
      <c r="OY17" s="330"/>
      <c r="OZ17" s="330"/>
      <c r="PA17" s="330"/>
      <c r="PB17" s="330"/>
      <c r="PC17" s="330"/>
      <c r="PD17" s="330"/>
      <c r="PE17" s="330"/>
      <c r="PF17" s="330"/>
      <c r="PG17" s="330"/>
      <c r="PH17" s="330"/>
      <c r="PI17" s="330"/>
      <c r="PJ17" s="330"/>
      <c r="PK17" s="330"/>
      <c r="PL17" s="330"/>
      <c r="PM17" s="330"/>
      <c r="PN17" s="330"/>
      <c r="PO17" s="330"/>
      <c r="PP17" s="330"/>
      <c r="PQ17" s="330"/>
      <c r="PR17" s="330"/>
      <c r="PS17" s="330"/>
      <c r="PT17" s="330"/>
      <c r="PU17" s="330"/>
      <c r="PV17" s="330"/>
      <c r="PW17" s="330"/>
      <c r="PX17" s="330"/>
      <c r="PY17" s="330"/>
      <c r="PZ17" s="330"/>
      <c r="QA17" s="330"/>
      <c r="QB17" s="330"/>
      <c r="QC17" s="330"/>
      <c r="QD17" s="330"/>
      <c r="QE17" s="330"/>
      <c r="QF17" s="330"/>
      <c r="QG17" s="330"/>
      <c r="QH17" s="330"/>
      <c r="QI17" s="330"/>
      <c r="QJ17" s="330"/>
      <c r="QK17" s="330"/>
      <c r="QL17" s="330"/>
      <c r="QM17" s="330"/>
      <c r="QN17" s="330"/>
      <c r="QO17" s="330"/>
      <c r="QP17" s="330"/>
      <c r="QQ17" s="330"/>
      <c r="QR17" s="330"/>
      <c r="QS17" s="330"/>
      <c r="QT17" s="330"/>
      <c r="QU17" s="330"/>
      <c r="QV17" s="330"/>
      <c r="QW17" s="330"/>
      <c r="QX17" s="330"/>
      <c r="QY17" s="330"/>
      <c r="QZ17" s="330"/>
      <c r="RA17" s="330"/>
      <c r="RB17" s="330"/>
      <c r="RC17" s="330"/>
      <c r="RD17" s="330"/>
      <c r="RE17" s="330"/>
      <c r="RF17" s="330"/>
      <c r="RG17" s="330"/>
      <c r="RH17" s="330"/>
      <c r="RI17" s="330"/>
      <c r="RJ17" s="330"/>
      <c r="RK17" s="330"/>
      <c r="RL17" s="330"/>
      <c r="RM17" s="330"/>
      <c r="RN17" s="330"/>
      <c r="RO17" s="330"/>
      <c r="RP17" s="330"/>
      <c r="RQ17" s="330"/>
      <c r="RR17" s="330"/>
      <c r="RS17" s="330"/>
      <c r="RT17" s="330"/>
      <c r="RU17" s="330"/>
      <c r="RV17" s="330"/>
      <c r="RW17" s="330"/>
      <c r="RX17" s="330"/>
    </row>
    <row r="18" spans="1:665" s="72" customFormat="1" ht="23.25" customHeight="1" thickBot="1">
      <c r="B18" s="39" t="s">
        <v>54</v>
      </c>
      <c r="C18" s="39"/>
      <c r="D18" s="58"/>
      <c r="E18" s="1694"/>
      <c r="F18" s="1761"/>
      <c r="G18" s="1761"/>
      <c r="H18" s="1761"/>
      <c r="I18" s="1761"/>
      <c r="J18" s="1761"/>
      <c r="K18" s="1761"/>
      <c r="L18" s="1761"/>
      <c r="M18" s="1761"/>
      <c r="N18" s="1761"/>
      <c r="O18" s="1761"/>
      <c r="P18" s="1761"/>
      <c r="Q18" s="1761"/>
      <c r="R18" s="1761"/>
      <c r="S18" s="1761"/>
      <c r="T18" s="1761"/>
      <c r="U18" s="1761"/>
      <c r="V18" s="1761"/>
      <c r="W18" s="1761"/>
      <c r="X18" s="1761"/>
      <c r="Y18" s="1761"/>
      <c r="Z18" s="1761"/>
      <c r="AA18" s="1761"/>
      <c r="AB18" s="1761"/>
      <c r="AC18" s="1761"/>
      <c r="AD18" s="1761"/>
      <c r="AE18" s="1761"/>
      <c r="AF18" s="1761"/>
      <c r="AG18" s="1761"/>
      <c r="AH18" s="1761"/>
      <c r="AI18" s="1761"/>
      <c r="AJ18" s="1761"/>
      <c r="AK18" s="1761"/>
      <c r="AL18" s="2118" t="s">
        <v>1003</v>
      </c>
      <c r="AM18" s="2119"/>
      <c r="AN18" s="2119"/>
      <c r="AO18" s="2119"/>
      <c r="AP18" s="2119"/>
      <c r="AQ18" s="2120"/>
      <c r="AR18" s="2118" t="s">
        <v>1002</v>
      </c>
      <c r="AS18" s="2119"/>
      <c r="AT18" s="2119"/>
      <c r="AU18" s="2119"/>
      <c r="AV18" s="2119"/>
      <c r="AW18" s="2119"/>
      <c r="AX18" s="2119"/>
      <c r="AY18" s="2119"/>
      <c r="AZ18" s="2119"/>
      <c r="BA18" s="2119"/>
      <c r="BB18" s="2119"/>
      <c r="BC18" s="2119"/>
      <c r="BD18" s="2119"/>
      <c r="BE18" s="2119"/>
      <c r="BF18" s="2119"/>
      <c r="BG18" s="2119"/>
      <c r="BH18" s="2119"/>
      <c r="BI18" s="2119"/>
      <c r="BJ18" s="2120"/>
      <c r="BK18" s="1761"/>
      <c r="BL18" s="1761"/>
      <c r="BM18" s="1761"/>
      <c r="BN18" s="1761"/>
      <c r="BO18" s="1761"/>
      <c r="BP18" s="1761"/>
      <c r="BQ18" s="1761"/>
      <c r="BR18" s="1761"/>
      <c r="BS18" s="2118" t="s">
        <v>1005</v>
      </c>
      <c r="BT18" s="2119"/>
      <c r="BU18" s="2119"/>
      <c r="BV18" s="2119"/>
      <c r="BW18" s="2119"/>
      <c r="BX18" s="2120"/>
      <c r="BY18" s="2118" t="s">
        <v>1009</v>
      </c>
      <c r="BZ18" s="2119"/>
      <c r="CA18" s="2119"/>
      <c r="CB18" s="2119"/>
      <c r="CC18" s="2119"/>
      <c r="CD18" s="2119"/>
      <c r="CE18" s="2119"/>
      <c r="CF18" s="2119"/>
      <c r="CG18" s="2119"/>
      <c r="CH18" s="2119"/>
      <c r="CI18" s="2119"/>
      <c r="CJ18" s="2119"/>
      <c r="CK18" s="2119"/>
      <c r="CL18" s="2119"/>
      <c r="CM18" s="2119"/>
      <c r="CN18" s="2119"/>
      <c r="CO18" s="2119"/>
      <c r="CP18" s="2119"/>
      <c r="CQ18" s="2120"/>
      <c r="CR18" s="1761"/>
      <c r="CS18" s="2118" t="s">
        <v>1012</v>
      </c>
      <c r="CT18" s="2119"/>
      <c r="CU18" s="2119"/>
      <c r="CV18" s="2119"/>
      <c r="CW18" s="2119"/>
      <c r="CX18" s="2120"/>
      <c r="CY18" s="2118" t="s">
        <v>812</v>
      </c>
      <c r="CZ18" s="2119"/>
      <c r="DA18" s="2119"/>
      <c r="DB18" s="2119"/>
      <c r="DC18" s="2119"/>
      <c r="DD18" s="2119"/>
      <c r="DE18" s="2119"/>
      <c r="DF18" s="2119"/>
      <c r="DG18" s="2119"/>
      <c r="DH18" s="2119"/>
      <c r="DI18" s="2119"/>
      <c r="DJ18" s="2119"/>
      <c r="DK18" s="2119"/>
      <c r="DL18" s="2119"/>
      <c r="DM18" s="2119"/>
      <c r="DN18" s="2119"/>
      <c r="DO18" s="2119"/>
      <c r="DP18" s="2119"/>
      <c r="DQ18" s="2120"/>
      <c r="DR18" s="1761"/>
      <c r="DS18" s="1761"/>
      <c r="DT18" s="1761"/>
      <c r="DU18" s="1761"/>
      <c r="DV18" s="1761"/>
      <c r="DW18" s="1761"/>
      <c r="DX18" s="1761"/>
      <c r="DY18" s="1761"/>
      <c r="DZ18" s="1761"/>
      <c r="EA18" s="1761"/>
      <c r="EB18" s="1761"/>
      <c r="EC18" s="1761"/>
      <c r="ED18" s="2118" t="s">
        <v>1029</v>
      </c>
      <c r="EE18" s="2119"/>
      <c r="EF18" s="2119"/>
      <c r="EG18" s="2119"/>
      <c r="EH18" s="2119"/>
      <c r="EI18" s="2120"/>
      <c r="EJ18" s="2118" t="s">
        <v>1009</v>
      </c>
      <c r="EK18" s="2119"/>
      <c r="EL18" s="2119"/>
      <c r="EM18" s="2119"/>
      <c r="EN18" s="2119"/>
      <c r="EO18" s="2119"/>
      <c r="EP18" s="2119"/>
      <c r="EQ18" s="2119"/>
      <c r="ER18" s="2119"/>
      <c r="ES18" s="2119"/>
      <c r="ET18" s="2119"/>
      <c r="EU18" s="2119"/>
      <c r="EV18" s="2119"/>
      <c r="EW18" s="2119"/>
      <c r="EX18" s="2119"/>
      <c r="EY18" s="2119"/>
      <c r="EZ18" s="2119"/>
      <c r="FA18" s="2119"/>
      <c r="FB18" s="2120"/>
      <c r="FC18" s="1761"/>
      <c r="FD18" s="1761"/>
      <c r="FE18" s="1761"/>
      <c r="FF18" s="1761"/>
      <c r="FG18" s="1761"/>
      <c r="FH18" s="1761"/>
      <c r="FI18" s="1761"/>
      <c r="FJ18" s="1761"/>
      <c r="FK18" s="2118" t="s">
        <v>1031</v>
      </c>
      <c r="FL18" s="2119"/>
      <c r="FM18" s="2119"/>
      <c r="FN18" s="2119"/>
      <c r="FO18" s="2119"/>
      <c r="FP18" s="2120"/>
      <c r="FQ18" s="2118" t="s">
        <v>1009</v>
      </c>
      <c r="FR18" s="2119"/>
      <c r="FS18" s="2119"/>
      <c r="FT18" s="2119"/>
      <c r="FU18" s="2119"/>
      <c r="FV18" s="2119"/>
      <c r="FW18" s="2119"/>
      <c r="FX18" s="2119"/>
      <c r="FY18" s="2119"/>
      <c r="FZ18" s="2119"/>
      <c r="GA18" s="2119"/>
      <c r="GB18" s="2119"/>
      <c r="GC18" s="2119"/>
      <c r="GD18" s="2119"/>
      <c r="GE18" s="2119"/>
      <c r="GF18" s="2119"/>
      <c r="GG18" s="2119"/>
      <c r="GH18" s="2119"/>
      <c r="GI18" s="2120"/>
      <c r="GJ18" s="1761"/>
      <c r="GK18" s="1761"/>
      <c r="GL18" s="1761"/>
      <c r="GM18" s="1761"/>
      <c r="GN18" s="1761"/>
      <c r="GO18" s="1761"/>
      <c r="GP18" s="1761"/>
      <c r="GQ18" s="1761"/>
      <c r="GR18" s="1761"/>
      <c r="GS18" s="2118" t="s">
        <v>1044</v>
      </c>
      <c r="GT18" s="2119"/>
      <c r="GU18" s="2119"/>
      <c r="GV18" s="2119"/>
      <c r="GW18" s="2119"/>
      <c r="GX18" s="2120"/>
      <c r="GY18" s="2118" t="s">
        <v>1002</v>
      </c>
      <c r="GZ18" s="2119"/>
      <c r="HA18" s="2119"/>
      <c r="HB18" s="2119"/>
      <c r="HC18" s="2119"/>
      <c r="HD18" s="2119"/>
      <c r="HE18" s="2119"/>
      <c r="HF18" s="2119"/>
      <c r="HG18" s="2119"/>
      <c r="HH18" s="2119"/>
      <c r="HI18" s="2119"/>
      <c r="HJ18" s="2119"/>
      <c r="HK18" s="2119"/>
      <c r="HL18" s="2119"/>
      <c r="HM18" s="2119"/>
      <c r="HN18" s="2119"/>
      <c r="HO18" s="2119"/>
      <c r="HP18" s="2119"/>
      <c r="HQ18" s="2120"/>
      <c r="HR18" s="1761"/>
      <c r="HS18" s="1761"/>
      <c r="HT18" s="1761"/>
      <c r="HU18" s="1761"/>
      <c r="HV18" s="1761"/>
      <c r="HW18" s="1761"/>
      <c r="HX18" s="1761"/>
      <c r="HY18" s="1761"/>
      <c r="HZ18" s="1761"/>
      <c r="IA18" s="1761"/>
      <c r="IB18" s="1761"/>
      <c r="IC18" s="2118" t="s">
        <v>1047</v>
      </c>
      <c r="ID18" s="2119"/>
      <c r="IE18" s="2119"/>
      <c r="IF18" s="2119"/>
      <c r="IG18" s="2119"/>
      <c r="IH18" s="2120"/>
      <c r="II18" s="2118" t="s">
        <v>1002</v>
      </c>
      <c r="IJ18" s="2119"/>
      <c r="IK18" s="2119"/>
      <c r="IL18" s="2119"/>
      <c r="IM18" s="2119"/>
      <c r="IN18" s="2119"/>
      <c r="IO18" s="2119"/>
      <c r="IP18" s="2119"/>
      <c r="IQ18" s="2119"/>
      <c r="IR18" s="2119"/>
      <c r="IS18" s="2119"/>
      <c r="IT18" s="2119"/>
      <c r="IU18" s="2119"/>
      <c r="IV18" s="2119"/>
      <c r="IW18" s="2119"/>
      <c r="IX18" s="2119"/>
      <c r="IY18" s="2119"/>
      <c r="IZ18" s="2119"/>
      <c r="JA18" s="2120"/>
      <c r="JB18" s="1762"/>
      <c r="JC18" s="1762"/>
      <c r="JD18" s="1762"/>
      <c r="JE18" s="1762"/>
      <c r="JF18" s="1762"/>
      <c r="JG18" s="1762"/>
      <c r="JH18" s="1762"/>
      <c r="JI18" s="1762"/>
      <c r="JJ18" s="1762"/>
      <c r="JK18" s="1762"/>
      <c r="JL18" s="1762"/>
      <c r="JM18" s="1762"/>
      <c r="JN18" s="1762"/>
      <c r="JO18" s="1762"/>
      <c r="JP18" s="1762"/>
      <c r="JQ18" s="1762"/>
      <c r="JR18" s="1762"/>
      <c r="JS18" s="1762"/>
      <c r="JT18" s="1762"/>
      <c r="JU18" s="1762"/>
      <c r="JV18" s="1762"/>
      <c r="JW18" s="1762"/>
      <c r="JX18" s="1762"/>
      <c r="JY18" s="1762"/>
      <c r="JZ18" s="1762"/>
      <c r="KA18" s="1762"/>
      <c r="KB18" s="1762"/>
      <c r="KC18" s="1762"/>
      <c r="KD18" s="1762"/>
      <c r="KE18" s="1762"/>
      <c r="KF18" s="1762"/>
      <c r="KG18" s="1762"/>
      <c r="KH18" s="1762"/>
      <c r="KI18" s="1762"/>
      <c r="KJ18" s="1762"/>
      <c r="KK18" s="1762"/>
      <c r="KL18" s="1762"/>
      <c r="KM18" s="1762"/>
      <c r="KN18" s="1762"/>
      <c r="KO18" s="1762"/>
      <c r="KP18" s="1762"/>
      <c r="KQ18" s="1762"/>
      <c r="KR18" s="1762"/>
      <c r="KS18" s="1762"/>
      <c r="KT18" s="1762"/>
      <c r="KU18" s="1762"/>
      <c r="KV18" s="1762"/>
      <c r="KW18" s="1762"/>
      <c r="KX18" s="1762"/>
      <c r="KY18" s="1762"/>
      <c r="KZ18" s="1762"/>
      <c r="LA18" s="1762"/>
      <c r="LB18" s="1762"/>
      <c r="LC18" s="1762"/>
      <c r="LD18" s="1762"/>
      <c r="LE18" s="1762"/>
      <c r="LF18" s="1762"/>
      <c r="LG18" s="1762"/>
      <c r="LH18" s="1762"/>
      <c r="LI18" s="1762"/>
      <c r="LJ18" s="1762"/>
      <c r="LK18" s="1762"/>
      <c r="LL18" s="1762"/>
      <c r="LM18" s="1762"/>
      <c r="LN18" s="1762"/>
      <c r="LO18" s="1762"/>
      <c r="LP18" s="1762"/>
      <c r="LQ18" s="1762"/>
      <c r="LR18" s="1762"/>
      <c r="LS18" s="1762"/>
      <c r="LT18" s="1762"/>
      <c r="LU18" s="1762"/>
      <c r="LV18" s="1762"/>
      <c r="LW18" s="1762"/>
      <c r="LX18" s="1762"/>
      <c r="LY18" s="1762"/>
      <c r="LZ18" s="1762"/>
      <c r="MA18" s="1762"/>
      <c r="MH18" s="330"/>
      <c r="MI18" s="330"/>
      <c r="MJ18" s="330"/>
      <c r="MK18" s="330"/>
      <c r="ML18" s="330"/>
      <c r="MM18" s="330"/>
      <c r="MN18" s="330"/>
      <c r="MO18" s="330"/>
      <c r="MP18" s="330"/>
      <c r="MQ18" s="330"/>
      <c r="MR18" s="330"/>
      <c r="MS18" s="330"/>
      <c r="MT18" s="330"/>
      <c r="MU18" s="330"/>
      <c r="MV18" s="330"/>
      <c r="MW18" s="330"/>
      <c r="MX18" s="330"/>
      <c r="MY18" s="330"/>
      <c r="MZ18" s="330"/>
      <c r="NA18" s="330"/>
      <c r="NB18" s="330"/>
      <c r="NC18" s="330"/>
      <c r="ND18" s="330"/>
      <c r="NE18" s="330"/>
      <c r="NF18" s="330"/>
      <c r="NG18" s="330"/>
      <c r="NH18" s="330"/>
      <c r="NI18" s="330"/>
      <c r="NJ18" s="330"/>
      <c r="NK18" s="330"/>
      <c r="NL18" s="330"/>
    </row>
    <row r="19" spans="1:665" s="74" customFormat="1" ht="35.25" customHeight="1" thickBot="1">
      <c r="B19" s="39"/>
      <c r="C19" s="39"/>
      <c r="D19" s="58"/>
      <c r="E19" s="1694"/>
      <c r="F19" s="1761"/>
      <c r="G19" s="1761"/>
      <c r="H19" s="1761"/>
      <c r="I19" s="1761"/>
      <c r="J19" s="1761"/>
      <c r="K19" s="1761"/>
      <c r="L19" s="1761"/>
      <c r="M19" s="1761"/>
      <c r="N19" s="1761"/>
      <c r="O19" s="1761"/>
      <c r="P19" s="1761"/>
      <c r="Q19" s="1761"/>
      <c r="R19" s="1761"/>
      <c r="S19" s="1761"/>
      <c r="T19" s="1761"/>
      <c r="U19" s="1761"/>
      <c r="V19" s="1761"/>
      <c r="W19" s="1761"/>
      <c r="X19" s="1761"/>
      <c r="Y19" s="1761"/>
      <c r="Z19" s="1761"/>
      <c r="AA19" s="1761"/>
      <c r="AB19" s="1761"/>
      <c r="AC19" s="1761"/>
      <c r="AD19" s="1761"/>
      <c r="AE19" s="1761"/>
      <c r="AF19" s="1761"/>
      <c r="AG19" s="1761"/>
      <c r="AH19" s="1761"/>
      <c r="AI19" s="1761"/>
      <c r="AJ19" s="1761"/>
      <c r="AK19" s="1761"/>
      <c r="AL19" s="2121" t="s">
        <v>779</v>
      </c>
      <c r="AM19" s="2122"/>
      <c r="AN19" s="2122"/>
      <c r="AO19" s="2122"/>
      <c r="AP19" s="2122"/>
      <c r="AQ19" s="2122"/>
      <c r="AR19" s="2122"/>
      <c r="AS19" s="2122"/>
      <c r="AT19" s="2122"/>
      <c r="AU19" s="2123"/>
      <c r="AV19" s="2124" t="s">
        <v>780</v>
      </c>
      <c r="AW19" s="2125"/>
      <c r="AX19" s="2125"/>
      <c r="AY19" s="2125"/>
      <c r="AZ19" s="2125"/>
      <c r="BA19" s="2126"/>
      <c r="BB19" s="2127" t="s">
        <v>781</v>
      </c>
      <c r="BC19" s="2128"/>
      <c r="BD19" s="2128"/>
      <c r="BE19" s="2129"/>
      <c r="BF19" s="2130" t="s">
        <v>782</v>
      </c>
      <c r="BG19" s="2131"/>
      <c r="BH19" s="2132"/>
      <c r="BI19" s="2133"/>
      <c r="BJ19" s="2134"/>
      <c r="BK19" s="1761"/>
      <c r="BL19" s="1761"/>
      <c r="BM19" s="1761"/>
      <c r="BN19" s="1761"/>
      <c r="BO19" s="1761"/>
      <c r="BP19" s="1761"/>
      <c r="BQ19" s="1761"/>
      <c r="BR19" s="1761"/>
      <c r="BS19" s="2121" t="s">
        <v>779</v>
      </c>
      <c r="BT19" s="2122"/>
      <c r="BU19" s="2122"/>
      <c r="BV19" s="2122"/>
      <c r="BW19" s="2122"/>
      <c r="BX19" s="2122"/>
      <c r="BY19" s="2122"/>
      <c r="BZ19" s="2122"/>
      <c r="CA19" s="2122"/>
      <c r="CB19" s="2123"/>
      <c r="CC19" s="2124" t="s">
        <v>780</v>
      </c>
      <c r="CD19" s="2125"/>
      <c r="CE19" s="2125"/>
      <c r="CF19" s="2125"/>
      <c r="CG19" s="2125"/>
      <c r="CH19" s="2126"/>
      <c r="CI19" s="2127" t="s">
        <v>781</v>
      </c>
      <c r="CJ19" s="2128"/>
      <c r="CK19" s="2128"/>
      <c r="CL19" s="2129"/>
      <c r="CM19" s="2130" t="s">
        <v>782</v>
      </c>
      <c r="CN19" s="2131"/>
      <c r="CO19" s="2132"/>
      <c r="CP19" s="2133"/>
      <c r="CQ19" s="2134"/>
      <c r="CR19" s="1761"/>
      <c r="CS19" s="2121" t="s">
        <v>779</v>
      </c>
      <c r="CT19" s="2122"/>
      <c r="CU19" s="2122"/>
      <c r="CV19" s="2122"/>
      <c r="CW19" s="2122"/>
      <c r="CX19" s="2122"/>
      <c r="CY19" s="2122"/>
      <c r="CZ19" s="2122"/>
      <c r="DA19" s="2122"/>
      <c r="DB19" s="2123"/>
      <c r="DC19" s="2124" t="s">
        <v>780</v>
      </c>
      <c r="DD19" s="2125"/>
      <c r="DE19" s="2125"/>
      <c r="DF19" s="2125"/>
      <c r="DG19" s="2125"/>
      <c r="DH19" s="2126"/>
      <c r="DI19" s="2127" t="s">
        <v>781</v>
      </c>
      <c r="DJ19" s="2128"/>
      <c r="DK19" s="2128"/>
      <c r="DL19" s="2129"/>
      <c r="DM19" s="2130" t="s">
        <v>782</v>
      </c>
      <c r="DN19" s="2131"/>
      <c r="DO19" s="2132"/>
      <c r="DP19" s="2133"/>
      <c r="DQ19" s="2134"/>
      <c r="DR19" s="1761"/>
      <c r="DS19" s="1761"/>
      <c r="DT19" s="1761"/>
      <c r="DU19" s="1761"/>
      <c r="DV19" s="1761"/>
      <c r="DW19" s="1761"/>
      <c r="DX19" s="1761"/>
      <c r="DY19" s="1761"/>
      <c r="DZ19" s="1761"/>
      <c r="EA19" s="1761"/>
      <c r="EB19" s="1761"/>
      <c r="EC19" s="1761"/>
      <c r="ED19" s="2121" t="s">
        <v>779</v>
      </c>
      <c r="EE19" s="2122"/>
      <c r="EF19" s="2122"/>
      <c r="EG19" s="2122"/>
      <c r="EH19" s="2122"/>
      <c r="EI19" s="2122"/>
      <c r="EJ19" s="2122"/>
      <c r="EK19" s="2122"/>
      <c r="EL19" s="2122"/>
      <c r="EM19" s="2123"/>
      <c r="EN19" s="2124" t="s">
        <v>780</v>
      </c>
      <c r="EO19" s="2125"/>
      <c r="EP19" s="2125"/>
      <c r="EQ19" s="2125"/>
      <c r="ER19" s="2125"/>
      <c r="ES19" s="2126"/>
      <c r="ET19" s="2127" t="s">
        <v>781</v>
      </c>
      <c r="EU19" s="2128"/>
      <c r="EV19" s="2128"/>
      <c r="EW19" s="2129"/>
      <c r="EX19" s="2130" t="s">
        <v>782</v>
      </c>
      <c r="EY19" s="2131"/>
      <c r="EZ19" s="2132"/>
      <c r="FA19" s="2133"/>
      <c r="FB19" s="2134"/>
      <c r="FC19" s="1761"/>
      <c r="FD19" s="1761"/>
      <c r="FE19" s="1761"/>
      <c r="FF19" s="1761"/>
      <c r="FG19" s="1761"/>
      <c r="FH19" s="1761"/>
      <c r="FI19" s="1761"/>
      <c r="FJ19" s="1761"/>
      <c r="FK19" s="2121" t="s">
        <v>779</v>
      </c>
      <c r="FL19" s="2122"/>
      <c r="FM19" s="2122"/>
      <c r="FN19" s="2122"/>
      <c r="FO19" s="2122"/>
      <c r="FP19" s="2122"/>
      <c r="FQ19" s="2122"/>
      <c r="FR19" s="2122"/>
      <c r="FS19" s="2122"/>
      <c r="FT19" s="2123"/>
      <c r="FU19" s="2124" t="s">
        <v>780</v>
      </c>
      <c r="FV19" s="2125"/>
      <c r="FW19" s="2125"/>
      <c r="FX19" s="2125"/>
      <c r="FY19" s="2125"/>
      <c r="FZ19" s="2126"/>
      <c r="GA19" s="2127" t="s">
        <v>781</v>
      </c>
      <c r="GB19" s="2128"/>
      <c r="GC19" s="2128"/>
      <c r="GD19" s="2129"/>
      <c r="GE19" s="2130" t="s">
        <v>782</v>
      </c>
      <c r="GF19" s="2131"/>
      <c r="GG19" s="2132"/>
      <c r="GH19" s="2133"/>
      <c r="GI19" s="2134"/>
      <c r="GJ19" s="1761"/>
      <c r="GK19" s="1761"/>
      <c r="GL19" s="1761"/>
      <c r="GM19" s="1761"/>
      <c r="GN19" s="1761"/>
      <c r="GO19" s="1761"/>
      <c r="GP19" s="1761"/>
      <c r="GQ19" s="1761"/>
      <c r="GR19" s="1761"/>
      <c r="GS19" s="2121" t="s">
        <v>779</v>
      </c>
      <c r="GT19" s="2122"/>
      <c r="GU19" s="2122"/>
      <c r="GV19" s="2122"/>
      <c r="GW19" s="2122"/>
      <c r="GX19" s="2122"/>
      <c r="GY19" s="2122"/>
      <c r="GZ19" s="2122"/>
      <c r="HA19" s="2122"/>
      <c r="HB19" s="2123"/>
      <c r="HC19" s="2124" t="s">
        <v>780</v>
      </c>
      <c r="HD19" s="2125"/>
      <c r="HE19" s="2125"/>
      <c r="HF19" s="2125"/>
      <c r="HG19" s="2125"/>
      <c r="HH19" s="2126"/>
      <c r="HI19" s="2127" t="s">
        <v>781</v>
      </c>
      <c r="HJ19" s="2128"/>
      <c r="HK19" s="2128"/>
      <c r="HL19" s="2129"/>
      <c r="HM19" s="2130" t="s">
        <v>782</v>
      </c>
      <c r="HN19" s="2131"/>
      <c r="HO19" s="2132"/>
      <c r="HP19" s="2133"/>
      <c r="HQ19" s="2134"/>
      <c r="HR19" s="1761"/>
      <c r="HS19" s="1761"/>
      <c r="HT19" s="1761"/>
      <c r="HU19" s="1761"/>
      <c r="HV19" s="1761"/>
      <c r="HW19" s="1761"/>
      <c r="HX19" s="1761"/>
      <c r="HY19" s="1761"/>
      <c r="HZ19" s="1761"/>
      <c r="IA19" s="1761"/>
      <c r="IB19" s="1761"/>
      <c r="IC19" s="2121" t="s">
        <v>779</v>
      </c>
      <c r="ID19" s="2122"/>
      <c r="IE19" s="2122"/>
      <c r="IF19" s="2122"/>
      <c r="IG19" s="2122"/>
      <c r="IH19" s="2122"/>
      <c r="II19" s="2122"/>
      <c r="IJ19" s="2122"/>
      <c r="IK19" s="2122"/>
      <c r="IL19" s="2123"/>
      <c r="IM19" s="2124" t="s">
        <v>780</v>
      </c>
      <c r="IN19" s="2125"/>
      <c r="IO19" s="2125"/>
      <c r="IP19" s="2125"/>
      <c r="IQ19" s="2125"/>
      <c r="IR19" s="2126"/>
      <c r="IS19" s="2127" t="s">
        <v>781</v>
      </c>
      <c r="IT19" s="2128"/>
      <c r="IU19" s="2128"/>
      <c r="IV19" s="2129"/>
      <c r="IW19" s="2130" t="s">
        <v>782</v>
      </c>
      <c r="IX19" s="2131"/>
      <c r="IY19" s="2132"/>
      <c r="IZ19" s="2133"/>
      <c r="JA19" s="2134"/>
      <c r="JB19" s="1762"/>
      <c r="JC19" s="1762"/>
      <c r="JD19" s="1762"/>
      <c r="JE19" s="1762"/>
      <c r="JF19" s="1762"/>
      <c r="JG19" s="1762"/>
      <c r="JH19" s="1762"/>
      <c r="JI19" s="1762"/>
      <c r="JJ19" s="1762"/>
      <c r="JK19" s="1762"/>
      <c r="JL19" s="1762"/>
      <c r="JM19" s="1762"/>
      <c r="JN19" s="1762"/>
      <c r="JO19" s="1762"/>
      <c r="JP19" s="1762"/>
      <c r="JQ19" s="1762"/>
      <c r="JR19" s="1762"/>
      <c r="JS19" s="1762"/>
      <c r="JT19" s="1762"/>
      <c r="JU19" s="1762"/>
      <c r="JV19" s="1762"/>
      <c r="JW19" s="1762"/>
      <c r="JX19" s="1762"/>
      <c r="JY19" s="1762"/>
      <c r="JZ19" s="1762"/>
      <c r="KA19" s="1762"/>
      <c r="KB19" s="1762"/>
      <c r="KC19" s="1762"/>
      <c r="KD19" s="1762"/>
      <c r="KE19" s="1762"/>
      <c r="KF19" s="1762"/>
      <c r="KG19" s="1762"/>
      <c r="KH19" s="1762"/>
      <c r="KI19" s="1762"/>
      <c r="KJ19" s="1762"/>
      <c r="KK19" s="1762"/>
      <c r="KL19" s="1762"/>
      <c r="KM19" s="1762"/>
      <c r="KN19" s="1762"/>
      <c r="KO19" s="1762"/>
      <c r="KP19" s="1762"/>
      <c r="KQ19" s="1762"/>
      <c r="KR19" s="1762"/>
      <c r="KS19" s="1762"/>
      <c r="KT19" s="1762"/>
      <c r="KU19" s="1762"/>
      <c r="KV19" s="1762"/>
      <c r="KW19" s="1762"/>
      <c r="KX19" s="1762"/>
      <c r="KY19" s="1762"/>
      <c r="KZ19" s="1762"/>
      <c r="LA19" s="1762"/>
      <c r="LB19" s="1762"/>
      <c r="LC19" s="1762"/>
      <c r="LD19" s="1762"/>
      <c r="LE19" s="1762"/>
      <c r="LF19" s="1762"/>
      <c r="LG19" s="1762"/>
      <c r="LH19" s="1762"/>
      <c r="LI19" s="1762"/>
      <c r="LJ19" s="1762"/>
      <c r="LK19" s="1762"/>
      <c r="LL19" s="1762"/>
      <c r="LM19" s="1762"/>
      <c r="LN19" s="1762"/>
      <c r="LO19" s="1762"/>
      <c r="LP19" s="1762"/>
      <c r="LQ19" s="1762"/>
      <c r="LR19" s="1762"/>
      <c r="LS19" s="1762"/>
      <c r="LT19" s="1762"/>
      <c r="LU19" s="1762"/>
      <c r="LV19" s="1762"/>
      <c r="LW19" s="1762"/>
      <c r="LX19" s="1762"/>
      <c r="LY19" s="1762"/>
      <c r="LZ19" s="1762"/>
      <c r="MA19" s="1762"/>
      <c r="MH19" s="330"/>
      <c r="MI19" s="330"/>
      <c r="MJ19" s="330"/>
      <c r="MK19" s="330"/>
      <c r="ML19" s="330"/>
      <c r="MM19" s="330"/>
      <c r="MN19" s="330"/>
      <c r="MO19" s="330"/>
      <c r="MP19" s="330"/>
      <c r="MQ19" s="330"/>
      <c r="MR19" s="330"/>
      <c r="MS19" s="330"/>
      <c r="MT19" s="330"/>
      <c r="MU19" s="330"/>
      <c r="MV19" s="330"/>
      <c r="MW19" s="330"/>
      <c r="MX19" s="330"/>
      <c r="MY19" s="330"/>
      <c r="MZ19" s="330"/>
      <c r="NA19" s="330"/>
      <c r="NB19" s="330"/>
      <c r="NC19" s="330"/>
      <c r="ND19" s="330"/>
      <c r="NE19" s="330"/>
      <c r="NF19" s="330"/>
      <c r="NG19" s="330"/>
      <c r="NH19" s="330"/>
      <c r="NI19" s="330"/>
      <c r="NJ19" s="330"/>
      <c r="NK19" s="330"/>
      <c r="NL19" s="330"/>
    </row>
    <row r="20" spans="1:665" s="74" customFormat="1" ht="36.75" customHeight="1">
      <c r="B20" s="330"/>
      <c r="C20" s="330"/>
      <c r="D20" s="1616"/>
      <c r="E20" s="1697" t="s">
        <v>873</v>
      </c>
      <c r="F20" s="1762"/>
      <c r="G20" s="1762"/>
      <c r="H20" s="1762"/>
      <c r="I20" s="1762"/>
      <c r="J20" s="1762"/>
      <c r="K20" s="1762"/>
      <c r="L20" s="1762"/>
      <c r="M20" s="1762"/>
      <c r="N20" s="1761"/>
      <c r="O20" s="1761"/>
      <c r="P20" s="1761"/>
      <c r="Q20" s="1761"/>
      <c r="R20" s="1761"/>
      <c r="S20" s="1761"/>
      <c r="T20" s="1761"/>
      <c r="U20" s="1761"/>
      <c r="V20" s="1761"/>
      <c r="W20" s="1761"/>
      <c r="X20" s="1761"/>
      <c r="Y20" s="1761"/>
      <c r="Z20" s="1761"/>
      <c r="AA20" s="1761"/>
      <c r="AB20" s="1761"/>
      <c r="AC20" s="1761"/>
      <c r="AD20" s="1761"/>
      <c r="AE20" s="1761"/>
      <c r="AF20" s="1761"/>
      <c r="AG20" s="1761"/>
      <c r="AH20" s="1761"/>
      <c r="AI20" s="1761"/>
      <c r="AJ20" s="1761"/>
      <c r="AK20" s="1761"/>
      <c r="AL20" s="1608">
        <v>1100</v>
      </c>
      <c r="AM20" s="1608">
        <v>1100</v>
      </c>
      <c r="AN20" s="1608">
        <v>1100</v>
      </c>
      <c r="AO20" s="1608">
        <v>1100</v>
      </c>
      <c r="AP20" s="1608">
        <v>1100</v>
      </c>
      <c r="AQ20" s="1608">
        <v>1100</v>
      </c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1608">
        <v>700</v>
      </c>
      <c r="BD20" s="1608">
        <v>700</v>
      </c>
      <c r="BE20" s="1608">
        <v>700</v>
      </c>
      <c r="BF20" s="1838"/>
      <c r="BG20" s="1838"/>
      <c r="BH20" s="1838"/>
      <c r="BI20" s="1839"/>
      <c r="BJ20" s="1839"/>
      <c r="BK20" s="1761"/>
      <c r="BL20" s="1761"/>
      <c r="BM20" s="1761"/>
      <c r="BN20" s="1761"/>
      <c r="BO20" s="1761"/>
      <c r="BP20" s="1761"/>
      <c r="BQ20" s="1761"/>
      <c r="BR20" s="1761"/>
      <c r="BS20" s="1608">
        <v>1100</v>
      </c>
      <c r="BT20" s="1608">
        <v>1100</v>
      </c>
      <c r="BU20" s="1608">
        <v>1100</v>
      </c>
      <c r="BV20" s="1608">
        <v>1100</v>
      </c>
      <c r="BW20" s="1608">
        <v>1100</v>
      </c>
      <c r="BX20" s="1608">
        <v>1100</v>
      </c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1608">
        <v>700</v>
      </c>
      <c r="CK20" s="1608">
        <v>700</v>
      </c>
      <c r="CL20" s="1608">
        <v>700</v>
      </c>
      <c r="CM20" s="1838"/>
      <c r="CN20" s="1838"/>
      <c r="CO20" s="1838"/>
      <c r="CP20" s="1839"/>
      <c r="CQ20" s="1839"/>
      <c r="CR20" s="1761"/>
      <c r="CS20" s="1608">
        <v>1100</v>
      </c>
      <c r="CT20" s="1608">
        <v>1100</v>
      </c>
      <c r="CU20" s="1608">
        <v>1100</v>
      </c>
      <c r="CV20" s="1608">
        <v>1100</v>
      </c>
      <c r="CW20" s="1608">
        <v>1100</v>
      </c>
      <c r="CX20" s="1608">
        <v>1100</v>
      </c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1608">
        <v>700</v>
      </c>
      <c r="DK20" s="1608">
        <v>700</v>
      </c>
      <c r="DL20" s="1608">
        <v>700</v>
      </c>
      <c r="DM20" s="1838"/>
      <c r="DN20" s="1838"/>
      <c r="DO20" s="1838"/>
      <c r="DP20" s="1839"/>
      <c r="DQ20" s="1839"/>
      <c r="DR20" s="1761"/>
      <c r="DS20" s="1761"/>
      <c r="DT20" s="1761"/>
      <c r="DU20" s="1761"/>
      <c r="DV20" s="1761"/>
      <c r="DW20" s="1761"/>
      <c r="DX20" s="1761"/>
      <c r="DY20" s="1761"/>
      <c r="DZ20" s="1761"/>
      <c r="EA20" s="1761"/>
      <c r="EB20" s="1761"/>
      <c r="EC20" s="1761"/>
      <c r="ED20" s="1608">
        <v>1100</v>
      </c>
      <c r="EE20" s="1608">
        <v>1100</v>
      </c>
      <c r="EF20" s="1608">
        <v>1100</v>
      </c>
      <c r="EG20" s="1608">
        <v>1100</v>
      </c>
      <c r="EH20" s="1608">
        <v>1100</v>
      </c>
      <c r="EI20" s="1608">
        <v>1100</v>
      </c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1608">
        <v>700</v>
      </c>
      <c r="EV20" s="1608">
        <v>700</v>
      </c>
      <c r="EW20" s="1608">
        <v>700</v>
      </c>
      <c r="EX20" s="1838"/>
      <c r="EY20" s="1838"/>
      <c r="EZ20" s="1838"/>
      <c r="FA20" s="1839"/>
      <c r="FB20" s="1839"/>
      <c r="FC20" s="1761"/>
      <c r="FD20" s="1761"/>
      <c r="FE20" s="1761"/>
      <c r="FF20" s="1761"/>
      <c r="FG20" s="1761"/>
      <c r="FH20" s="1761"/>
      <c r="FI20" s="1761"/>
      <c r="FJ20" s="1761"/>
      <c r="FK20" s="1608">
        <v>1100</v>
      </c>
      <c r="FL20" s="1608">
        <v>1100</v>
      </c>
      <c r="FM20" s="1608">
        <v>1100</v>
      </c>
      <c r="FN20" s="1608">
        <v>1100</v>
      </c>
      <c r="FO20" s="1608">
        <v>1100</v>
      </c>
      <c r="FP20" s="1608">
        <v>1100</v>
      </c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1608">
        <v>700</v>
      </c>
      <c r="GC20" s="1608">
        <v>700</v>
      </c>
      <c r="GD20" s="1608">
        <v>700</v>
      </c>
      <c r="GE20" s="1838"/>
      <c r="GF20" s="1838"/>
      <c r="GG20" s="1838"/>
      <c r="GH20" s="1839"/>
      <c r="GI20" s="1839"/>
      <c r="GJ20" s="1761"/>
      <c r="GK20" s="1761"/>
      <c r="GL20" s="1761"/>
      <c r="GM20" s="1761"/>
      <c r="GN20" s="1761"/>
      <c r="GO20" s="1761"/>
      <c r="GP20" s="1761"/>
      <c r="GQ20" s="1761"/>
      <c r="GR20" s="1761"/>
      <c r="GS20" s="1608">
        <v>1100</v>
      </c>
      <c r="GT20" s="1608">
        <v>1100</v>
      </c>
      <c r="GU20" s="1608">
        <v>1100</v>
      </c>
      <c r="GV20" s="1608">
        <v>1100</v>
      </c>
      <c r="GW20" s="1608">
        <v>1100</v>
      </c>
      <c r="GX20" s="1608">
        <v>1100</v>
      </c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1608">
        <v>700</v>
      </c>
      <c r="HK20" s="1608">
        <v>700</v>
      </c>
      <c r="HL20" s="1608">
        <v>700</v>
      </c>
      <c r="HM20" s="1838"/>
      <c r="HN20" s="1838"/>
      <c r="HO20" s="1838"/>
      <c r="HP20" s="1839"/>
      <c r="HQ20" s="1839"/>
      <c r="HR20" s="1761"/>
      <c r="HS20" s="1761"/>
      <c r="HT20" s="1761"/>
      <c r="HU20" s="1761"/>
      <c r="HV20" s="1761"/>
      <c r="HW20" s="1761"/>
      <c r="HX20" s="1761"/>
      <c r="HY20" s="1761"/>
      <c r="HZ20" s="1761"/>
      <c r="IA20" s="1761"/>
      <c r="IB20" s="1761"/>
      <c r="IC20" s="1608">
        <v>1100</v>
      </c>
      <c r="ID20" s="1608">
        <v>1100</v>
      </c>
      <c r="IE20" s="1608">
        <v>1100</v>
      </c>
      <c r="IF20" s="1608">
        <v>1100</v>
      </c>
      <c r="IG20" s="1608">
        <v>1100</v>
      </c>
      <c r="IH20" s="1608">
        <v>1100</v>
      </c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1608">
        <v>700</v>
      </c>
      <c r="IU20" s="1608">
        <v>700</v>
      </c>
      <c r="IV20" s="1608">
        <v>700</v>
      </c>
      <c r="IW20" s="1838"/>
      <c r="IX20" s="1838"/>
      <c r="IY20" s="1838"/>
      <c r="IZ20" s="1839"/>
      <c r="JA20" s="1839"/>
      <c r="JB20" s="1762"/>
      <c r="JC20" s="1762"/>
      <c r="JD20" s="1762"/>
      <c r="JE20" s="1762"/>
      <c r="JF20" s="1762"/>
      <c r="JG20" s="1762"/>
      <c r="JH20" s="1762"/>
      <c r="JI20" s="1762"/>
      <c r="JJ20" s="1762"/>
      <c r="JK20" s="1762"/>
      <c r="JL20" s="1762"/>
      <c r="JM20" s="1762"/>
      <c r="JN20" s="1762"/>
      <c r="JO20" s="1762"/>
      <c r="JP20" s="1762"/>
      <c r="JQ20" s="1762"/>
      <c r="JR20" s="1762"/>
      <c r="JS20" s="1762"/>
      <c r="JT20" s="1762"/>
      <c r="JU20" s="1762"/>
      <c r="JV20" s="1762"/>
      <c r="JW20" s="1762"/>
      <c r="JX20" s="1762"/>
      <c r="JY20" s="1762"/>
      <c r="JZ20" s="1762"/>
      <c r="KA20" s="1762"/>
      <c r="KB20" s="1762"/>
      <c r="KC20" s="1762"/>
      <c r="KD20" s="1762"/>
      <c r="KE20" s="1762"/>
      <c r="KF20" s="1762"/>
      <c r="KG20" s="1762"/>
      <c r="KH20" s="1762"/>
      <c r="KI20" s="1762"/>
      <c r="KJ20" s="1762"/>
      <c r="KK20" s="1762"/>
      <c r="KL20" s="1762"/>
      <c r="KM20" s="1762"/>
      <c r="KN20" s="1762"/>
      <c r="KO20" s="1762"/>
      <c r="KP20" s="1762"/>
      <c r="KQ20" s="1762"/>
      <c r="KR20" s="1762"/>
      <c r="KS20" s="1762"/>
      <c r="KT20" s="1762"/>
      <c r="KU20" s="1762"/>
      <c r="KV20" s="1762"/>
      <c r="KW20" s="1762"/>
      <c r="KX20" s="1762"/>
      <c r="KY20" s="1762"/>
      <c r="KZ20" s="1762"/>
      <c r="LA20" s="1762"/>
      <c r="LB20" s="1762"/>
      <c r="LC20" s="1762"/>
      <c r="LD20" s="1762"/>
      <c r="LE20" s="1762"/>
      <c r="LF20" s="1762"/>
      <c r="LG20" s="1762"/>
      <c r="LH20" s="1762"/>
      <c r="LI20" s="1762"/>
      <c r="LJ20" s="1762"/>
      <c r="LK20" s="1762"/>
      <c r="LL20" s="1762"/>
      <c r="LM20" s="1762"/>
      <c r="LN20" s="1762"/>
      <c r="LO20" s="1762"/>
      <c r="LP20" s="1762"/>
      <c r="LQ20" s="1762"/>
      <c r="LR20" s="1762"/>
      <c r="LS20" s="1762"/>
      <c r="LT20" s="1762"/>
      <c r="LU20" s="1762"/>
      <c r="LV20" s="1762"/>
      <c r="LW20" s="1762"/>
      <c r="LX20" s="1762"/>
      <c r="LY20" s="1762"/>
      <c r="LZ20" s="1762"/>
      <c r="MA20" s="1762"/>
      <c r="MH20" s="330"/>
      <c r="MI20" s="330"/>
      <c r="MJ20" s="330"/>
      <c r="MK20" s="330"/>
      <c r="ML20" s="330"/>
      <c r="MM20" s="330"/>
      <c r="MN20" s="330"/>
      <c r="MO20" s="330"/>
      <c r="MP20" s="330"/>
      <c r="MQ20" s="330"/>
      <c r="MR20" s="330"/>
      <c r="MS20" s="330"/>
      <c r="MT20" s="330"/>
      <c r="MU20" s="330"/>
      <c r="MV20" s="330"/>
      <c r="MW20" s="330"/>
      <c r="MX20" s="330"/>
      <c r="MY20" s="330"/>
      <c r="MZ20" s="330"/>
      <c r="NA20" s="330"/>
      <c r="NB20" s="330"/>
      <c r="NC20" s="330"/>
      <c r="ND20" s="330"/>
      <c r="NE20" s="330"/>
      <c r="NF20" s="330"/>
      <c r="NG20" s="330"/>
    </row>
    <row r="21" spans="1:665" s="74" customFormat="1" ht="25.35" customHeight="1" thickBot="1">
      <c r="B21" s="330"/>
      <c r="C21" s="330"/>
      <c r="D21" s="1616"/>
      <c r="E21" s="1697"/>
      <c r="F21" s="1762"/>
      <c r="G21" s="1762"/>
      <c r="H21" s="1762"/>
      <c r="I21" s="1762"/>
      <c r="J21" s="1762"/>
      <c r="K21" s="1762"/>
      <c r="L21" s="1762"/>
      <c r="M21" s="1762"/>
      <c r="N21" s="1761"/>
      <c r="O21" s="1761"/>
      <c r="P21" s="1761"/>
      <c r="Q21" s="1761"/>
      <c r="R21" s="1761"/>
      <c r="S21" s="1761"/>
      <c r="T21" s="1761"/>
      <c r="U21" s="1761"/>
      <c r="V21" s="1761"/>
      <c r="W21" s="1761"/>
      <c r="X21" s="1761"/>
      <c r="Y21" s="1761"/>
      <c r="Z21" s="1761"/>
      <c r="AA21" s="1761"/>
      <c r="AB21" s="1761"/>
      <c r="AC21" s="1761"/>
      <c r="AD21" s="1761"/>
      <c r="AE21" s="1761"/>
      <c r="AF21" s="1761"/>
      <c r="AG21" s="1761"/>
      <c r="AH21" s="1761"/>
      <c r="AI21" s="1761"/>
      <c r="AJ21" s="1761"/>
      <c r="AK21" s="1761"/>
      <c r="AL21" s="1761"/>
      <c r="AM21" s="1761"/>
      <c r="AN21" s="1761"/>
      <c r="AO21" s="1761"/>
      <c r="AP21" s="1761"/>
      <c r="AQ21" s="1761"/>
      <c r="AR21" s="1761"/>
      <c r="AS21" s="1761"/>
      <c r="AT21" s="1761"/>
      <c r="AU21" s="1761"/>
      <c r="AV21" s="1761"/>
      <c r="AW21" s="1761"/>
      <c r="AX21" s="1761"/>
      <c r="AY21" s="1761"/>
      <c r="AZ21" s="1761"/>
      <c r="BA21" s="1761"/>
      <c r="BB21" s="1761"/>
      <c r="BC21" s="1761"/>
      <c r="BD21" s="1761"/>
      <c r="BE21" s="1761"/>
      <c r="BF21" s="1761"/>
      <c r="BG21" s="1761"/>
      <c r="BH21" s="1761"/>
      <c r="BI21" s="1761"/>
      <c r="BJ21" s="1761"/>
      <c r="BK21" s="1761"/>
      <c r="BL21" s="1761"/>
      <c r="BM21" s="1761"/>
      <c r="BN21" s="1761"/>
      <c r="BO21" s="1761"/>
      <c r="BP21" s="1761"/>
      <c r="BQ21" s="1761"/>
      <c r="BR21" s="1761"/>
      <c r="BS21" s="1761"/>
      <c r="BT21" s="1761"/>
      <c r="BU21" s="1761"/>
      <c r="BV21" s="1761"/>
      <c r="BW21" s="1761"/>
      <c r="BX21" s="1761"/>
      <c r="BY21" s="1761"/>
      <c r="BZ21" s="1761"/>
      <c r="CA21" s="1761"/>
      <c r="CB21" s="1761"/>
      <c r="CC21" s="1761"/>
      <c r="CD21" s="1761"/>
      <c r="CE21" s="1761"/>
      <c r="CF21" s="1761"/>
      <c r="CG21" s="1761"/>
      <c r="CH21" s="1761"/>
      <c r="CI21" s="1761"/>
      <c r="CJ21" s="1761"/>
      <c r="CK21" s="1761"/>
      <c r="CL21" s="1761"/>
      <c r="CM21" s="1761"/>
      <c r="CN21" s="1761"/>
      <c r="CO21" s="1761"/>
      <c r="CP21" s="1761"/>
      <c r="CQ21" s="1761"/>
      <c r="CR21" s="1761"/>
      <c r="CS21" s="1761"/>
      <c r="CT21" s="1761"/>
      <c r="CU21" s="1761"/>
      <c r="CV21" s="1761"/>
      <c r="CW21" s="1761"/>
      <c r="CX21" s="1761"/>
      <c r="CY21" s="1761"/>
      <c r="CZ21" s="1761"/>
      <c r="DA21" s="1761"/>
      <c r="DB21" s="1761"/>
      <c r="DC21" s="1761"/>
      <c r="DD21" s="1761"/>
      <c r="DE21" s="1761"/>
      <c r="DF21" s="1761"/>
      <c r="DG21" s="1761"/>
      <c r="DH21" s="1761"/>
      <c r="DI21" s="1761"/>
      <c r="DJ21" s="1761"/>
      <c r="DK21" s="1761"/>
      <c r="DL21" s="1761"/>
      <c r="DM21" s="1761"/>
      <c r="DN21" s="1761"/>
      <c r="DO21" s="1761"/>
      <c r="DP21" s="1761"/>
      <c r="DQ21" s="1761"/>
      <c r="DR21" s="1761"/>
      <c r="DS21" s="1761"/>
      <c r="DT21" s="1761"/>
      <c r="DU21" s="1761"/>
      <c r="DV21" s="1761"/>
      <c r="DW21" s="1761"/>
      <c r="DX21" s="1761"/>
      <c r="DY21" s="1761"/>
      <c r="DZ21" s="1761"/>
      <c r="EA21" s="1761"/>
      <c r="EB21" s="1761"/>
      <c r="EC21" s="1761"/>
      <c r="ED21" s="1761"/>
      <c r="EE21" s="1761"/>
      <c r="EF21" s="1761"/>
      <c r="EG21" s="1761"/>
      <c r="EH21" s="1761"/>
      <c r="EI21" s="1761"/>
      <c r="EJ21" s="1761"/>
      <c r="EK21" s="1761"/>
      <c r="EL21" s="1761"/>
      <c r="EM21" s="1761"/>
      <c r="EN21" s="1761"/>
      <c r="EO21" s="1761"/>
      <c r="EP21" s="1761"/>
      <c r="EQ21" s="1761"/>
      <c r="ER21" s="1761"/>
      <c r="ES21" s="1761"/>
      <c r="ET21" s="1761"/>
      <c r="EU21" s="1761"/>
      <c r="EV21" s="1761"/>
      <c r="EW21" s="1761"/>
      <c r="EX21" s="1761"/>
      <c r="EY21" s="1761"/>
      <c r="EZ21" s="1761"/>
      <c r="FA21" s="1761"/>
      <c r="FB21" s="1761"/>
      <c r="FC21" s="1761"/>
      <c r="FD21" s="1761"/>
      <c r="FE21" s="1761"/>
      <c r="FF21" s="1761"/>
      <c r="FG21" s="1761"/>
      <c r="FH21" s="1761"/>
      <c r="FI21" s="1761"/>
      <c r="FJ21" s="1761"/>
      <c r="FK21" s="1761"/>
      <c r="FL21" s="1761"/>
      <c r="FM21" s="1761"/>
      <c r="FN21" s="1761"/>
      <c r="FO21" s="1761"/>
      <c r="FP21" s="1761"/>
      <c r="FQ21" s="1761"/>
      <c r="FR21" s="1761"/>
      <c r="FS21" s="1761"/>
      <c r="FT21" s="1761"/>
      <c r="FU21" s="1761"/>
      <c r="FV21" s="1761"/>
      <c r="FW21" s="1761"/>
      <c r="FX21" s="1761"/>
      <c r="FY21" s="1761"/>
      <c r="FZ21" s="1761"/>
      <c r="GA21" s="1761"/>
      <c r="GB21" s="1761"/>
      <c r="GC21" s="1761"/>
      <c r="GD21" s="1761"/>
      <c r="GE21" s="1761"/>
      <c r="GF21" s="1761"/>
      <c r="GG21" s="1761"/>
      <c r="GH21" s="1761"/>
      <c r="GI21" s="1761"/>
      <c r="GJ21" s="1761"/>
      <c r="GK21" s="1761"/>
      <c r="GL21" s="1761"/>
      <c r="GM21" s="1761"/>
      <c r="GN21" s="1761"/>
      <c r="GO21" s="1761"/>
      <c r="GP21" s="1761"/>
      <c r="GQ21" s="1761"/>
      <c r="GR21" s="1761"/>
      <c r="GS21" s="1761"/>
      <c r="GT21" s="1761"/>
      <c r="GU21" s="1761"/>
      <c r="GV21" s="1761"/>
      <c r="GW21" s="1761"/>
      <c r="GX21" s="1761"/>
      <c r="GY21" s="1761"/>
      <c r="GZ21" s="1761"/>
      <c r="HA21" s="1761"/>
      <c r="HB21" s="1761"/>
      <c r="HC21" s="1761"/>
      <c r="HD21" s="1761"/>
      <c r="HE21" s="1761"/>
      <c r="HF21" s="1761"/>
      <c r="HG21" s="1761"/>
      <c r="HH21" s="1761"/>
      <c r="HI21" s="1761"/>
      <c r="HJ21" s="1761"/>
      <c r="HK21" s="1761"/>
      <c r="HL21" s="1761"/>
      <c r="HM21" s="1761"/>
      <c r="HN21" s="1761"/>
      <c r="HO21" s="1761"/>
      <c r="HP21" s="1761"/>
      <c r="HQ21" s="1761"/>
      <c r="HR21" s="1761"/>
      <c r="HS21" s="1761"/>
      <c r="HT21" s="1761"/>
      <c r="HU21" s="1761"/>
      <c r="HV21" s="1761"/>
      <c r="HW21" s="1761"/>
      <c r="HX21" s="1761"/>
      <c r="HY21" s="1761"/>
      <c r="HZ21" s="1761"/>
      <c r="IA21" s="1761"/>
      <c r="IB21" s="1761"/>
      <c r="IC21" s="1761"/>
      <c r="ID21" s="1761"/>
      <c r="IE21" s="1761"/>
      <c r="IF21" s="1761"/>
      <c r="IG21" s="1761"/>
      <c r="IH21" s="1761"/>
      <c r="II21" s="1761"/>
      <c r="IJ21" s="1761"/>
      <c r="IK21" s="1761"/>
      <c r="IL21" s="1761"/>
      <c r="IM21" s="1761"/>
      <c r="IN21" s="1761"/>
      <c r="IO21" s="1761"/>
      <c r="IP21" s="1761"/>
      <c r="IQ21" s="1761"/>
      <c r="IR21" s="1761"/>
      <c r="IS21" s="1761"/>
      <c r="IT21" s="1761"/>
      <c r="IU21" s="1761"/>
      <c r="IV21" s="1761"/>
      <c r="IW21" s="1761"/>
      <c r="IX21" s="1761"/>
      <c r="IY21" s="1761"/>
      <c r="IZ21" s="1762"/>
      <c r="JA21" s="1762"/>
      <c r="JB21" s="1762"/>
      <c r="JC21" s="1762"/>
      <c r="JD21" s="1762"/>
      <c r="JE21" s="1762"/>
      <c r="JF21" s="1762"/>
      <c r="JG21" s="1762"/>
      <c r="JH21" s="1762"/>
      <c r="JI21" s="1762"/>
      <c r="JJ21" s="1762"/>
      <c r="JK21" s="1762"/>
      <c r="JL21" s="1762"/>
      <c r="JM21" s="1762"/>
      <c r="JN21" s="1762"/>
      <c r="JO21" s="1762"/>
      <c r="JP21" s="1762"/>
      <c r="JQ21" s="1762"/>
      <c r="JR21" s="1762"/>
      <c r="JS21" s="1762"/>
      <c r="JT21" s="1762"/>
      <c r="JU21" s="1762"/>
      <c r="JV21" s="1762"/>
      <c r="JW21" s="1762"/>
      <c r="JX21" s="1762"/>
      <c r="JY21" s="1762"/>
      <c r="JZ21" s="1762"/>
      <c r="KA21" s="1762"/>
      <c r="KB21" s="1762"/>
      <c r="KC21" s="1762"/>
      <c r="KD21" s="1762"/>
      <c r="KE21" s="1762"/>
      <c r="KF21" s="1762"/>
      <c r="KG21" s="1762"/>
      <c r="KH21" s="1762"/>
      <c r="KI21" s="1762"/>
      <c r="KJ21" s="1762"/>
      <c r="KK21" s="1762"/>
      <c r="KL21" s="1762"/>
      <c r="KM21" s="1762"/>
      <c r="KN21" s="1762"/>
      <c r="KO21" s="1762"/>
      <c r="KP21" s="1762"/>
      <c r="KQ21" s="1762"/>
      <c r="KR21" s="1762"/>
      <c r="KS21" s="1762"/>
      <c r="KT21" s="1762"/>
      <c r="KU21" s="1762"/>
      <c r="KV21" s="1762"/>
      <c r="KW21" s="1762"/>
      <c r="KX21" s="1762"/>
      <c r="KY21" s="1762"/>
      <c r="KZ21" s="1762"/>
      <c r="LA21" s="1762"/>
      <c r="LB21" s="1762"/>
      <c r="LC21" s="1762"/>
      <c r="LD21" s="1762"/>
      <c r="LE21" s="1762"/>
      <c r="LF21" s="1762"/>
      <c r="LG21" s="1762"/>
      <c r="LH21" s="1762"/>
      <c r="LI21" s="1762"/>
      <c r="LJ21" s="1762"/>
      <c r="LK21" s="1762"/>
      <c r="LL21" s="1762"/>
      <c r="LM21" s="1762"/>
      <c r="LN21" s="1762"/>
      <c r="LO21" s="1762"/>
      <c r="LP21" s="1762"/>
      <c r="LQ21" s="1762"/>
      <c r="LR21" s="1762"/>
      <c r="LS21" s="1762"/>
      <c r="LT21" s="1762"/>
      <c r="LU21" s="1762"/>
      <c r="LV21" s="1762"/>
      <c r="LW21" s="1762"/>
      <c r="LX21" s="1762"/>
      <c r="LY21" s="1762"/>
      <c r="MB21" s="1660"/>
      <c r="MC21" s="1660"/>
      <c r="MD21" s="1660"/>
      <c r="ME21" s="1660"/>
      <c r="MF21" s="1660"/>
      <c r="MG21" s="1660"/>
      <c r="MH21" s="1660"/>
      <c r="MI21" s="1660"/>
      <c r="MJ21" s="1660"/>
      <c r="MK21" s="1660"/>
      <c r="ML21" s="1660"/>
      <c r="MM21" s="1660"/>
      <c r="MN21" s="1660"/>
      <c r="MO21" s="1660"/>
      <c r="MP21" s="1660"/>
      <c r="MQ21" s="1660"/>
      <c r="MR21" s="1660"/>
      <c r="MS21" s="1660"/>
      <c r="MT21" s="1755"/>
      <c r="MU21" s="1755"/>
      <c r="MV21" s="1755"/>
      <c r="MW21" s="1755"/>
      <c r="MX21" s="1755"/>
      <c r="MY21" s="1755"/>
      <c r="MZ21" s="1755"/>
      <c r="NA21" s="1755"/>
      <c r="NB21" s="1755"/>
      <c r="NC21" s="1755"/>
      <c r="ND21" s="1755"/>
      <c r="NE21" s="1755"/>
      <c r="NF21" s="1755"/>
      <c r="NG21" s="1755"/>
      <c r="NH21" s="1755"/>
      <c r="NI21" s="1755"/>
      <c r="NJ21" s="330"/>
      <c r="NK21" s="330"/>
      <c r="NL21" s="330"/>
      <c r="NM21" s="330"/>
      <c r="NN21" s="330"/>
      <c r="NO21" s="330"/>
      <c r="NP21" s="330"/>
      <c r="NQ21" s="330"/>
      <c r="NR21" s="330"/>
      <c r="NS21" s="330"/>
      <c r="NT21" s="330"/>
      <c r="NU21" s="330"/>
      <c r="NV21" s="330"/>
      <c r="NW21" s="330"/>
      <c r="NX21" s="330"/>
      <c r="NY21" s="330"/>
      <c r="NZ21" s="330"/>
      <c r="OA21" s="330"/>
      <c r="OB21" s="330"/>
      <c r="OC21" s="330"/>
      <c r="OD21" s="330"/>
      <c r="OE21" s="330"/>
      <c r="OF21" s="330"/>
      <c r="OG21" s="330"/>
      <c r="OH21" s="330"/>
      <c r="OI21" s="330"/>
      <c r="OJ21" s="330"/>
      <c r="OK21" s="330"/>
      <c r="OL21" s="330"/>
      <c r="OM21" s="330"/>
      <c r="ON21" s="330"/>
      <c r="OO21" s="330"/>
      <c r="OP21" s="330"/>
      <c r="OQ21" s="330"/>
      <c r="OR21" s="330"/>
      <c r="OS21" s="330"/>
      <c r="OT21" s="330"/>
      <c r="OU21" s="330"/>
      <c r="OV21" s="330"/>
      <c r="OW21" s="330"/>
      <c r="OX21" s="330"/>
      <c r="OY21" s="330"/>
      <c r="OZ21" s="330"/>
      <c r="PA21" s="330"/>
      <c r="PB21" s="330"/>
      <c r="PC21" s="330"/>
      <c r="PD21" s="330"/>
      <c r="PE21" s="330"/>
      <c r="PF21" s="330"/>
      <c r="PG21" s="330"/>
      <c r="PH21" s="330"/>
      <c r="PI21" s="330"/>
      <c r="PJ21" s="330"/>
      <c r="PK21" s="330"/>
      <c r="PL21" s="330"/>
      <c r="PM21" s="330"/>
      <c r="PN21" s="330"/>
      <c r="PO21" s="330"/>
      <c r="PP21" s="330"/>
      <c r="PQ21" s="330"/>
      <c r="PR21" s="330"/>
      <c r="PS21" s="330"/>
      <c r="PT21" s="330"/>
      <c r="PU21" s="330"/>
      <c r="PV21" s="330"/>
      <c r="PW21" s="330"/>
      <c r="PX21" s="330"/>
      <c r="PY21" s="330"/>
      <c r="PZ21" s="330"/>
      <c r="QA21" s="330"/>
      <c r="QB21" s="330"/>
      <c r="QC21" s="330"/>
      <c r="QD21" s="330"/>
      <c r="QE21" s="330"/>
      <c r="QF21" s="330"/>
      <c r="QG21" s="330"/>
      <c r="QH21" s="330"/>
      <c r="QI21" s="330"/>
      <c r="QJ21" s="330"/>
      <c r="QK21" s="330"/>
      <c r="QL21" s="330"/>
      <c r="QM21" s="330"/>
      <c r="QN21" s="330"/>
      <c r="QO21" s="330"/>
      <c r="QP21" s="330"/>
      <c r="QQ21" s="330"/>
      <c r="QR21" s="330"/>
      <c r="QS21" s="330"/>
      <c r="QT21" s="330"/>
      <c r="QU21" s="330"/>
      <c r="QV21" s="330"/>
      <c r="QW21" s="330"/>
      <c r="QX21" s="330"/>
      <c r="QY21" s="330"/>
      <c r="QZ21" s="330"/>
      <c r="RA21" s="330"/>
      <c r="RB21" s="330"/>
      <c r="RC21" s="330"/>
      <c r="RD21" s="330"/>
      <c r="RE21" s="330"/>
      <c r="RF21" s="330"/>
      <c r="RG21" s="330"/>
      <c r="RH21" s="330"/>
      <c r="RI21" s="330"/>
      <c r="RJ21" s="330"/>
      <c r="RK21" s="330"/>
      <c r="RL21" s="330"/>
    </row>
    <row r="22" spans="1:665" s="74" customFormat="1" ht="23.25" customHeight="1" thickBot="1">
      <c r="B22" s="45"/>
      <c r="C22" s="45"/>
      <c r="D22" s="59"/>
      <c r="E22" s="1694"/>
      <c r="F22" s="1761"/>
      <c r="G22" s="1761"/>
      <c r="H22" s="1761"/>
      <c r="I22" s="1761"/>
      <c r="J22" s="1761"/>
      <c r="K22" s="1761"/>
      <c r="L22" s="1761"/>
      <c r="M22" s="1761"/>
      <c r="N22" s="1761"/>
      <c r="O22" s="1761"/>
      <c r="P22" s="1761"/>
      <c r="Q22" s="1761"/>
      <c r="R22" s="1761"/>
      <c r="S22" s="1761"/>
      <c r="T22" s="1761"/>
      <c r="U22" s="1761"/>
      <c r="V22" s="1761"/>
      <c r="W22" s="1761"/>
      <c r="X22" s="1761"/>
      <c r="Y22" s="1761"/>
      <c r="Z22" s="1761"/>
      <c r="AA22" s="1761"/>
      <c r="AB22" s="1761"/>
      <c r="AC22" s="1761"/>
      <c r="AD22" s="1761"/>
      <c r="AE22" s="1761"/>
      <c r="AF22" s="1761"/>
      <c r="AG22" s="1761"/>
      <c r="AH22" s="1761"/>
      <c r="AI22" s="1761"/>
      <c r="AJ22" s="1761"/>
      <c r="AK22" s="1761"/>
      <c r="AL22" s="1761"/>
      <c r="AM22" s="1761"/>
      <c r="AN22" s="1761"/>
      <c r="AO22" s="1761"/>
      <c r="AP22" s="1761"/>
      <c r="AQ22" s="1761"/>
      <c r="AR22" s="1761"/>
      <c r="AS22" s="1761"/>
      <c r="AT22" s="1761"/>
      <c r="AU22" s="1761"/>
      <c r="AV22" s="1761"/>
      <c r="AW22" s="1761"/>
      <c r="AX22" s="1761"/>
      <c r="AY22" s="1761"/>
      <c r="AZ22" s="1761"/>
      <c r="BA22" s="1761"/>
      <c r="BB22" s="1761"/>
      <c r="BC22" s="1761"/>
      <c r="BD22" s="1761"/>
      <c r="BE22" s="1761"/>
      <c r="BF22" s="1761"/>
      <c r="BG22" s="1761"/>
      <c r="BH22" s="1761"/>
      <c r="BI22" s="1761"/>
      <c r="BJ22" s="1761"/>
      <c r="BK22" s="1761"/>
      <c r="BL22" s="1761"/>
      <c r="BM22" s="1761"/>
      <c r="BN22" s="1761"/>
      <c r="BO22" s="1761"/>
      <c r="BP22" s="1761"/>
      <c r="BQ22" s="1761"/>
      <c r="BR22" s="1761"/>
      <c r="BS22" s="1761"/>
      <c r="BT22" s="1761"/>
      <c r="BU22" s="1761"/>
      <c r="BV22" s="1761"/>
      <c r="BW22" s="1761"/>
      <c r="BX22" s="1761"/>
      <c r="BY22" s="1761"/>
      <c r="BZ22" s="1761"/>
      <c r="CA22" s="1761"/>
      <c r="CB22" s="1761"/>
      <c r="CC22" s="1761"/>
      <c r="CD22" s="1761"/>
      <c r="CE22" s="1761"/>
      <c r="CF22" s="1761"/>
      <c r="CG22" s="1761"/>
      <c r="CH22" s="1761"/>
      <c r="CI22" s="1761"/>
      <c r="CJ22" s="1761"/>
      <c r="CK22" s="1761"/>
      <c r="CL22" s="1761"/>
      <c r="CM22" s="1761"/>
      <c r="CN22" s="1761"/>
      <c r="CO22" s="1761"/>
      <c r="CP22" s="1761"/>
      <c r="CQ22" s="1761"/>
      <c r="CR22" s="1761"/>
      <c r="CS22" s="1761"/>
      <c r="CT22" s="1761"/>
      <c r="CU22" s="1761"/>
      <c r="CV22" s="1761"/>
      <c r="CW22" s="1761"/>
      <c r="CX22" s="1761"/>
      <c r="CY22" s="1761"/>
      <c r="CZ22" s="1761"/>
      <c r="DA22" s="1761"/>
      <c r="DB22" s="1761"/>
      <c r="DC22" s="1761"/>
      <c r="DD22" s="1761"/>
      <c r="DE22" s="1761"/>
      <c r="DF22" s="1761"/>
      <c r="DG22" s="1761"/>
      <c r="DH22" s="1761"/>
      <c r="DI22" s="1761"/>
      <c r="DJ22" s="1761"/>
      <c r="DK22" s="1761"/>
      <c r="DL22" s="1761"/>
      <c r="DM22" s="1761"/>
      <c r="DN22" s="1761"/>
      <c r="DO22" s="1761"/>
      <c r="DP22" s="1761"/>
      <c r="DQ22" s="1761"/>
      <c r="DR22" s="1761"/>
      <c r="DS22" s="1761"/>
      <c r="DT22" s="1761"/>
      <c r="DU22" s="1761"/>
      <c r="DV22" s="1761"/>
      <c r="DW22" s="1761"/>
      <c r="DX22" s="1761"/>
      <c r="DY22" s="1761"/>
      <c r="DZ22" s="1761"/>
      <c r="EA22" s="1761"/>
      <c r="EB22" s="1761"/>
      <c r="EC22" s="1761"/>
      <c r="ED22" s="1761"/>
      <c r="EE22" s="1761"/>
      <c r="EF22" s="1761"/>
      <c r="EG22" s="1761"/>
      <c r="EH22" s="1761"/>
      <c r="EI22" s="1761"/>
      <c r="EJ22" s="1761"/>
      <c r="EK22" s="1761"/>
      <c r="EL22" s="1761"/>
      <c r="EM22" s="1761"/>
      <c r="EN22" s="1761"/>
      <c r="EO22" s="1761"/>
      <c r="EP22" s="1761"/>
      <c r="EQ22" s="1761"/>
      <c r="ER22" s="1761"/>
      <c r="ES22" s="1761"/>
      <c r="ET22" s="1761"/>
      <c r="EU22" s="1761"/>
      <c r="EV22" s="1761"/>
      <c r="EW22" s="1761"/>
      <c r="EX22" s="1761"/>
      <c r="EY22" s="1761"/>
      <c r="EZ22" s="1761"/>
      <c r="FA22" s="1761"/>
      <c r="FB22" s="1761"/>
      <c r="FC22" s="1761"/>
      <c r="FD22" s="1761"/>
      <c r="FE22" s="1761"/>
      <c r="FF22" s="1761"/>
      <c r="FG22" s="1761"/>
      <c r="FH22" s="1761"/>
      <c r="FI22" s="1761"/>
      <c r="FJ22" s="1761"/>
      <c r="FK22" s="1761"/>
      <c r="FL22" s="1761"/>
      <c r="FM22" s="1761"/>
      <c r="FN22" s="1761"/>
      <c r="FO22" s="1761"/>
      <c r="FP22" s="1761"/>
      <c r="FQ22" s="1761"/>
      <c r="FR22" s="1761"/>
      <c r="FS22" s="1761"/>
      <c r="FT22" s="1761"/>
      <c r="FU22" s="1761"/>
      <c r="FV22" s="2118" t="s">
        <v>1030</v>
      </c>
      <c r="FW22" s="2119"/>
      <c r="FX22" s="2119"/>
      <c r="FY22" s="2119"/>
      <c r="FZ22" s="2119"/>
      <c r="GA22" s="2120"/>
      <c r="GB22" s="2118" t="s">
        <v>1009</v>
      </c>
      <c r="GC22" s="2119"/>
      <c r="GD22" s="2119"/>
      <c r="GE22" s="2119"/>
      <c r="GF22" s="2119"/>
      <c r="GG22" s="2119"/>
      <c r="GH22" s="2119"/>
      <c r="GI22" s="2119"/>
      <c r="GJ22" s="2119"/>
      <c r="GK22" s="2119"/>
      <c r="GL22" s="2119"/>
      <c r="GM22" s="2119"/>
      <c r="GN22" s="2119"/>
      <c r="GO22" s="2119"/>
      <c r="GP22" s="2119"/>
      <c r="GQ22" s="2119"/>
      <c r="GR22" s="2119"/>
      <c r="GS22" s="2119"/>
      <c r="GT22" s="2120"/>
      <c r="GU22" s="1761"/>
      <c r="GV22" s="1761"/>
      <c r="GW22" s="1761"/>
      <c r="GX22" s="1761"/>
      <c r="GY22" s="1761"/>
      <c r="GZ22" s="1761"/>
      <c r="HA22" s="1761"/>
      <c r="HB22" s="1761"/>
      <c r="HC22" s="1761"/>
      <c r="HD22" s="1761"/>
      <c r="HE22" s="2118" t="s">
        <v>1045</v>
      </c>
      <c r="HF22" s="2119"/>
      <c r="HG22" s="2119"/>
      <c r="HH22" s="2119"/>
      <c r="HI22" s="2119"/>
      <c r="HJ22" s="2120"/>
      <c r="HK22" s="2118" t="s">
        <v>1002</v>
      </c>
      <c r="HL22" s="2119"/>
      <c r="HM22" s="2119"/>
      <c r="HN22" s="2119"/>
      <c r="HO22" s="2119"/>
      <c r="HP22" s="2119"/>
      <c r="HQ22" s="2119"/>
      <c r="HR22" s="2119"/>
      <c r="HS22" s="2119"/>
      <c r="HT22" s="2119"/>
      <c r="HU22" s="2119"/>
      <c r="HV22" s="2119"/>
      <c r="HW22" s="2119"/>
      <c r="HX22" s="2119"/>
      <c r="HY22" s="2119"/>
      <c r="HZ22" s="2119"/>
      <c r="IA22" s="2119"/>
      <c r="IB22" s="2119"/>
      <c r="IC22" s="2120"/>
      <c r="ID22" s="1761"/>
      <c r="IE22" s="1761"/>
      <c r="IF22" s="1761"/>
      <c r="IG22" s="1761"/>
      <c r="IH22" s="1761"/>
      <c r="II22" s="1761"/>
      <c r="IJ22" s="1761"/>
      <c r="IK22" s="1761"/>
      <c r="IL22" s="1761"/>
      <c r="IM22" s="1761"/>
      <c r="IN22" s="1761"/>
      <c r="IO22" s="1761"/>
      <c r="IP22" s="1761"/>
      <c r="IQ22" s="1761"/>
      <c r="IR22" s="1761"/>
      <c r="IS22" s="1761"/>
      <c r="IT22" s="1761"/>
      <c r="IU22" s="1761"/>
      <c r="IV22" s="1761"/>
      <c r="IW22" s="1761"/>
      <c r="IX22" s="1761"/>
      <c r="IY22" s="1761"/>
      <c r="IZ22" s="1762"/>
      <c r="JA22" s="1762"/>
      <c r="JB22" s="1762"/>
      <c r="JC22" s="1762"/>
      <c r="JD22" s="1762"/>
      <c r="JE22" s="1762"/>
      <c r="JF22" s="1762"/>
      <c r="JG22" s="1762"/>
      <c r="JH22" s="1762"/>
      <c r="JI22" s="1762"/>
      <c r="JJ22" s="1762"/>
      <c r="JK22" s="1762"/>
      <c r="JL22" s="1762"/>
      <c r="JM22" s="1762"/>
      <c r="JN22" s="1762"/>
      <c r="JO22" s="1762"/>
      <c r="JP22" s="1762"/>
      <c r="JQ22" s="1762"/>
      <c r="JR22" s="1762"/>
      <c r="JS22" s="1762"/>
      <c r="JT22" s="1762"/>
      <c r="JU22" s="1762"/>
      <c r="JV22" s="1762"/>
      <c r="JW22" s="1762"/>
      <c r="JX22" s="1762"/>
      <c r="JY22" s="1762"/>
      <c r="JZ22" s="1762"/>
      <c r="KA22" s="1762"/>
      <c r="KB22" s="1762"/>
      <c r="KC22" s="1762"/>
      <c r="KD22" s="1762"/>
      <c r="KE22" s="1762"/>
      <c r="KF22" s="1762"/>
      <c r="KG22" s="1762"/>
      <c r="KH22" s="1762"/>
      <c r="KI22" s="1762"/>
      <c r="KJ22" s="1762"/>
      <c r="KK22" s="1762"/>
      <c r="KL22" s="1762"/>
      <c r="KM22" s="1762"/>
      <c r="KN22" s="1762"/>
      <c r="KO22" s="1762"/>
      <c r="KP22" s="1762"/>
      <c r="KQ22" s="1762"/>
      <c r="KR22" s="1762"/>
      <c r="KS22" s="1762"/>
      <c r="KT22" s="1762"/>
      <c r="KU22" s="1762"/>
      <c r="KV22" s="1762"/>
      <c r="KW22" s="1762"/>
      <c r="KX22" s="1762"/>
      <c r="KY22" s="1762"/>
      <c r="KZ22" s="1762"/>
      <c r="LA22" s="1762"/>
      <c r="LB22" s="1762"/>
      <c r="LC22" s="1762"/>
      <c r="LD22" s="1762"/>
      <c r="LE22" s="1762"/>
      <c r="LF22" s="1762"/>
      <c r="LG22" s="1762"/>
      <c r="LH22" s="1762"/>
      <c r="LI22" s="1762"/>
      <c r="LJ22" s="1762"/>
      <c r="LK22" s="1762"/>
      <c r="LL22" s="1762"/>
      <c r="LM22" s="1762"/>
      <c r="LN22" s="1762"/>
      <c r="LO22" s="1762"/>
      <c r="LP22" s="1762"/>
      <c r="LQ22" s="1762"/>
      <c r="LR22" s="1762"/>
      <c r="LS22" s="1762"/>
      <c r="LT22" s="1762"/>
      <c r="LU22" s="1762"/>
      <c r="LV22" s="1762"/>
      <c r="LW22" s="1762"/>
      <c r="LX22" s="1762"/>
      <c r="LY22" s="1762"/>
      <c r="ME22" s="330"/>
      <c r="MF22" s="330"/>
      <c r="MG22" s="330"/>
      <c r="MH22" s="330"/>
      <c r="MI22" s="330"/>
      <c r="MJ22" s="330"/>
      <c r="MK22" s="330"/>
      <c r="ML22" s="330"/>
      <c r="MM22" s="330"/>
      <c r="MN22" s="330"/>
      <c r="MO22" s="330"/>
      <c r="MP22" s="330"/>
      <c r="MQ22" s="330"/>
      <c r="MR22" s="330"/>
      <c r="MS22" s="330"/>
      <c r="MT22" s="330"/>
      <c r="MU22" s="330"/>
      <c r="MV22" s="330"/>
      <c r="MW22" s="330"/>
      <c r="MX22" s="330"/>
      <c r="MY22" s="330"/>
      <c r="MZ22" s="330"/>
      <c r="NA22" s="330"/>
      <c r="NB22" s="330"/>
      <c r="NC22" s="330"/>
      <c r="ND22" s="330"/>
      <c r="NE22" s="330"/>
      <c r="NF22" s="330"/>
      <c r="NG22" s="330"/>
      <c r="NH22" s="330"/>
      <c r="NI22" s="330"/>
      <c r="NJ22" s="330"/>
      <c r="NK22" s="330"/>
      <c r="NL22" s="330"/>
      <c r="NM22" s="330"/>
      <c r="NN22" s="330"/>
      <c r="NO22" s="330"/>
      <c r="NP22" s="330"/>
      <c r="NQ22" s="330"/>
      <c r="NR22" s="330"/>
      <c r="NS22" s="330"/>
      <c r="NT22" s="330"/>
      <c r="NU22" s="330"/>
      <c r="NV22" s="330"/>
      <c r="NW22" s="330"/>
      <c r="NX22" s="330"/>
      <c r="NY22" s="330"/>
      <c r="NZ22" s="330"/>
      <c r="OA22" s="330"/>
      <c r="OB22" s="330"/>
      <c r="OC22" s="330"/>
      <c r="OD22" s="330"/>
      <c r="OE22" s="330"/>
      <c r="OF22" s="330"/>
      <c r="OG22" s="330"/>
      <c r="OH22" s="330"/>
      <c r="OI22" s="330"/>
      <c r="OJ22" s="330"/>
      <c r="OK22" s="330"/>
      <c r="OL22" s="330"/>
      <c r="OM22" s="330"/>
      <c r="ON22" s="330"/>
      <c r="OO22" s="330"/>
      <c r="OP22" s="330"/>
      <c r="OQ22" s="330"/>
      <c r="OR22" s="330"/>
      <c r="OS22" s="330"/>
      <c r="OT22" s="330"/>
      <c r="OU22" s="330"/>
      <c r="OV22" s="330"/>
      <c r="OW22" s="330"/>
      <c r="OX22" s="330"/>
      <c r="OY22" s="330"/>
      <c r="OZ22" s="330"/>
      <c r="PA22" s="330"/>
      <c r="PB22" s="330"/>
      <c r="PC22" s="330"/>
      <c r="PD22" s="330"/>
      <c r="PE22" s="330"/>
      <c r="PF22" s="330"/>
      <c r="PG22" s="330"/>
      <c r="PH22" s="330"/>
    </row>
    <row r="23" spans="1:665" s="74" customFormat="1" ht="24.6" customHeight="1" thickBot="1">
      <c r="B23" s="39" t="s">
        <v>55</v>
      </c>
      <c r="C23" s="39"/>
      <c r="D23" s="58"/>
      <c r="E23" s="1694"/>
      <c r="F23" s="1761"/>
      <c r="G23" s="1761"/>
      <c r="H23" s="1761"/>
      <c r="I23" s="1761"/>
      <c r="J23" s="1761"/>
      <c r="K23" s="1761"/>
      <c r="L23" s="1761"/>
      <c r="M23" s="1761"/>
      <c r="N23" s="1761"/>
      <c r="O23" s="1761"/>
      <c r="P23" s="1761"/>
      <c r="Q23" s="1761"/>
      <c r="R23" s="1761"/>
      <c r="S23" s="1761"/>
      <c r="T23" s="1761"/>
      <c r="U23" s="1761"/>
      <c r="V23" s="1761"/>
      <c r="W23" s="1761"/>
      <c r="X23" s="1761"/>
      <c r="Y23" s="1761"/>
      <c r="Z23" s="1761"/>
      <c r="AA23" s="1761"/>
      <c r="AB23" s="1761"/>
      <c r="AC23" s="1761"/>
      <c r="AD23" s="1761"/>
      <c r="AE23" s="1761"/>
      <c r="AF23" s="1761"/>
      <c r="AG23" s="1761"/>
      <c r="AH23" s="1761"/>
      <c r="AI23" s="1761"/>
      <c r="AJ23" s="1761"/>
      <c r="AK23" s="1761"/>
      <c r="AL23" s="1761"/>
      <c r="AM23" s="1761"/>
      <c r="AN23" s="1761"/>
      <c r="AO23" s="1761"/>
      <c r="AP23" s="1761"/>
      <c r="AQ23" s="1761"/>
      <c r="AR23" s="1761"/>
      <c r="AS23" s="1761"/>
      <c r="AT23" s="1761"/>
      <c r="AU23" s="1761"/>
      <c r="AV23" s="1761"/>
      <c r="AW23" s="1761"/>
      <c r="AX23" s="1761"/>
      <c r="AY23" s="1761"/>
      <c r="AZ23" s="1761"/>
      <c r="BA23" s="1761"/>
      <c r="BB23" s="1761"/>
      <c r="BC23" s="1761"/>
      <c r="BD23" s="1761"/>
      <c r="BE23" s="1761"/>
      <c r="BF23" s="1761"/>
      <c r="BG23" s="1761"/>
      <c r="BH23" s="2118" t="s">
        <v>1004</v>
      </c>
      <c r="BI23" s="2119"/>
      <c r="BJ23" s="2119"/>
      <c r="BK23" s="2119"/>
      <c r="BL23" s="2119"/>
      <c r="BM23" s="2120"/>
      <c r="BN23" s="2118" t="s">
        <v>1002</v>
      </c>
      <c r="BO23" s="2119"/>
      <c r="BP23" s="2119"/>
      <c r="BQ23" s="2119"/>
      <c r="BR23" s="2119"/>
      <c r="BS23" s="2119"/>
      <c r="BT23" s="2119"/>
      <c r="BU23" s="2119"/>
      <c r="BV23" s="2119"/>
      <c r="BW23" s="2119"/>
      <c r="BX23" s="2119"/>
      <c r="BY23" s="2119"/>
      <c r="BZ23" s="2119"/>
      <c r="CA23" s="2119"/>
      <c r="CB23" s="2119"/>
      <c r="CC23" s="2119"/>
      <c r="CD23" s="2119"/>
      <c r="CE23" s="2119"/>
      <c r="CF23" s="2120"/>
      <c r="CG23" s="2118" t="s">
        <v>1008</v>
      </c>
      <c r="CH23" s="2119"/>
      <c r="CI23" s="2119"/>
      <c r="CJ23" s="2119"/>
      <c r="CK23" s="2119"/>
      <c r="CL23" s="2120"/>
      <c r="CM23" s="2118" t="s">
        <v>812</v>
      </c>
      <c r="CN23" s="2119"/>
      <c r="CO23" s="2119"/>
      <c r="CP23" s="2119"/>
      <c r="CQ23" s="2119"/>
      <c r="CR23" s="2119"/>
      <c r="CS23" s="2119"/>
      <c r="CT23" s="2119"/>
      <c r="CU23" s="2119"/>
      <c r="CV23" s="2119"/>
      <c r="CW23" s="2119"/>
      <c r="CX23" s="2119"/>
      <c r="CY23" s="2119"/>
      <c r="CZ23" s="2119"/>
      <c r="DA23" s="2119"/>
      <c r="DB23" s="2119"/>
      <c r="DC23" s="2119"/>
      <c r="DD23" s="2119"/>
      <c r="DE23" s="2120"/>
      <c r="DF23" s="1761"/>
      <c r="DG23" s="2118" t="s">
        <v>1016</v>
      </c>
      <c r="DH23" s="2119"/>
      <c r="DI23" s="2119"/>
      <c r="DJ23" s="2119"/>
      <c r="DK23" s="2119"/>
      <c r="DL23" s="2120"/>
      <c r="DM23" s="2118" t="s">
        <v>1009</v>
      </c>
      <c r="DN23" s="2119"/>
      <c r="DO23" s="2119"/>
      <c r="DP23" s="2119"/>
      <c r="DQ23" s="2119"/>
      <c r="DR23" s="2119"/>
      <c r="DS23" s="2119"/>
      <c r="DT23" s="2119"/>
      <c r="DU23" s="2119"/>
      <c r="DV23" s="2119"/>
      <c r="DW23" s="2119"/>
      <c r="DX23" s="2119"/>
      <c r="DY23" s="2119"/>
      <c r="DZ23" s="2119"/>
      <c r="EA23" s="2119"/>
      <c r="EB23" s="2119"/>
      <c r="EC23" s="2119"/>
      <c r="ED23" s="2119"/>
      <c r="EE23" s="2120"/>
      <c r="EF23" s="1761"/>
      <c r="EG23" s="1761"/>
      <c r="EH23" s="1761"/>
      <c r="EI23" s="1761"/>
      <c r="EJ23" s="1761"/>
      <c r="EK23" s="1761"/>
      <c r="EL23" s="1761"/>
      <c r="EM23" s="1761"/>
      <c r="EN23" s="1761"/>
      <c r="EO23" s="2118" t="s">
        <v>1033</v>
      </c>
      <c r="EP23" s="2119"/>
      <c r="EQ23" s="2119"/>
      <c r="ER23" s="2119"/>
      <c r="ES23" s="2119"/>
      <c r="ET23" s="2120"/>
      <c r="EU23" s="2118" t="s">
        <v>1009</v>
      </c>
      <c r="EV23" s="2119"/>
      <c r="EW23" s="2119"/>
      <c r="EX23" s="2119"/>
      <c r="EY23" s="2119"/>
      <c r="EZ23" s="2119"/>
      <c r="FA23" s="2119"/>
      <c r="FB23" s="2119"/>
      <c r="FC23" s="2119"/>
      <c r="FD23" s="2119"/>
      <c r="FE23" s="2119"/>
      <c r="FF23" s="2119"/>
      <c r="FG23" s="2119"/>
      <c r="FH23" s="2119"/>
      <c r="FI23" s="2119"/>
      <c r="FJ23" s="2119"/>
      <c r="FK23" s="2119"/>
      <c r="FL23" s="2119"/>
      <c r="FM23" s="2120"/>
      <c r="FN23" s="1761"/>
      <c r="FO23" s="1761"/>
      <c r="FP23" s="1761"/>
      <c r="FQ23" s="1761"/>
      <c r="FR23" s="1761"/>
      <c r="FS23" s="1761"/>
      <c r="FT23" s="1761"/>
      <c r="FU23" s="1761"/>
      <c r="FV23" s="2121" t="s">
        <v>779</v>
      </c>
      <c r="FW23" s="2122"/>
      <c r="FX23" s="2122"/>
      <c r="FY23" s="2122"/>
      <c r="FZ23" s="2122"/>
      <c r="GA23" s="2122"/>
      <c r="GB23" s="2122"/>
      <c r="GC23" s="2122"/>
      <c r="GD23" s="2122"/>
      <c r="GE23" s="2123"/>
      <c r="GF23" s="2124" t="s">
        <v>780</v>
      </c>
      <c r="GG23" s="2125"/>
      <c r="GH23" s="2125"/>
      <c r="GI23" s="2125"/>
      <c r="GJ23" s="2125"/>
      <c r="GK23" s="2126"/>
      <c r="GL23" s="2127" t="s">
        <v>781</v>
      </c>
      <c r="GM23" s="2128"/>
      <c r="GN23" s="2128"/>
      <c r="GO23" s="2129"/>
      <c r="GP23" s="2130" t="s">
        <v>782</v>
      </c>
      <c r="GQ23" s="2131"/>
      <c r="GR23" s="2132"/>
      <c r="GS23" s="2133"/>
      <c r="GT23" s="2134"/>
      <c r="GU23" s="1761"/>
      <c r="GV23" s="1761"/>
      <c r="GW23" s="1761"/>
      <c r="GX23" s="1761"/>
      <c r="GY23" s="1761"/>
      <c r="GZ23" s="1761"/>
      <c r="HA23" s="1761"/>
      <c r="HB23" s="1761"/>
      <c r="HC23" s="1761"/>
      <c r="HD23" s="1761"/>
      <c r="HE23" s="2121" t="s">
        <v>779</v>
      </c>
      <c r="HF23" s="2122"/>
      <c r="HG23" s="2122"/>
      <c r="HH23" s="2122"/>
      <c r="HI23" s="2122"/>
      <c r="HJ23" s="2122"/>
      <c r="HK23" s="2122"/>
      <c r="HL23" s="2122"/>
      <c r="HM23" s="2122"/>
      <c r="HN23" s="2123"/>
      <c r="HO23" s="2124" t="s">
        <v>780</v>
      </c>
      <c r="HP23" s="2125"/>
      <c r="HQ23" s="2125"/>
      <c r="HR23" s="2125"/>
      <c r="HS23" s="2125"/>
      <c r="HT23" s="2126"/>
      <c r="HU23" s="2127" t="s">
        <v>781</v>
      </c>
      <c r="HV23" s="2128"/>
      <c r="HW23" s="2128"/>
      <c r="HX23" s="2129"/>
      <c r="HY23" s="2130" t="s">
        <v>782</v>
      </c>
      <c r="HZ23" s="2131"/>
      <c r="IA23" s="2132"/>
      <c r="IB23" s="2133"/>
      <c r="IC23" s="2134"/>
      <c r="ID23" s="1761"/>
      <c r="IE23" s="1761"/>
      <c r="IF23" s="1761"/>
      <c r="IG23" s="1761"/>
      <c r="IH23" s="1761"/>
      <c r="II23" s="1761"/>
      <c r="IJ23" s="1761"/>
      <c r="IK23" s="1761"/>
      <c r="IL23" s="1761"/>
      <c r="IM23" s="1761"/>
      <c r="IN23" s="1761"/>
      <c r="IO23" s="1761"/>
      <c r="IP23" s="1761"/>
      <c r="IQ23" s="1761"/>
      <c r="IR23" s="1761"/>
      <c r="IS23" s="1761"/>
      <c r="IT23" s="1761"/>
      <c r="IU23" s="1761"/>
      <c r="IV23" s="1761"/>
      <c r="IW23" s="1761"/>
      <c r="IX23" s="1761"/>
      <c r="IY23" s="1761"/>
      <c r="IZ23" s="1762"/>
      <c r="JA23" s="1762"/>
      <c r="JB23" s="1762"/>
      <c r="JC23" s="1762"/>
      <c r="JD23" s="1762"/>
      <c r="JE23" s="1762"/>
      <c r="JF23" s="1762"/>
      <c r="JG23" s="1762"/>
      <c r="JH23" s="1762"/>
      <c r="JI23" s="1762"/>
      <c r="JJ23" s="1762"/>
      <c r="JK23" s="1762"/>
      <c r="JL23" s="1762"/>
      <c r="JM23" s="1762"/>
      <c r="JN23" s="1762"/>
      <c r="JO23" s="1762"/>
      <c r="JP23" s="1762"/>
      <c r="JQ23" s="1762"/>
      <c r="JR23" s="1762"/>
      <c r="JS23" s="1762"/>
      <c r="JT23" s="1762"/>
      <c r="JU23" s="1762"/>
      <c r="JV23" s="1762"/>
      <c r="JW23" s="1762"/>
      <c r="JX23" s="1762"/>
      <c r="JY23" s="1762"/>
      <c r="JZ23" s="1762"/>
      <c r="KA23" s="1762"/>
      <c r="KB23" s="1762"/>
      <c r="KC23" s="1762"/>
      <c r="KD23" s="1762"/>
      <c r="KE23" s="1762"/>
      <c r="KF23" s="1762"/>
      <c r="KG23" s="1762"/>
      <c r="KH23" s="1762"/>
      <c r="KI23" s="1762"/>
      <c r="KJ23" s="1762"/>
      <c r="KK23" s="1762"/>
      <c r="KL23" s="1762"/>
      <c r="KM23" s="1762"/>
      <c r="KN23" s="1762"/>
      <c r="KO23" s="1762"/>
      <c r="KP23" s="1762"/>
      <c r="KQ23" s="1762"/>
      <c r="KR23" s="1762"/>
      <c r="KS23" s="1762"/>
      <c r="KT23" s="1762"/>
      <c r="KU23" s="1762"/>
      <c r="KV23" s="1762"/>
      <c r="KW23" s="1762"/>
      <c r="KX23" s="1762"/>
      <c r="KY23" s="1762"/>
      <c r="KZ23" s="1762"/>
      <c r="LA23" s="1762"/>
      <c r="LB23" s="1762"/>
      <c r="LC23" s="1762"/>
      <c r="LD23" s="1762"/>
      <c r="LE23" s="1762"/>
      <c r="LF23" s="1762"/>
      <c r="LG23" s="1762"/>
      <c r="LH23" s="1762"/>
      <c r="LI23" s="1762"/>
      <c r="LJ23" s="1762"/>
      <c r="LK23" s="1762"/>
      <c r="LL23" s="1762"/>
      <c r="LM23" s="1762"/>
      <c r="LN23" s="1762"/>
      <c r="LO23" s="1762"/>
      <c r="LP23" s="1762"/>
      <c r="LQ23" s="1762"/>
      <c r="LR23" s="1762"/>
      <c r="LS23" s="1762"/>
      <c r="LT23" s="1762"/>
      <c r="LU23" s="1762"/>
      <c r="LV23" s="1762"/>
      <c r="LW23" s="1762"/>
      <c r="LX23" s="1762"/>
      <c r="ML23" s="330"/>
      <c r="MM23" s="330"/>
      <c r="MN23" s="330"/>
      <c r="MO23" s="330"/>
      <c r="MP23" s="330"/>
      <c r="MQ23" s="330"/>
      <c r="MR23" s="330"/>
      <c r="MS23" s="330"/>
      <c r="MT23" s="330"/>
      <c r="MU23" s="330"/>
      <c r="MV23" s="330"/>
      <c r="MW23" s="330"/>
      <c r="MX23" s="330"/>
      <c r="MY23" s="330"/>
      <c r="MZ23" s="330"/>
      <c r="NA23" s="330"/>
      <c r="NB23" s="330"/>
      <c r="NC23" s="330"/>
      <c r="ND23" s="330"/>
      <c r="NE23" s="330"/>
      <c r="NF23" s="330"/>
      <c r="NG23" s="330"/>
      <c r="NH23" s="330"/>
      <c r="NI23" s="330"/>
      <c r="NJ23" s="330"/>
      <c r="NK23" s="330"/>
      <c r="NL23" s="330"/>
      <c r="NM23" s="330"/>
      <c r="NN23" s="330"/>
      <c r="NO23" s="330"/>
      <c r="NP23" s="330"/>
    </row>
    <row r="24" spans="1:665" s="74" customFormat="1" ht="24.75" customHeight="1" thickBot="1">
      <c r="B24" s="39"/>
      <c r="C24" s="39"/>
      <c r="D24" s="58"/>
      <c r="E24" s="1694"/>
      <c r="F24" s="1761"/>
      <c r="G24" s="1761"/>
      <c r="H24" s="1761"/>
      <c r="I24" s="1761"/>
      <c r="J24" s="1761"/>
      <c r="K24" s="1761"/>
      <c r="L24" s="1761"/>
      <c r="M24" s="1761"/>
      <c r="N24" s="1761"/>
      <c r="O24" s="1761"/>
      <c r="P24" s="1761"/>
      <c r="Q24" s="1761"/>
      <c r="R24" s="1761"/>
      <c r="S24" s="1761"/>
      <c r="T24" s="1761"/>
      <c r="U24" s="1761"/>
      <c r="V24" s="1761"/>
      <c r="W24" s="1761"/>
      <c r="X24" s="1761"/>
      <c r="Y24" s="1761"/>
      <c r="Z24" s="1761"/>
      <c r="AA24" s="1761"/>
      <c r="AB24" s="1761"/>
      <c r="AC24" s="1761"/>
      <c r="AD24" s="1761"/>
      <c r="AE24" s="1761"/>
      <c r="AF24" s="1761"/>
      <c r="AG24" s="1761"/>
      <c r="AH24" s="1761"/>
      <c r="AI24" s="1761"/>
      <c r="AJ24" s="1761"/>
      <c r="AK24" s="1761"/>
      <c r="AL24" s="1761"/>
      <c r="AM24" s="1761"/>
      <c r="AN24" s="1761"/>
      <c r="AO24" s="1761"/>
      <c r="AP24" s="1761"/>
      <c r="AQ24" s="1761"/>
      <c r="AR24" s="1761"/>
      <c r="AS24" s="1761"/>
      <c r="AT24" s="1761"/>
      <c r="AU24" s="1761"/>
      <c r="AV24" s="1761"/>
      <c r="AW24" s="1761"/>
      <c r="AX24" s="1761"/>
      <c r="AY24" s="1761"/>
      <c r="AZ24" s="1761"/>
      <c r="BA24" s="1761"/>
      <c r="BB24" s="1761"/>
      <c r="BC24" s="1761"/>
      <c r="BD24" s="1761"/>
      <c r="BE24" s="1761"/>
      <c r="BF24" s="1761"/>
      <c r="BG24" s="1761"/>
      <c r="BH24" s="2121" t="s">
        <v>779</v>
      </c>
      <c r="BI24" s="2122"/>
      <c r="BJ24" s="2122"/>
      <c r="BK24" s="2122"/>
      <c r="BL24" s="2122"/>
      <c r="BM24" s="2122"/>
      <c r="BN24" s="2122"/>
      <c r="BO24" s="2122"/>
      <c r="BP24" s="2122"/>
      <c r="BQ24" s="2123"/>
      <c r="BR24" s="2124" t="s">
        <v>780</v>
      </c>
      <c r="BS24" s="2125"/>
      <c r="BT24" s="2125"/>
      <c r="BU24" s="2125"/>
      <c r="BV24" s="2125"/>
      <c r="BW24" s="2126"/>
      <c r="BX24" s="2127" t="s">
        <v>781</v>
      </c>
      <c r="BY24" s="2128"/>
      <c r="BZ24" s="2128"/>
      <c r="CA24" s="2129"/>
      <c r="CB24" s="2130" t="s">
        <v>782</v>
      </c>
      <c r="CC24" s="2131"/>
      <c r="CD24" s="2132"/>
      <c r="CE24" s="2133"/>
      <c r="CF24" s="2134"/>
      <c r="CG24" s="2121" t="s">
        <v>779</v>
      </c>
      <c r="CH24" s="2122"/>
      <c r="CI24" s="2122"/>
      <c r="CJ24" s="2122"/>
      <c r="CK24" s="2122"/>
      <c r="CL24" s="2122"/>
      <c r="CM24" s="2122"/>
      <c r="CN24" s="2122"/>
      <c r="CO24" s="2122"/>
      <c r="CP24" s="2123"/>
      <c r="CQ24" s="2124" t="s">
        <v>780</v>
      </c>
      <c r="CR24" s="2125"/>
      <c r="CS24" s="2125"/>
      <c r="CT24" s="2125"/>
      <c r="CU24" s="2125"/>
      <c r="CV24" s="2126"/>
      <c r="CW24" s="2127" t="s">
        <v>781</v>
      </c>
      <c r="CX24" s="2128"/>
      <c r="CY24" s="2128"/>
      <c r="CZ24" s="2129"/>
      <c r="DA24" s="2130" t="s">
        <v>782</v>
      </c>
      <c r="DB24" s="2131"/>
      <c r="DC24" s="2132"/>
      <c r="DD24" s="2133"/>
      <c r="DE24" s="2134"/>
      <c r="DF24" s="1761"/>
      <c r="DG24" s="2121" t="s">
        <v>779</v>
      </c>
      <c r="DH24" s="2122"/>
      <c r="DI24" s="2122"/>
      <c r="DJ24" s="2122"/>
      <c r="DK24" s="2122"/>
      <c r="DL24" s="2122"/>
      <c r="DM24" s="2122"/>
      <c r="DN24" s="2122"/>
      <c r="DO24" s="2122"/>
      <c r="DP24" s="2123"/>
      <c r="DQ24" s="2124" t="s">
        <v>780</v>
      </c>
      <c r="DR24" s="2125"/>
      <c r="DS24" s="2125"/>
      <c r="DT24" s="2125"/>
      <c r="DU24" s="2125"/>
      <c r="DV24" s="2126"/>
      <c r="DW24" s="2127" t="s">
        <v>781</v>
      </c>
      <c r="DX24" s="2128"/>
      <c r="DY24" s="2128"/>
      <c r="DZ24" s="2129"/>
      <c r="EA24" s="2130" t="s">
        <v>782</v>
      </c>
      <c r="EB24" s="2131"/>
      <c r="EC24" s="2132"/>
      <c r="ED24" s="2133"/>
      <c r="EE24" s="2134"/>
      <c r="EF24" s="1761"/>
      <c r="EG24" s="1761"/>
      <c r="EH24" s="1761"/>
      <c r="EI24" s="1761"/>
      <c r="EJ24" s="1761"/>
      <c r="EK24" s="1761"/>
      <c r="EL24" s="1761"/>
      <c r="EM24" s="1761"/>
      <c r="EN24" s="1761"/>
      <c r="EO24" s="2121" t="s">
        <v>779</v>
      </c>
      <c r="EP24" s="2122"/>
      <c r="EQ24" s="2122"/>
      <c r="ER24" s="2122"/>
      <c r="ES24" s="2122"/>
      <c r="ET24" s="2122"/>
      <c r="EU24" s="2122"/>
      <c r="EV24" s="2122"/>
      <c r="EW24" s="2122"/>
      <c r="EX24" s="2123"/>
      <c r="EY24" s="2124" t="s">
        <v>780</v>
      </c>
      <c r="EZ24" s="2125"/>
      <c r="FA24" s="2125"/>
      <c r="FB24" s="2125"/>
      <c r="FC24" s="2125"/>
      <c r="FD24" s="2126"/>
      <c r="FE24" s="2127" t="s">
        <v>781</v>
      </c>
      <c r="FF24" s="2128"/>
      <c r="FG24" s="2128"/>
      <c r="FH24" s="2129"/>
      <c r="FI24" s="2130" t="s">
        <v>782</v>
      </c>
      <c r="FJ24" s="2131"/>
      <c r="FK24" s="2132"/>
      <c r="FL24" s="2133"/>
      <c r="FM24" s="2134"/>
      <c r="FN24" s="1761"/>
      <c r="FO24" s="1761"/>
      <c r="FP24" s="1761"/>
      <c r="FQ24" s="1761"/>
      <c r="FR24" s="1761"/>
      <c r="FS24" s="1761"/>
      <c r="FT24" s="1761"/>
      <c r="FU24" s="1761"/>
      <c r="FV24" s="1608">
        <v>1100</v>
      </c>
      <c r="FW24" s="1608">
        <v>1100</v>
      </c>
      <c r="FX24" s="1608">
        <v>1100</v>
      </c>
      <c r="FY24" s="1608">
        <v>1100</v>
      </c>
      <c r="FZ24" s="1608">
        <v>1100</v>
      </c>
      <c r="GA24" s="1608">
        <v>1100</v>
      </c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1608">
        <v>700</v>
      </c>
      <c r="GN24" s="1608">
        <v>700</v>
      </c>
      <c r="GO24" s="1608">
        <v>700</v>
      </c>
      <c r="GP24" s="1838"/>
      <c r="GQ24" s="1838"/>
      <c r="GR24" s="1838"/>
      <c r="GS24" s="1839"/>
      <c r="GT24" s="1839"/>
      <c r="GU24" s="1761"/>
      <c r="GV24" s="1761"/>
      <c r="GW24" s="1761"/>
      <c r="GX24" s="1761"/>
      <c r="GY24" s="1761"/>
      <c r="GZ24" s="1761"/>
      <c r="HA24" s="1761"/>
      <c r="HB24" s="1761"/>
      <c r="HC24" s="1761"/>
      <c r="HD24" s="1761"/>
      <c r="HE24" s="1608">
        <v>1100</v>
      </c>
      <c r="HF24" s="1608">
        <v>1100</v>
      </c>
      <c r="HG24" s="1608">
        <v>1100</v>
      </c>
      <c r="HH24" s="1608">
        <v>1100</v>
      </c>
      <c r="HI24" s="1608">
        <v>1100</v>
      </c>
      <c r="HJ24" s="1608">
        <v>1100</v>
      </c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1608">
        <v>700</v>
      </c>
      <c r="HW24" s="1608">
        <v>700</v>
      </c>
      <c r="HX24" s="1608">
        <v>700</v>
      </c>
      <c r="HY24" s="1838"/>
      <c r="HZ24" s="1838"/>
      <c r="IA24" s="1838"/>
      <c r="IB24" s="1839"/>
      <c r="IC24" s="1839"/>
      <c r="ID24" s="1761"/>
      <c r="IE24" s="1761"/>
      <c r="IF24" s="1761"/>
      <c r="IG24" s="1761"/>
      <c r="IH24" s="1761"/>
      <c r="II24" s="1761"/>
      <c r="IJ24" s="1761"/>
      <c r="IK24" s="1761"/>
      <c r="IL24" s="1761"/>
      <c r="IM24" s="1761"/>
      <c r="IN24" s="1761"/>
      <c r="IO24" s="1761"/>
      <c r="IP24" s="1761"/>
      <c r="IQ24" s="1761"/>
      <c r="IR24" s="1761"/>
      <c r="IS24" s="1761"/>
      <c r="IT24" s="1761"/>
      <c r="IU24" s="1761"/>
      <c r="IV24" s="1761"/>
      <c r="IW24" s="1761"/>
      <c r="IX24" s="1761"/>
      <c r="IY24" s="1761"/>
      <c r="IZ24" s="1762"/>
      <c r="JA24" s="1762"/>
      <c r="JB24" s="1762"/>
      <c r="JC24" s="1762"/>
      <c r="JD24" s="1762"/>
      <c r="JE24" s="1762"/>
      <c r="JF24" s="1762"/>
      <c r="JG24" s="1762"/>
      <c r="JH24" s="1762"/>
      <c r="JI24" s="1762"/>
      <c r="JJ24" s="1762"/>
      <c r="JK24" s="1762"/>
      <c r="JL24" s="1762"/>
      <c r="JM24" s="1762"/>
      <c r="JN24" s="1762"/>
      <c r="JO24" s="1762"/>
      <c r="JP24" s="1762"/>
      <c r="JQ24" s="1762"/>
      <c r="JR24" s="1762"/>
      <c r="JS24" s="1762"/>
      <c r="JT24" s="1762"/>
      <c r="JU24" s="1762"/>
      <c r="JV24" s="1762"/>
      <c r="JW24" s="1762"/>
      <c r="JX24" s="1762"/>
      <c r="JY24" s="1762"/>
      <c r="JZ24" s="1762"/>
      <c r="KA24" s="1762"/>
      <c r="KB24" s="1762"/>
      <c r="KC24" s="1762"/>
      <c r="KD24" s="1762"/>
      <c r="KE24" s="1762"/>
      <c r="KF24" s="1762"/>
      <c r="KG24" s="1762"/>
      <c r="KH24" s="1762"/>
      <c r="KI24" s="1762"/>
      <c r="KJ24" s="1762"/>
      <c r="KK24" s="1762"/>
      <c r="KL24" s="1762"/>
      <c r="KM24" s="1762"/>
      <c r="KN24" s="1762"/>
      <c r="KO24" s="1762"/>
      <c r="KP24" s="1762"/>
      <c r="KQ24" s="1762"/>
      <c r="KR24" s="1762"/>
      <c r="KS24" s="1762"/>
      <c r="KT24" s="1762"/>
      <c r="KU24" s="1762"/>
      <c r="KV24" s="1762"/>
      <c r="KW24" s="1762"/>
      <c r="KX24" s="1762"/>
      <c r="KY24" s="1762"/>
      <c r="KZ24" s="1762"/>
      <c r="LA24" s="1762"/>
      <c r="LB24" s="1762"/>
      <c r="LC24" s="1762"/>
      <c r="LD24" s="1762"/>
      <c r="LE24" s="1762"/>
      <c r="LF24" s="1762"/>
      <c r="LG24" s="1762"/>
      <c r="LH24" s="1762"/>
      <c r="LI24" s="1762"/>
      <c r="LJ24" s="1762"/>
      <c r="LK24" s="1762"/>
      <c r="LL24" s="1762"/>
      <c r="LM24" s="1762"/>
      <c r="LN24" s="1762"/>
      <c r="LO24" s="1762"/>
      <c r="LP24" s="1762"/>
      <c r="LQ24" s="1762"/>
      <c r="LR24" s="1762"/>
      <c r="LS24" s="1762"/>
      <c r="LT24" s="1762"/>
      <c r="LU24" s="1762"/>
      <c r="LV24" s="1762"/>
      <c r="LW24" s="1762"/>
      <c r="LX24" s="1762"/>
      <c r="ML24" s="330"/>
      <c r="MM24" s="330"/>
      <c r="MN24" s="330"/>
      <c r="MO24" s="330"/>
      <c r="MP24" s="330"/>
      <c r="MQ24" s="330"/>
      <c r="MR24" s="330"/>
      <c r="MS24" s="330"/>
      <c r="MT24" s="330"/>
      <c r="MU24" s="330"/>
      <c r="MV24" s="330"/>
      <c r="MW24" s="330"/>
      <c r="MX24" s="330"/>
      <c r="MY24" s="330"/>
      <c r="MZ24" s="330"/>
      <c r="NA24" s="330"/>
      <c r="NB24" s="330"/>
      <c r="NC24" s="330"/>
      <c r="ND24" s="330"/>
      <c r="NE24" s="330"/>
      <c r="NF24" s="330"/>
      <c r="NG24" s="330"/>
      <c r="NH24" s="330"/>
      <c r="NI24" s="330"/>
      <c r="NJ24" s="330"/>
      <c r="NK24" s="330"/>
      <c r="NL24" s="330"/>
      <c r="NM24" s="330"/>
      <c r="NN24" s="330"/>
      <c r="NO24" s="330"/>
      <c r="NP24" s="330"/>
    </row>
    <row r="25" spans="1:665" s="74" customFormat="1" ht="35.25" customHeight="1">
      <c r="A25" s="134"/>
      <c r="B25" s="330"/>
      <c r="C25" s="330">
        <v>1</v>
      </c>
      <c r="D25" s="1616"/>
      <c r="E25" s="1697" t="s">
        <v>873</v>
      </c>
      <c r="F25" s="1762"/>
      <c r="G25" s="1762"/>
      <c r="H25" s="1762"/>
      <c r="I25" s="1762"/>
      <c r="J25" s="1762"/>
      <c r="K25" s="1762"/>
      <c r="L25" s="1762"/>
      <c r="M25" s="1762"/>
      <c r="N25" s="1761"/>
      <c r="O25" s="1761"/>
      <c r="P25" s="1761"/>
      <c r="Q25" s="1761"/>
      <c r="R25" s="1761"/>
      <c r="S25" s="1761"/>
      <c r="T25" s="1761"/>
      <c r="U25" s="1761"/>
      <c r="V25" s="1761"/>
      <c r="W25" s="1761"/>
      <c r="X25" s="1761"/>
      <c r="Y25" s="1761"/>
      <c r="Z25" s="1761"/>
      <c r="AA25" s="1761"/>
      <c r="AB25" s="1761"/>
      <c r="AC25" s="1761"/>
      <c r="AD25" s="1761"/>
      <c r="AE25" s="1761"/>
      <c r="AF25" s="1761"/>
      <c r="AG25" s="1761"/>
      <c r="AH25" s="1761"/>
      <c r="AI25" s="1761"/>
      <c r="AJ25" s="1761"/>
      <c r="AK25" s="1761"/>
      <c r="AL25" s="1761"/>
      <c r="AM25" s="1761"/>
      <c r="AN25" s="1761"/>
      <c r="AO25" s="1761"/>
      <c r="AP25" s="1761"/>
      <c r="AQ25" s="1761"/>
      <c r="AR25" s="1761"/>
      <c r="AS25" s="1761"/>
      <c r="AT25" s="1761"/>
      <c r="AU25" s="1761"/>
      <c r="AV25" s="1761"/>
      <c r="AW25" s="1761"/>
      <c r="AX25" s="1761"/>
      <c r="AY25" s="1761"/>
      <c r="AZ25" s="1761"/>
      <c r="BA25" s="1761"/>
      <c r="BB25" s="1761"/>
      <c r="BC25" s="1761"/>
      <c r="BD25" s="1761"/>
      <c r="BE25" s="1761"/>
      <c r="BF25" s="1761"/>
      <c r="BG25" s="1761"/>
      <c r="BH25" s="1608">
        <v>1100</v>
      </c>
      <c r="BI25" s="1608">
        <v>1100</v>
      </c>
      <c r="BJ25" s="1608">
        <v>1100</v>
      </c>
      <c r="BK25" s="1608">
        <v>1100</v>
      </c>
      <c r="BL25" s="1608">
        <v>1100</v>
      </c>
      <c r="BM25" s="1608">
        <v>1100</v>
      </c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1608">
        <v>700</v>
      </c>
      <c r="BZ25" s="1608">
        <v>700</v>
      </c>
      <c r="CA25" s="1608">
        <v>700</v>
      </c>
      <c r="CB25" s="1838"/>
      <c r="CC25" s="1838"/>
      <c r="CD25" s="1838"/>
      <c r="CE25" s="1839"/>
      <c r="CF25" s="1839"/>
      <c r="CG25" s="1608">
        <v>1100</v>
      </c>
      <c r="CH25" s="1608">
        <v>1100</v>
      </c>
      <c r="CI25" s="1608">
        <v>1100</v>
      </c>
      <c r="CJ25" s="1608">
        <v>1100</v>
      </c>
      <c r="CK25" s="1608">
        <v>1100</v>
      </c>
      <c r="CL25" s="1608">
        <v>1100</v>
      </c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1608">
        <v>700</v>
      </c>
      <c r="CY25" s="1608">
        <v>700</v>
      </c>
      <c r="CZ25" s="1608">
        <v>700</v>
      </c>
      <c r="DA25" s="1838"/>
      <c r="DB25" s="1838"/>
      <c r="DC25" s="1838"/>
      <c r="DD25" s="1839"/>
      <c r="DE25" s="1839"/>
      <c r="DF25" s="1761"/>
      <c r="DG25" s="1608">
        <v>1100</v>
      </c>
      <c r="DH25" s="1608">
        <v>1100</v>
      </c>
      <c r="DI25" s="1608">
        <v>1100</v>
      </c>
      <c r="DJ25" s="1608">
        <v>1100</v>
      </c>
      <c r="DK25" s="1608">
        <v>1100</v>
      </c>
      <c r="DL25" s="1608">
        <v>1100</v>
      </c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1608">
        <v>700</v>
      </c>
      <c r="DY25" s="1608">
        <v>700</v>
      </c>
      <c r="DZ25" s="1608">
        <v>700</v>
      </c>
      <c r="EA25" s="1838"/>
      <c r="EB25" s="1838"/>
      <c r="EC25" s="1838"/>
      <c r="ED25" s="1839"/>
      <c r="EE25" s="1839"/>
      <c r="EF25" s="1761"/>
      <c r="EG25" s="1761"/>
      <c r="EH25" s="1761"/>
      <c r="EI25" s="1761"/>
      <c r="EJ25" s="1761"/>
      <c r="EK25" s="1761"/>
      <c r="EL25" s="1761"/>
      <c r="EM25" s="1761"/>
      <c r="EN25" s="1761"/>
      <c r="EO25" s="1608">
        <v>1100</v>
      </c>
      <c r="EP25" s="1608">
        <v>1100</v>
      </c>
      <c r="EQ25" s="1608">
        <v>1100</v>
      </c>
      <c r="ER25" s="1608">
        <v>1100</v>
      </c>
      <c r="ES25" s="1608">
        <v>1100</v>
      </c>
      <c r="ET25" s="1608">
        <v>1100</v>
      </c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1608">
        <v>700</v>
      </c>
      <c r="FG25" s="1608">
        <v>700</v>
      </c>
      <c r="FH25" s="1608">
        <v>700</v>
      </c>
      <c r="FI25" s="1838"/>
      <c r="FJ25" s="1838"/>
      <c r="FK25" s="1838"/>
      <c r="FL25" s="1839"/>
      <c r="FM25" s="1839"/>
      <c r="FN25" s="1761"/>
      <c r="FO25" s="1761"/>
      <c r="FP25" s="1761"/>
      <c r="FQ25" s="1761"/>
      <c r="FR25" s="1761"/>
      <c r="FS25" s="1761"/>
      <c r="FT25" s="1761"/>
      <c r="FU25" s="1761"/>
      <c r="FV25" s="1761"/>
      <c r="FW25" s="1761"/>
      <c r="FX25" s="1761"/>
      <c r="FY25" s="1761"/>
      <c r="FZ25" s="1761"/>
      <c r="GA25" s="1761"/>
      <c r="GB25" s="1761"/>
      <c r="GC25" s="1761"/>
      <c r="GD25" s="1761"/>
      <c r="GE25" s="1761"/>
      <c r="GF25" s="1761"/>
      <c r="GG25" s="1761"/>
      <c r="GH25" s="1761"/>
      <c r="GI25" s="1761"/>
      <c r="GJ25" s="1761"/>
      <c r="GK25" s="1761"/>
      <c r="GL25" s="1761"/>
      <c r="GM25" s="1761"/>
      <c r="GN25" s="1761"/>
      <c r="GO25" s="1761"/>
      <c r="GP25" s="1761"/>
      <c r="GQ25" s="1761"/>
      <c r="GR25" s="1761"/>
      <c r="GS25" s="1761"/>
      <c r="GT25" s="1761"/>
      <c r="GU25" s="1761"/>
      <c r="GV25" s="1761"/>
      <c r="GW25" s="1761"/>
      <c r="GX25" s="1761"/>
      <c r="GY25" s="1761"/>
      <c r="GZ25" s="1761"/>
      <c r="HA25" s="1761"/>
      <c r="HB25" s="1761"/>
      <c r="HC25" s="1761"/>
      <c r="HD25" s="1761"/>
      <c r="HE25" s="1761"/>
      <c r="HF25" s="1761"/>
      <c r="HG25" s="1761"/>
      <c r="HH25" s="1761"/>
      <c r="HI25" s="1761"/>
      <c r="HJ25" s="1761"/>
      <c r="HK25" s="1761"/>
      <c r="HL25" s="1761"/>
      <c r="HM25" s="1761"/>
      <c r="HN25" s="1761"/>
      <c r="HO25" s="1761"/>
      <c r="HP25" s="1761"/>
      <c r="HQ25" s="1761"/>
      <c r="HR25" s="1761"/>
      <c r="HS25" s="1761"/>
      <c r="HT25" s="1761"/>
      <c r="HU25" s="1761"/>
      <c r="HV25" s="1761"/>
      <c r="HW25" s="1761"/>
      <c r="HX25" s="1761"/>
      <c r="HY25" s="1761"/>
      <c r="HZ25" s="1761"/>
      <c r="IA25" s="1761"/>
      <c r="IB25" s="1761"/>
      <c r="IC25" s="1761"/>
      <c r="ID25" s="1761"/>
      <c r="IE25" s="1761"/>
      <c r="IF25" s="1761"/>
      <c r="IG25" s="1761"/>
      <c r="IH25" s="1761"/>
      <c r="II25" s="1761"/>
      <c r="IJ25" s="1761"/>
      <c r="IK25" s="1761"/>
      <c r="IL25" s="1761"/>
      <c r="IM25" s="1761"/>
      <c r="IN25" s="1761"/>
      <c r="IO25" s="1761"/>
      <c r="IP25" s="1761"/>
      <c r="IQ25" s="1761"/>
      <c r="IR25" s="1761"/>
      <c r="IS25" s="1761"/>
      <c r="IT25" s="1761"/>
      <c r="IU25" s="1761"/>
      <c r="IV25" s="1761"/>
      <c r="IW25" s="1761"/>
      <c r="IX25" s="1761"/>
      <c r="IY25" s="1761"/>
      <c r="IZ25" s="1762"/>
      <c r="JA25" s="1762"/>
      <c r="JB25" s="1762"/>
      <c r="JC25" s="1762"/>
      <c r="JD25" s="1762"/>
      <c r="JE25" s="1762"/>
      <c r="JF25" s="1762"/>
      <c r="JG25" s="1762"/>
      <c r="JH25" s="1762"/>
      <c r="JI25" s="1762"/>
      <c r="JJ25" s="1762"/>
      <c r="JK25" s="1762"/>
      <c r="JL25" s="1762"/>
      <c r="JM25" s="1762"/>
      <c r="JN25" s="1762"/>
      <c r="JO25" s="1762"/>
      <c r="JP25" s="1762"/>
      <c r="JQ25" s="1762"/>
      <c r="JR25" s="1762"/>
      <c r="JS25" s="1762"/>
      <c r="JT25" s="1762"/>
      <c r="JU25" s="1762"/>
      <c r="JV25" s="1762"/>
      <c r="JW25" s="1762"/>
      <c r="JX25" s="1762"/>
      <c r="JY25" s="1762"/>
      <c r="JZ25" s="1762"/>
      <c r="KA25" s="1762"/>
      <c r="KB25" s="1762"/>
      <c r="KC25" s="1762"/>
      <c r="KD25" s="1762"/>
      <c r="KE25" s="1762"/>
      <c r="KF25" s="1762"/>
      <c r="KG25" s="1762"/>
      <c r="KH25" s="1762"/>
      <c r="KI25" s="1762"/>
      <c r="KJ25" s="1762"/>
      <c r="KK25" s="1762"/>
      <c r="KL25" s="1762"/>
      <c r="KM25" s="1762"/>
      <c r="KN25" s="1762"/>
      <c r="KO25" s="1762"/>
      <c r="KP25" s="1762"/>
      <c r="KQ25" s="1762"/>
      <c r="KR25" s="1762"/>
      <c r="KS25" s="1762"/>
      <c r="KT25" s="1762"/>
      <c r="KU25" s="1762"/>
      <c r="KV25" s="1762"/>
      <c r="KW25" s="1762"/>
      <c r="KX25" s="1762"/>
      <c r="KY25" s="1762"/>
      <c r="KZ25" s="1762"/>
      <c r="LA25" s="1762"/>
      <c r="LB25" s="1762"/>
      <c r="LC25" s="1762"/>
      <c r="LD25" s="1762"/>
      <c r="LE25" s="1762"/>
      <c r="LF25" s="1762"/>
      <c r="LG25" s="1762"/>
      <c r="LH25" s="1762"/>
      <c r="LI25" s="1762"/>
      <c r="LJ25" s="1762"/>
      <c r="LK25" s="1762"/>
      <c r="LL25" s="1762"/>
      <c r="LM25" s="1762"/>
      <c r="LN25" s="1762"/>
      <c r="LO25" s="1762"/>
      <c r="LP25" s="1762"/>
      <c r="LQ25" s="1762"/>
      <c r="LR25" s="1762"/>
      <c r="LS25" s="1762"/>
      <c r="LT25" s="1762"/>
      <c r="LU25" s="1762"/>
      <c r="LV25" s="1762"/>
      <c r="LW25" s="1762"/>
      <c r="LX25" s="1762"/>
      <c r="MI25" s="330"/>
      <c r="MJ25" s="330"/>
      <c r="MK25" s="330"/>
      <c r="ML25" s="330"/>
      <c r="MM25" s="330"/>
      <c r="MN25" s="330"/>
      <c r="MO25" s="330"/>
      <c r="MP25" s="330"/>
      <c r="MQ25" s="330"/>
      <c r="MR25" s="330"/>
      <c r="MS25" s="330"/>
      <c r="MT25" s="330"/>
      <c r="MU25" s="330"/>
      <c r="MV25" s="330"/>
      <c r="MW25" s="330"/>
      <c r="MX25" s="330"/>
      <c r="MY25" s="330"/>
      <c r="MZ25" s="330"/>
      <c r="NA25" s="330"/>
      <c r="NB25" s="330"/>
      <c r="NC25" s="330"/>
      <c r="ND25" s="330"/>
      <c r="NE25" s="330"/>
      <c r="NF25" s="330"/>
      <c r="NG25" s="330"/>
      <c r="NH25" s="330"/>
      <c r="NI25" s="330"/>
      <c r="NJ25" s="330"/>
      <c r="NK25" s="330"/>
      <c r="NL25" s="330"/>
      <c r="NM25" s="330"/>
      <c r="NN25" s="330"/>
      <c r="NO25" s="330"/>
      <c r="NP25" s="330"/>
      <c r="NQ25" s="330"/>
      <c r="NR25" s="330"/>
      <c r="NS25" s="330"/>
      <c r="NT25" s="330"/>
      <c r="NU25" s="330"/>
    </row>
    <row r="26" spans="1:665" s="74" customFormat="1" ht="35.25" customHeight="1">
      <c r="A26" s="134"/>
      <c r="B26" s="1710"/>
      <c r="C26" s="1710"/>
      <c r="D26" s="1710"/>
      <c r="E26" s="1697"/>
      <c r="F26" s="1762"/>
      <c r="G26" s="1762"/>
      <c r="H26" s="1762"/>
      <c r="I26" s="1762"/>
      <c r="J26" s="1762"/>
      <c r="K26" s="1762"/>
      <c r="L26" s="1762"/>
      <c r="M26" s="1762"/>
      <c r="N26" s="1761"/>
      <c r="O26" s="1761"/>
      <c r="P26" s="1761"/>
      <c r="Q26" s="1761"/>
      <c r="R26" s="1761"/>
      <c r="S26" s="1761"/>
      <c r="T26" s="1761"/>
      <c r="U26" s="1761"/>
      <c r="V26" s="1761"/>
      <c r="W26" s="1761"/>
      <c r="X26" s="1761"/>
      <c r="Y26" s="1761"/>
      <c r="Z26" s="1761"/>
      <c r="AA26" s="1761"/>
      <c r="AB26" s="1761"/>
      <c r="AC26" s="1761"/>
      <c r="AD26" s="1761"/>
      <c r="AE26" s="1761"/>
      <c r="AF26" s="1761"/>
      <c r="AG26" s="1761"/>
      <c r="AH26" s="1761"/>
      <c r="AI26" s="1761"/>
      <c r="AJ26" s="1761"/>
      <c r="AK26" s="1761"/>
      <c r="AL26" s="1761"/>
      <c r="AM26" s="1761"/>
      <c r="AN26" s="1761"/>
      <c r="AO26" s="1761"/>
      <c r="AP26" s="1761"/>
      <c r="AQ26" s="1761"/>
      <c r="AR26" s="1761"/>
      <c r="AS26" s="1761"/>
      <c r="AT26" s="1761"/>
      <c r="AU26" s="1761"/>
      <c r="AV26" s="1761"/>
      <c r="AW26" s="1761"/>
      <c r="AX26" s="1761"/>
      <c r="AY26" s="1761"/>
      <c r="AZ26" s="1761"/>
      <c r="BA26" s="1761"/>
      <c r="BB26" s="1761"/>
      <c r="BC26" s="1761"/>
      <c r="BD26" s="1761"/>
      <c r="BE26" s="1761"/>
      <c r="BF26" s="1761"/>
      <c r="BG26" s="1761"/>
      <c r="BH26" s="1761"/>
      <c r="BI26" s="1761"/>
      <c r="BJ26" s="1761"/>
      <c r="BK26" s="1761"/>
      <c r="BL26" s="1761"/>
      <c r="BM26" s="1761"/>
      <c r="BN26" s="1761"/>
      <c r="BO26" s="1761"/>
      <c r="BP26" s="1761"/>
      <c r="BQ26" s="1761"/>
      <c r="BR26" s="1761"/>
      <c r="BS26" s="1761"/>
      <c r="BT26" s="1761"/>
      <c r="BU26" s="1761"/>
      <c r="BV26" s="1761"/>
      <c r="BW26" s="1761"/>
      <c r="BX26" s="1761"/>
      <c r="BY26" s="1761"/>
      <c r="BZ26" s="1761"/>
      <c r="CA26" s="1761"/>
      <c r="CB26" s="1761"/>
      <c r="CC26" s="1761"/>
      <c r="CD26" s="1761"/>
      <c r="CE26" s="1761"/>
      <c r="CF26" s="1761"/>
      <c r="CG26" s="1761"/>
      <c r="CH26" s="1761"/>
      <c r="CI26" s="1761"/>
      <c r="CJ26" s="1761"/>
      <c r="CK26" s="1761"/>
      <c r="CL26" s="1761"/>
      <c r="CM26" s="1761"/>
      <c r="CN26" s="1761"/>
      <c r="CO26" s="1761"/>
      <c r="CP26" s="1761"/>
      <c r="CQ26" s="1761"/>
      <c r="CR26" s="1761"/>
      <c r="CS26" s="1761"/>
      <c r="CT26" s="1761"/>
      <c r="CU26" s="1761"/>
      <c r="CV26" s="1761"/>
      <c r="CW26" s="1761"/>
      <c r="CX26" s="1761"/>
      <c r="CY26" s="1761"/>
      <c r="CZ26" s="1761"/>
      <c r="DA26" s="1761"/>
      <c r="DB26" s="1761"/>
      <c r="DC26" s="1761"/>
      <c r="DD26" s="1761"/>
      <c r="DE26" s="1761"/>
      <c r="DF26" s="1761"/>
      <c r="DG26" s="1761"/>
      <c r="DH26" s="1761"/>
      <c r="DI26" s="1761"/>
      <c r="DJ26" s="1761"/>
      <c r="DK26" s="1761"/>
      <c r="DL26" s="1761"/>
      <c r="DM26" s="1761"/>
      <c r="DN26" s="1761"/>
      <c r="DO26" s="1761"/>
      <c r="DP26" s="1761"/>
      <c r="DQ26" s="1761"/>
      <c r="DR26" s="1761"/>
      <c r="DS26" s="1761"/>
      <c r="DT26" s="1761"/>
      <c r="DU26" s="1761"/>
      <c r="DV26" s="1761"/>
      <c r="DW26" s="1761"/>
      <c r="DX26" s="1761"/>
      <c r="DY26" s="1761"/>
      <c r="DZ26" s="1761"/>
      <c r="EA26" s="1761"/>
      <c r="EB26" s="1761"/>
      <c r="EC26" s="1761"/>
      <c r="ED26" s="1761"/>
      <c r="EE26" s="1761"/>
      <c r="EF26" s="1761"/>
      <c r="EG26" s="1761"/>
      <c r="EH26" s="1761"/>
      <c r="EI26" s="1761"/>
      <c r="EJ26" s="1761"/>
      <c r="EK26" s="1761"/>
      <c r="EL26" s="1761"/>
      <c r="EM26" s="1761"/>
      <c r="EN26" s="1761"/>
      <c r="EO26" s="1761"/>
      <c r="EP26" s="1761"/>
      <c r="EQ26" s="1761"/>
      <c r="ER26" s="1761"/>
      <c r="ES26" s="1761"/>
      <c r="ET26" s="1761"/>
      <c r="EU26" s="1761"/>
      <c r="EV26" s="1761"/>
      <c r="EW26" s="1761"/>
      <c r="EX26" s="1761"/>
      <c r="EY26" s="1761"/>
      <c r="EZ26" s="1761"/>
      <c r="FA26" s="1761"/>
      <c r="FB26" s="1761"/>
      <c r="FC26" s="1761"/>
      <c r="FD26" s="1761"/>
      <c r="FE26" s="1761"/>
      <c r="FF26" s="1761"/>
      <c r="FG26" s="1761"/>
      <c r="FH26" s="1761"/>
      <c r="FI26" s="1761"/>
      <c r="FJ26" s="1761"/>
      <c r="FK26" s="1761"/>
      <c r="FL26" s="1761"/>
      <c r="FM26" s="1761"/>
      <c r="FN26" s="1761"/>
      <c r="FO26" s="1761"/>
      <c r="FP26" s="1761"/>
      <c r="FQ26" s="1761"/>
      <c r="FR26" s="1761"/>
      <c r="FS26" s="1761"/>
      <c r="FT26" s="1761"/>
      <c r="FU26" s="1761"/>
      <c r="FV26" s="1761"/>
      <c r="FW26" s="1761"/>
      <c r="FX26" s="1761"/>
      <c r="FY26" s="1761"/>
      <c r="FZ26" s="1761"/>
      <c r="GA26" s="1761"/>
      <c r="GB26" s="1761"/>
      <c r="GC26" s="1761"/>
      <c r="GD26" s="1761"/>
      <c r="GE26" s="1761"/>
      <c r="GF26" s="1761"/>
      <c r="GG26" s="1761"/>
      <c r="GH26" s="1761"/>
      <c r="GI26" s="1761"/>
      <c r="GJ26" s="1761"/>
      <c r="GK26" s="1761"/>
      <c r="GL26" s="1761"/>
      <c r="GM26" s="1761"/>
      <c r="GN26" s="1761"/>
      <c r="GO26" s="1761"/>
      <c r="GP26" s="1761"/>
      <c r="GQ26" s="1761"/>
      <c r="GR26" s="1761"/>
      <c r="GS26" s="1761"/>
      <c r="GT26" s="1761"/>
      <c r="GU26" s="1761"/>
      <c r="GV26" s="1761"/>
      <c r="GW26" s="1761"/>
      <c r="GX26" s="1761"/>
      <c r="GY26" s="1761"/>
      <c r="GZ26" s="1761"/>
      <c r="HA26" s="1761"/>
      <c r="HB26" s="1761"/>
      <c r="HC26" s="1761"/>
      <c r="HD26" s="1761"/>
      <c r="HE26" s="1761"/>
      <c r="HF26" s="1761"/>
      <c r="HG26" s="1761"/>
      <c r="HH26" s="1761"/>
      <c r="HI26" s="1761"/>
      <c r="HJ26" s="1761"/>
      <c r="HK26" s="1761"/>
      <c r="HL26" s="1761"/>
      <c r="HM26" s="1761"/>
      <c r="HN26" s="1761"/>
      <c r="HO26" s="1761"/>
      <c r="HP26" s="1761"/>
      <c r="HQ26" s="1761"/>
      <c r="HR26" s="1761"/>
      <c r="HS26" s="1761"/>
      <c r="HT26" s="1761"/>
      <c r="HU26" s="1761"/>
      <c r="HV26" s="1761"/>
      <c r="HW26" s="1761"/>
      <c r="HX26" s="1761"/>
      <c r="HY26" s="1761"/>
      <c r="HZ26" s="1761"/>
      <c r="IA26" s="1761"/>
      <c r="IB26" s="1761"/>
      <c r="IC26" s="1761"/>
      <c r="ID26" s="1761"/>
      <c r="IE26" s="1761"/>
      <c r="IF26" s="1761"/>
      <c r="IG26" s="1761"/>
      <c r="IH26" s="1761"/>
      <c r="II26" s="1761"/>
      <c r="IJ26" s="1761"/>
      <c r="IK26" s="1761"/>
      <c r="IL26" s="1761"/>
      <c r="IM26" s="1761"/>
      <c r="IN26" s="1761"/>
      <c r="IO26" s="1761"/>
      <c r="IP26" s="1761"/>
      <c r="IQ26" s="1761"/>
      <c r="IR26" s="1761"/>
      <c r="IS26" s="1761"/>
      <c r="IT26" s="1761"/>
      <c r="IU26" s="1761"/>
      <c r="IV26" s="1761"/>
      <c r="IW26" s="1761"/>
      <c r="IX26" s="1761"/>
      <c r="IY26" s="1761"/>
      <c r="IZ26" s="1762"/>
      <c r="JA26" s="1762"/>
      <c r="JB26" s="1762"/>
      <c r="JC26" s="1762"/>
      <c r="JD26" s="1762"/>
      <c r="JE26" s="1762"/>
      <c r="JF26" s="1762"/>
      <c r="JG26" s="1762"/>
      <c r="JH26" s="1762"/>
      <c r="JI26" s="1762"/>
      <c r="JJ26" s="1762"/>
      <c r="JK26" s="1762"/>
      <c r="JL26" s="1762"/>
      <c r="JM26" s="1762"/>
      <c r="JN26" s="1762"/>
      <c r="JO26" s="1762"/>
      <c r="JP26" s="1762"/>
      <c r="JQ26" s="1762"/>
      <c r="JR26" s="1762"/>
      <c r="JS26" s="1762"/>
      <c r="JT26" s="1762"/>
      <c r="JU26" s="1762"/>
      <c r="JV26" s="1762"/>
      <c r="JW26" s="1762"/>
      <c r="JX26" s="1762"/>
      <c r="JY26" s="1762"/>
      <c r="JZ26" s="1762"/>
      <c r="KA26" s="1762"/>
      <c r="KB26" s="1762"/>
      <c r="KC26" s="1762"/>
      <c r="KD26" s="1762"/>
      <c r="KE26" s="1762"/>
      <c r="KF26" s="1762"/>
      <c r="KG26" s="1762"/>
      <c r="KH26" s="1762"/>
      <c r="KI26" s="1762"/>
      <c r="KJ26" s="1762"/>
      <c r="KK26" s="1762"/>
      <c r="KL26" s="1762"/>
      <c r="KM26" s="1762"/>
      <c r="KN26" s="1762"/>
      <c r="KO26" s="1762"/>
      <c r="KP26" s="1762"/>
      <c r="KQ26" s="1762"/>
      <c r="KR26" s="1762"/>
      <c r="KS26" s="1762"/>
      <c r="KT26" s="1762"/>
      <c r="KU26" s="1762"/>
      <c r="KV26" s="1762"/>
      <c r="KW26" s="1762"/>
      <c r="KX26" s="1762"/>
      <c r="KY26" s="1762"/>
      <c r="KZ26" s="1762"/>
      <c r="LA26" s="1762"/>
      <c r="LB26" s="1762"/>
      <c r="LC26" s="1762"/>
      <c r="LD26" s="1762"/>
      <c r="LE26" s="1762"/>
      <c r="LF26" s="1762"/>
      <c r="LG26" s="1762"/>
      <c r="LH26" s="1762"/>
      <c r="LI26" s="1762"/>
      <c r="LJ26" s="1762"/>
      <c r="LK26" s="1762"/>
      <c r="LL26" s="1762"/>
      <c r="LM26" s="1762"/>
      <c r="LN26" s="1762"/>
      <c r="LO26" s="1762"/>
      <c r="LP26" s="1762"/>
      <c r="LQ26" s="1762"/>
      <c r="LR26" s="1762"/>
      <c r="LS26" s="1762"/>
      <c r="LT26" s="1762"/>
      <c r="LU26" s="1762"/>
      <c r="LV26" s="1762"/>
      <c r="LW26" s="1762"/>
      <c r="LX26" s="1762"/>
      <c r="LY26" s="1762"/>
      <c r="LZ26" s="330"/>
      <c r="MA26" s="330"/>
      <c r="MB26" s="330"/>
      <c r="MC26" s="330"/>
      <c r="MD26" s="330"/>
      <c r="ME26" s="330"/>
      <c r="MF26" s="330"/>
      <c r="MG26" s="330"/>
      <c r="MH26" s="330"/>
      <c r="MI26" s="330"/>
      <c r="MJ26" s="330"/>
      <c r="MK26" s="330"/>
      <c r="ML26" s="330"/>
      <c r="MM26" s="330"/>
      <c r="MN26" s="330"/>
      <c r="MO26" s="330"/>
      <c r="MP26" s="330"/>
      <c r="MQ26" s="330"/>
      <c r="MR26" s="330"/>
      <c r="MS26" s="330"/>
      <c r="MT26" s="330"/>
      <c r="MU26" s="330"/>
      <c r="MV26" s="330"/>
      <c r="MW26" s="330"/>
      <c r="MX26" s="330"/>
      <c r="MY26" s="330"/>
      <c r="MZ26" s="330"/>
      <c r="NA26" s="330"/>
      <c r="NB26" s="330"/>
      <c r="NC26" s="330"/>
      <c r="ND26" s="330"/>
      <c r="NE26" s="330"/>
      <c r="NF26" s="330"/>
      <c r="NG26" s="330"/>
      <c r="NH26" s="330"/>
      <c r="NI26" s="330"/>
      <c r="NJ26" s="330"/>
      <c r="NK26" s="330"/>
      <c r="NL26" s="330"/>
      <c r="NM26" s="330"/>
      <c r="NN26" s="330"/>
      <c r="NO26" s="330"/>
      <c r="NP26" s="330"/>
      <c r="NQ26" s="330"/>
      <c r="NR26" s="330"/>
      <c r="NS26" s="330"/>
      <c r="NT26" s="330"/>
      <c r="NU26" s="330"/>
      <c r="NV26" s="330"/>
      <c r="NW26" s="330"/>
      <c r="NX26" s="330"/>
      <c r="NY26" s="330"/>
      <c r="NZ26" s="330"/>
      <c r="OA26" s="330"/>
      <c r="OB26" s="330"/>
      <c r="OC26" s="330"/>
      <c r="OD26" s="330"/>
      <c r="OE26" s="330"/>
      <c r="OF26" s="330"/>
      <c r="OG26" s="330"/>
      <c r="OH26" s="330"/>
      <c r="OI26" s="330"/>
      <c r="OJ26" s="330"/>
      <c r="OK26" s="330"/>
      <c r="OL26" s="330"/>
      <c r="OM26" s="330"/>
      <c r="ON26" s="330"/>
      <c r="OO26" s="330"/>
      <c r="OP26" s="330"/>
      <c r="OQ26" s="330"/>
      <c r="OR26" s="330"/>
      <c r="OS26" s="330"/>
      <c r="OT26" s="330"/>
      <c r="OU26" s="330"/>
      <c r="OV26" s="330"/>
      <c r="OW26" s="330"/>
      <c r="OX26" s="330"/>
      <c r="OY26" s="330"/>
      <c r="OZ26" s="330"/>
      <c r="PA26" s="330"/>
    </row>
    <row r="27" spans="1:665" s="74" customFormat="1" ht="24.75" customHeight="1">
      <c r="A27" s="134"/>
      <c r="B27" s="1710"/>
      <c r="C27" s="1710"/>
      <c r="D27" s="1710"/>
      <c r="E27" s="1697"/>
      <c r="F27" s="1762"/>
      <c r="G27" s="1762"/>
      <c r="H27" s="1762"/>
      <c r="I27" s="1762"/>
      <c r="J27" s="1762"/>
      <c r="K27" s="1762"/>
      <c r="L27" s="1762"/>
      <c r="M27" s="1762"/>
      <c r="N27" s="1762"/>
      <c r="O27" s="1762"/>
      <c r="P27" s="1762"/>
      <c r="Q27" s="1762"/>
      <c r="R27" s="1762"/>
      <c r="S27" s="1762"/>
      <c r="T27" s="1762"/>
      <c r="U27" s="1762"/>
      <c r="V27" s="1762"/>
      <c r="W27" s="1762"/>
      <c r="X27" s="1762"/>
      <c r="Y27" s="1762"/>
      <c r="Z27" s="1762"/>
      <c r="AA27" s="1762"/>
      <c r="AB27" s="1762"/>
      <c r="AC27" s="1762"/>
      <c r="AD27" s="1761"/>
      <c r="AE27" s="1761"/>
      <c r="AF27" s="1761"/>
      <c r="AG27" s="1761"/>
      <c r="AH27" s="1761"/>
      <c r="AI27" s="1761"/>
      <c r="AJ27" s="1761"/>
      <c r="AK27" s="1761"/>
      <c r="AL27" s="1761"/>
      <c r="AM27" s="1761"/>
      <c r="AN27" s="1761"/>
      <c r="AO27" s="1761"/>
      <c r="AP27" s="1761"/>
      <c r="AQ27" s="1761"/>
      <c r="AR27" s="1761"/>
      <c r="AS27" s="1761"/>
      <c r="AT27" s="1761"/>
      <c r="AU27" s="1761"/>
      <c r="AV27" s="1761"/>
      <c r="AW27" s="1761"/>
      <c r="AX27" s="1761"/>
      <c r="AY27" s="1761"/>
      <c r="AZ27" s="1761"/>
      <c r="BA27" s="1761"/>
      <c r="BB27" s="1761"/>
      <c r="BC27" s="1761"/>
      <c r="BD27" s="1761"/>
      <c r="BE27" s="1761"/>
      <c r="BF27" s="1761"/>
      <c r="BG27" s="1761"/>
      <c r="BH27" s="1761"/>
      <c r="BI27" s="1761"/>
      <c r="BJ27" s="1761"/>
      <c r="BK27" s="1761"/>
      <c r="BL27" s="1761"/>
      <c r="BM27" s="1761"/>
      <c r="BN27" s="1761"/>
      <c r="BO27" s="1761"/>
      <c r="BP27" s="1761"/>
      <c r="BQ27" s="1761"/>
      <c r="BR27" s="1761"/>
      <c r="BS27" s="1761"/>
      <c r="BT27" s="1761"/>
      <c r="BU27" s="1761"/>
      <c r="BV27" s="1761"/>
      <c r="BW27" s="1761"/>
      <c r="BX27" s="1761"/>
      <c r="BY27" s="1761"/>
      <c r="BZ27" s="1761"/>
      <c r="CA27" s="1761"/>
      <c r="CB27" s="1761"/>
      <c r="CC27" s="1761"/>
      <c r="CD27" s="1761"/>
      <c r="CE27" s="1761"/>
      <c r="CF27" s="1761"/>
      <c r="CG27" s="1761"/>
      <c r="CH27" s="1761"/>
      <c r="CI27" s="1761"/>
      <c r="CJ27" s="1761"/>
      <c r="CK27" s="1761"/>
      <c r="CL27" s="1761"/>
      <c r="CM27" s="1761"/>
      <c r="CN27" s="1761"/>
      <c r="CO27" s="1761"/>
      <c r="CP27" s="1761"/>
      <c r="CQ27" s="1761"/>
      <c r="CR27" s="1761"/>
      <c r="CS27" s="1761"/>
      <c r="CT27" s="1761"/>
      <c r="CU27" s="1761"/>
      <c r="CV27" s="1761"/>
      <c r="CW27" s="1761"/>
      <c r="CX27" s="1761"/>
      <c r="CY27" s="1761"/>
      <c r="CZ27" s="1761"/>
      <c r="DA27" s="1761"/>
      <c r="DB27" s="1761"/>
      <c r="DC27" s="1761"/>
      <c r="DD27" s="1761"/>
      <c r="DE27" s="1761"/>
      <c r="DF27" s="1761"/>
      <c r="DG27" s="1761"/>
      <c r="DH27" s="1761"/>
      <c r="DI27" s="1761"/>
      <c r="DJ27" s="1761"/>
      <c r="DK27" s="1761"/>
      <c r="DL27" s="1761"/>
      <c r="DM27" s="1761"/>
      <c r="DN27" s="1761"/>
      <c r="DO27" s="1761"/>
      <c r="DP27" s="1761"/>
      <c r="DQ27" s="1761"/>
      <c r="DR27" s="1761"/>
      <c r="DS27" s="1761"/>
      <c r="DT27" s="1761"/>
      <c r="DU27" s="1761"/>
      <c r="DV27" s="1761"/>
      <c r="DW27" s="1761"/>
      <c r="DX27" s="1761"/>
      <c r="DY27" s="1761"/>
      <c r="DZ27" s="1761"/>
      <c r="EA27" s="1761"/>
      <c r="EB27" s="1761"/>
      <c r="EC27" s="1761"/>
      <c r="ED27" s="1761"/>
      <c r="EE27" s="1761"/>
      <c r="EF27" s="1761"/>
      <c r="EG27" s="1761"/>
      <c r="EH27" s="1761"/>
      <c r="EI27" s="1761"/>
      <c r="EJ27" s="1761"/>
      <c r="EK27" s="1761"/>
      <c r="EL27" s="1761"/>
      <c r="EM27" s="1761"/>
      <c r="EN27" s="1761"/>
      <c r="EO27" s="1761"/>
      <c r="EP27" s="1761"/>
      <c r="EQ27" s="1761"/>
      <c r="ER27" s="1761"/>
      <c r="ES27" s="1761"/>
      <c r="ET27" s="1761"/>
      <c r="EU27" s="1761"/>
      <c r="EV27" s="1761"/>
      <c r="EW27" s="1761"/>
      <c r="EX27" s="1761"/>
      <c r="EY27" s="1761"/>
      <c r="EZ27" s="1761"/>
      <c r="FA27" s="1761"/>
      <c r="FB27" s="1761"/>
      <c r="FC27" s="1761"/>
      <c r="FD27" s="1761"/>
      <c r="FE27" s="1761"/>
      <c r="FF27" s="1761"/>
      <c r="FG27" s="1761"/>
      <c r="FH27" s="1761"/>
      <c r="FI27" s="1761"/>
      <c r="FJ27" s="1761"/>
      <c r="FK27" s="1761"/>
      <c r="FL27" s="1761"/>
      <c r="FM27" s="1761"/>
      <c r="FN27" s="1761"/>
      <c r="FO27" s="1761"/>
      <c r="FP27" s="1761"/>
      <c r="FQ27" s="1761"/>
      <c r="FR27" s="1761"/>
      <c r="FS27" s="1761"/>
      <c r="FT27" s="1761"/>
      <c r="FU27" s="1761"/>
      <c r="FV27" s="1761"/>
      <c r="FW27" s="1761"/>
      <c r="FX27" s="1761"/>
      <c r="FY27" s="1761"/>
      <c r="FZ27" s="1761"/>
      <c r="GA27" s="1761"/>
      <c r="GB27" s="1761"/>
      <c r="GC27" s="1761"/>
      <c r="GD27" s="1761"/>
      <c r="GE27" s="1761"/>
      <c r="GF27" s="1761"/>
      <c r="GG27" s="1761"/>
      <c r="GH27" s="1761"/>
      <c r="GI27" s="1761"/>
      <c r="GJ27" s="1761"/>
      <c r="GK27" s="1761"/>
      <c r="GL27" s="1761"/>
      <c r="GM27" s="1761"/>
      <c r="GN27" s="1761"/>
      <c r="GO27" s="1761"/>
      <c r="GP27" s="1761"/>
      <c r="GQ27" s="1761"/>
      <c r="GR27" s="1761"/>
      <c r="GS27" s="1761"/>
      <c r="GT27" s="1761"/>
      <c r="GU27" s="1761"/>
      <c r="GV27" s="1761"/>
      <c r="GW27" s="1761"/>
      <c r="GX27" s="1761"/>
      <c r="GY27" s="1761"/>
      <c r="GZ27" s="1761"/>
      <c r="HA27" s="1761"/>
      <c r="HB27" s="1761"/>
      <c r="HC27" s="1761"/>
      <c r="HD27" s="1761"/>
      <c r="HE27" s="1761"/>
      <c r="HF27" s="1761"/>
      <c r="HG27" s="1761"/>
      <c r="HH27" s="1761"/>
      <c r="HI27" s="1761"/>
      <c r="HJ27" s="1761"/>
      <c r="HK27" s="1761"/>
      <c r="HL27" s="1761"/>
      <c r="HM27" s="1761"/>
      <c r="HN27" s="1761"/>
      <c r="HO27" s="1761"/>
      <c r="HP27" s="1761"/>
      <c r="HQ27" s="1761"/>
      <c r="HR27" s="1761"/>
      <c r="HS27" s="1761"/>
      <c r="HT27" s="1761"/>
      <c r="HU27" s="1761"/>
      <c r="HV27" s="1761"/>
      <c r="HW27" s="1761"/>
      <c r="HX27" s="1761"/>
      <c r="HY27" s="1761"/>
      <c r="HZ27" s="1761"/>
      <c r="IA27" s="1761"/>
      <c r="IB27" s="1761"/>
      <c r="IC27" s="1761"/>
      <c r="ID27" s="1761"/>
      <c r="IE27" s="1761"/>
      <c r="IF27" s="1761"/>
      <c r="IG27" s="1761"/>
      <c r="IH27" s="1761"/>
      <c r="II27" s="1761"/>
      <c r="IJ27" s="1761"/>
      <c r="IK27" s="1761"/>
      <c r="IL27" s="1761"/>
      <c r="IM27" s="1761"/>
      <c r="IN27" s="1761"/>
      <c r="IO27" s="1761"/>
      <c r="IP27" s="1761"/>
      <c r="IQ27" s="1761"/>
      <c r="IR27" s="1761"/>
      <c r="IS27" s="1761"/>
      <c r="IT27" s="1761"/>
      <c r="IU27" s="1761"/>
      <c r="IV27" s="1761"/>
      <c r="IW27" s="1761"/>
      <c r="IX27" s="1761"/>
      <c r="IY27" s="1761"/>
      <c r="IZ27" s="1761"/>
      <c r="JA27" s="1761"/>
      <c r="JB27" s="1761"/>
      <c r="JC27" s="1761"/>
      <c r="JD27" s="1761"/>
      <c r="JE27" s="1761"/>
      <c r="JF27" s="1761"/>
      <c r="JG27" s="1761"/>
      <c r="JH27" s="1761"/>
      <c r="JI27" s="1761"/>
      <c r="JJ27" s="1761"/>
      <c r="JK27" s="1761"/>
      <c r="JL27" s="1761"/>
      <c r="JM27" s="1761"/>
      <c r="JN27" s="1761"/>
      <c r="JO27" s="1761"/>
      <c r="JP27" s="1761"/>
      <c r="JQ27" s="1761"/>
      <c r="JR27" s="1761"/>
      <c r="JS27" s="1761"/>
      <c r="JT27" s="1761"/>
      <c r="JU27" s="1761"/>
      <c r="JV27" s="1761"/>
      <c r="JW27" s="1761"/>
      <c r="JX27" s="1761"/>
      <c r="JY27" s="1761"/>
      <c r="JZ27" s="1761"/>
      <c r="KA27" s="1761"/>
      <c r="KB27" s="1761"/>
      <c r="KC27" s="1761"/>
      <c r="KD27" s="1761"/>
      <c r="KE27" s="1761"/>
      <c r="KF27" s="1761"/>
      <c r="KG27" s="1761"/>
      <c r="KH27" s="1761"/>
      <c r="KI27" s="1761"/>
      <c r="KJ27" s="1761"/>
      <c r="KK27" s="1761"/>
      <c r="KL27" s="1761"/>
      <c r="KM27" s="1761"/>
      <c r="KN27" s="1761"/>
      <c r="KO27" s="1761"/>
      <c r="KP27" s="1761"/>
      <c r="KQ27" s="1761"/>
      <c r="KR27" s="1761"/>
      <c r="KS27" s="1761"/>
      <c r="KT27" s="1761"/>
      <c r="KU27" s="1761"/>
      <c r="KV27" s="1761"/>
      <c r="KW27" s="1761"/>
      <c r="KX27" s="1761"/>
      <c r="KY27" s="1761"/>
      <c r="KZ27" s="1761"/>
      <c r="LA27" s="1761"/>
      <c r="LB27" s="1761"/>
      <c r="LC27" s="1761"/>
      <c r="LD27" s="1761"/>
      <c r="LE27" s="1761"/>
      <c r="LF27" s="330"/>
      <c r="LG27" s="330"/>
      <c r="LH27" s="330"/>
      <c r="LI27" s="330"/>
      <c r="LJ27" s="330"/>
      <c r="LK27" s="330"/>
      <c r="LL27" s="330"/>
      <c r="LM27" s="330"/>
      <c r="LN27" s="330"/>
      <c r="LO27" s="330"/>
      <c r="LP27" s="330"/>
      <c r="LQ27" s="330"/>
      <c r="LR27" s="330"/>
      <c r="LS27" s="330"/>
      <c r="LT27" s="330"/>
      <c r="LU27" s="330"/>
      <c r="LV27" s="330"/>
      <c r="LW27" s="330"/>
      <c r="LX27" s="330"/>
      <c r="LY27" s="330"/>
      <c r="LZ27" s="330"/>
      <c r="MA27" s="330"/>
      <c r="MB27" s="330"/>
      <c r="MC27" s="330"/>
      <c r="MD27" s="330"/>
      <c r="ME27" s="330"/>
      <c r="MF27" s="330"/>
      <c r="MG27" s="330"/>
      <c r="MH27" s="330"/>
      <c r="MI27" s="330"/>
      <c r="MJ27" s="330"/>
      <c r="MK27" s="330"/>
      <c r="ML27" s="330"/>
      <c r="MM27" s="330"/>
      <c r="MN27" s="330"/>
      <c r="MO27" s="330"/>
      <c r="MP27" s="330"/>
      <c r="MQ27" s="330"/>
      <c r="MR27" s="330"/>
      <c r="MS27" s="330"/>
      <c r="MT27" s="330"/>
      <c r="MU27" s="330"/>
      <c r="MV27" s="330"/>
      <c r="MW27" s="330"/>
      <c r="MX27" s="330"/>
      <c r="MY27" s="330"/>
      <c r="MZ27" s="330"/>
      <c r="NA27" s="330"/>
      <c r="NB27" s="330"/>
      <c r="NC27" s="330"/>
      <c r="ND27" s="330"/>
      <c r="NE27" s="330"/>
      <c r="NF27" s="330"/>
      <c r="NG27" s="330"/>
      <c r="NH27" s="330"/>
      <c r="NI27" s="330"/>
      <c r="NJ27" s="330"/>
      <c r="NK27" s="330"/>
      <c r="NL27" s="330"/>
      <c r="NM27" s="330"/>
      <c r="NN27" s="330"/>
      <c r="NO27" s="330"/>
      <c r="NP27" s="330"/>
      <c r="NQ27" s="330"/>
      <c r="NR27" s="330"/>
      <c r="NS27" s="330"/>
      <c r="NT27" s="330"/>
      <c r="NU27" s="330"/>
      <c r="NV27" s="330"/>
      <c r="NW27" s="330"/>
      <c r="NX27" s="330"/>
      <c r="NY27" s="330"/>
      <c r="NZ27" s="330"/>
      <c r="OA27" s="330"/>
      <c r="OB27" s="330"/>
      <c r="OC27" s="330"/>
      <c r="OD27" s="330"/>
      <c r="OE27" s="330"/>
      <c r="OF27" s="330"/>
      <c r="OG27" s="330"/>
      <c r="OH27" s="330"/>
      <c r="OI27" s="330"/>
      <c r="OJ27" s="330"/>
      <c r="OK27" s="330"/>
      <c r="OL27" s="330"/>
      <c r="OM27" s="330"/>
      <c r="ON27" s="330"/>
      <c r="OO27" s="330"/>
      <c r="OP27" s="330"/>
      <c r="OQ27" s="330"/>
      <c r="OR27" s="330"/>
      <c r="OS27" s="330"/>
      <c r="OT27" s="330"/>
      <c r="OU27" s="330"/>
      <c r="OV27" s="330"/>
      <c r="OW27" s="330"/>
      <c r="OX27" s="330"/>
      <c r="OY27" s="330"/>
      <c r="OZ27" s="330"/>
      <c r="PA27" s="330"/>
      <c r="PB27" s="330"/>
      <c r="PC27" s="330"/>
      <c r="PD27" s="330"/>
      <c r="PE27" s="330"/>
      <c r="PF27" s="330"/>
      <c r="PG27" s="330"/>
      <c r="PH27" s="330"/>
      <c r="PI27" s="330"/>
      <c r="PJ27" s="330"/>
      <c r="PK27" s="330"/>
      <c r="PL27" s="330"/>
      <c r="PM27" s="330"/>
      <c r="PN27" s="330"/>
      <c r="PO27" s="330"/>
      <c r="PP27" s="330"/>
      <c r="PQ27" s="330"/>
      <c r="PR27" s="330"/>
      <c r="PS27" s="330"/>
      <c r="PT27" s="330"/>
      <c r="PU27" s="330"/>
      <c r="PV27" s="330"/>
      <c r="PW27" s="330"/>
      <c r="PX27" s="330"/>
      <c r="PY27" s="330"/>
      <c r="PZ27" s="330"/>
    </row>
    <row r="28" spans="1:665" s="73" customFormat="1" ht="24.75" customHeight="1">
      <c r="A28" s="2431"/>
      <c r="B28" s="2432"/>
      <c r="C28" s="2432"/>
      <c r="D28" s="2433"/>
      <c r="E28" s="1694"/>
      <c r="F28" s="1761"/>
      <c r="G28" s="1761"/>
      <c r="H28" s="1761"/>
      <c r="I28" s="1761"/>
      <c r="J28" s="1761"/>
      <c r="K28" s="1761"/>
      <c r="L28" s="1761"/>
      <c r="M28" s="1761"/>
      <c r="N28" s="1761"/>
      <c r="O28" s="1761"/>
      <c r="P28" s="1761"/>
      <c r="Q28" s="1761"/>
      <c r="R28" s="1761"/>
      <c r="S28" s="1761"/>
      <c r="T28" s="1761"/>
      <c r="U28" s="1761"/>
      <c r="V28" s="1761"/>
      <c r="W28" s="1761"/>
      <c r="X28" s="1761"/>
      <c r="Y28" s="1761"/>
      <c r="Z28" s="1761"/>
      <c r="AA28" s="1761"/>
      <c r="AB28" s="1761"/>
      <c r="AC28" s="1761"/>
      <c r="AD28" s="1761"/>
      <c r="AE28" s="1761"/>
      <c r="AF28" s="1761"/>
      <c r="AG28" s="1761"/>
      <c r="AH28" s="1761"/>
      <c r="AI28" s="1761"/>
      <c r="AJ28" s="1761"/>
      <c r="AK28" s="1761"/>
      <c r="AL28" s="1761"/>
      <c r="AM28" s="1761"/>
      <c r="AN28" s="1761"/>
      <c r="AO28" s="1761"/>
      <c r="AP28" s="1761"/>
      <c r="AQ28" s="1761"/>
      <c r="AR28" s="1761"/>
      <c r="AS28" s="1761"/>
      <c r="AT28" s="1761"/>
      <c r="AU28" s="1761"/>
      <c r="AV28" s="1761"/>
      <c r="AW28" s="1761"/>
      <c r="AX28" s="1761"/>
      <c r="AY28" s="1761"/>
      <c r="AZ28" s="1761"/>
      <c r="BA28" s="1761"/>
      <c r="BB28" s="1761"/>
      <c r="BC28" s="1761"/>
      <c r="BD28" s="1761"/>
      <c r="BE28" s="1761"/>
      <c r="BF28" s="1761"/>
      <c r="BG28" s="1761"/>
      <c r="BH28" s="1761"/>
      <c r="BI28" s="1761"/>
      <c r="BJ28" s="1761"/>
      <c r="BK28" s="1761"/>
      <c r="BL28" s="1761"/>
      <c r="BM28" s="1761"/>
      <c r="BN28" s="1761"/>
      <c r="BO28" s="1761"/>
      <c r="BP28" s="1761"/>
      <c r="BQ28" s="1761"/>
      <c r="BR28" s="1761"/>
      <c r="BS28" s="1761"/>
      <c r="BT28" s="1761"/>
      <c r="BU28" s="1761"/>
      <c r="BV28" s="1761"/>
      <c r="BW28" s="1761"/>
      <c r="BX28" s="1761"/>
      <c r="BY28" s="1761"/>
      <c r="BZ28" s="1761"/>
      <c r="CA28" s="1761"/>
      <c r="CB28" s="1761"/>
      <c r="CC28" s="1761"/>
      <c r="CD28" s="1761"/>
      <c r="CE28" s="1761"/>
      <c r="CF28" s="1761"/>
      <c r="CG28" s="1761"/>
      <c r="CH28" s="1761"/>
      <c r="CI28" s="1761"/>
      <c r="CJ28" s="1761"/>
      <c r="CK28" s="1761"/>
      <c r="CL28" s="1761"/>
      <c r="CM28" s="1761"/>
      <c r="CN28" s="1761"/>
      <c r="CO28" s="1761"/>
      <c r="CP28" s="1761"/>
      <c r="CQ28" s="1761"/>
      <c r="CR28" s="1761"/>
      <c r="CS28" s="1761"/>
      <c r="CT28" s="1761"/>
      <c r="CU28" s="1761"/>
      <c r="FD28" s="1761"/>
      <c r="FE28" s="1761"/>
      <c r="FF28" s="1761"/>
      <c r="FG28" s="1761"/>
      <c r="FH28" s="1761"/>
      <c r="FI28" s="1761"/>
      <c r="FJ28" s="1761"/>
      <c r="FK28" s="1761"/>
      <c r="FL28" s="1761"/>
      <c r="FM28" s="1761"/>
      <c r="FN28" s="1761"/>
      <c r="FO28" s="1761"/>
      <c r="FP28" s="1761"/>
      <c r="FQ28" s="1761"/>
      <c r="FR28" s="1761"/>
      <c r="FS28" s="1761"/>
      <c r="FT28" s="1761"/>
      <c r="FU28" s="1761"/>
      <c r="FV28" s="1761"/>
      <c r="FW28" s="1761"/>
      <c r="FX28" s="1761"/>
      <c r="FY28" s="1761"/>
      <c r="FZ28" s="1761"/>
      <c r="GA28" s="1761"/>
      <c r="GB28" s="1761"/>
      <c r="GC28" s="1761"/>
      <c r="GD28" s="1761"/>
      <c r="GE28" s="1761"/>
      <c r="GF28" s="1761"/>
      <c r="GG28" s="1761"/>
      <c r="GH28" s="1761"/>
      <c r="GI28" s="1761"/>
      <c r="GJ28" s="1761"/>
      <c r="GK28" s="1761"/>
      <c r="GL28" s="1761"/>
      <c r="GM28" s="1761"/>
      <c r="GN28" s="1761"/>
      <c r="GO28" s="1761"/>
      <c r="GP28" s="1761"/>
      <c r="GQ28" s="1761"/>
      <c r="GR28" s="1761"/>
      <c r="GS28" s="1761"/>
      <c r="GT28" s="1761"/>
      <c r="GU28" s="1761"/>
      <c r="GV28" s="1761"/>
      <c r="GW28" s="1761"/>
      <c r="GX28" s="1761"/>
      <c r="GY28" s="1761"/>
      <c r="GZ28" s="1761"/>
      <c r="HA28" s="1761"/>
      <c r="HB28" s="1761"/>
      <c r="HC28" s="1761"/>
      <c r="HD28" s="1761"/>
      <c r="HE28" s="1761"/>
      <c r="HF28" s="1761"/>
      <c r="HG28" s="1761"/>
      <c r="HH28" s="1761"/>
      <c r="HI28" s="1761"/>
      <c r="HJ28" s="1761"/>
      <c r="HK28" s="1761"/>
      <c r="HL28" s="1761"/>
      <c r="HM28" s="1761"/>
      <c r="HN28" s="1761"/>
      <c r="HO28" s="1761"/>
      <c r="HP28" s="1761"/>
      <c r="HQ28" s="1761"/>
      <c r="HR28" s="1761"/>
      <c r="HS28" s="1761"/>
      <c r="HT28" s="1761"/>
      <c r="HU28" s="1761"/>
      <c r="HV28" s="1761"/>
      <c r="HW28" s="1761"/>
      <c r="HX28" s="1761"/>
      <c r="HY28" s="1761"/>
      <c r="HZ28" s="1761"/>
      <c r="IA28" s="1761"/>
      <c r="IB28" s="1761"/>
      <c r="IC28" s="1761"/>
      <c r="ID28" s="1761"/>
      <c r="IE28" s="1761"/>
      <c r="IF28" s="1761"/>
      <c r="IG28" s="1761"/>
      <c r="IH28" s="330"/>
      <c r="II28" s="330"/>
      <c r="IJ28" s="330"/>
      <c r="IK28" s="330"/>
      <c r="IL28" s="330"/>
      <c r="IM28" s="330"/>
      <c r="IN28" s="330"/>
      <c r="IO28" s="330"/>
      <c r="IP28" s="330"/>
      <c r="IQ28" s="330"/>
      <c r="IR28" s="330"/>
      <c r="IS28" s="330"/>
      <c r="IT28" s="330"/>
      <c r="IU28" s="330"/>
      <c r="IV28" s="330"/>
      <c r="IW28" s="330"/>
      <c r="IX28" s="330"/>
      <c r="IY28" s="330"/>
      <c r="IZ28" s="330"/>
      <c r="JA28" s="330"/>
      <c r="JB28" s="330"/>
      <c r="JC28" s="330"/>
      <c r="JD28" s="330"/>
      <c r="JE28" s="330"/>
      <c r="JF28" s="330"/>
      <c r="JG28" s="330"/>
      <c r="JH28" s="330"/>
      <c r="JI28" s="330"/>
      <c r="JJ28" s="330"/>
      <c r="JK28" s="330"/>
      <c r="JL28" s="330"/>
      <c r="JM28" s="330"/>
      <c r="JN28" s="330"/>
      <c r="JO28" s="330"/>
      <c r="JP28" s="330"/>
      <c r="JQ28" s="330"/>
      <c r="JR28" s="330"/>
      <c r="JS28" s="330"/>
      <c r="JT28" s="330"/>
      <c r="JU28" s="330"/>
      <c r="JV28" s="330"/>
      <c r="JW28" s="330"/>
      <c r="JX28" s="330"/>
      <c r="JY28" s="330"/>
      <c r="JZ28" s="330"/>
      <c r="KA28" s="330"/>
      <c r="KB28" s="330"/>
      <c r="KC28" s="330"/>
      <c r="KD28" s="330"/>
      <c r="KE28" s="330"/>
      <c r="KF28" s="330"/>
      <c r="KG28" s="330"/>
      <c r="KH28" s="330"/>
      <c r="KI28" s="330"/>
      <c r="KJ28" s="330"/>
      <c r="KK28" s="330"/>
      <c r="KL28" s="330"/>
      <c r="KM28" s="330"/>
      <c r="KN28" s="330"/>
      <c r="KO28" s="330"/>
      <c r="KP28" s="330"/>
      <c r="KQ28" s="330"/>
      <c r="KR28" s="330"/>
      <c r="KS28" s="330"/>
      <c r="KT28" s="330"/>
      <c r="KU28" s="330"/>
      <c r="KV28" s="330"/>
      <c r="KW28" s="330"/>
      <c r="KX28" s="330"/>
      <c r="KY28" s="330"/>
      <c r="KZ28" s="330"/>
      <c r="LA28" s="330"/>
      <c r="LB28" s="330"/>
      <c r="LC28" s="330"/>
      <c r="LD28" s="330"/>
      <c r="LE28" s="330"/>
      <c r="LF28" s="330"/>
      <c r="LG28" s="330"/>
      <c r="LH28" s="330"/>
      <c r="LI28" s="330"/>
      <c r="LJ28" s="330"/>
      <c r="LK28" s="330"/>
      <c r="LL28" s="330"/>
      <c r="LM28" s="330"/>
      <c r="LN28" s="330"/>
      <c r="LO28" s="330"/>
      <c r="LP28" s="330"/>
      <c r="LQ28" s="330"/>
      <c r="LR28" s="330"/>
      <c r="LS28" s="330"/>
      <c r="LT28" s="330"/>
      <c r="LU28" s="330"/>
      <c r="LV28" s="330"/>
      <c r="LW28" s="330"/>
      <c r="LX28" s="330"/>
      <c r="LY28" s="330"/>
      <c r="LZ28" s="330"/>
      <c r="MA28" s="330"/>
      <c r="MB28" s="330"/>
      <c r="MC28" s="330"/>
      <c r="MD28" s="330"/>
      <c r="ME28" s="330"/>
      <c r="MF28" s="330"/>
      <c r="MG28" s="330"/>
      <c r="MH28" s="330"/>
      <c r="MI28" s="330"/>
      <c r="MJ28" s="330"/>
      <c r="MK28" s="330"/>
      <c r="ML28" s="330"/>
      <c r="MM28" s="330"/>
      <c r="MN28" s="330"/>
      <c r="MO28" s="330"/>
      <c r="MP28" s="330"/>
      <c r="MQ28" s="330"/>
      <c r="MR28" s="330"/>
      <c r="MS28" s="330"/>
      <c r="MT28" s="330"/>
      <c r="MU28" s="330"/>
      <c r="MV28" s="330"/>
      <c r="MW28" s="330"/>
      <c r="MX28" s="330"/>
      <c r="MY28" s="330"/>
      <c r="MZ28" s="330"/>
      <c r="NA28" s="330"/>
      <c r="NB28" s="330"/>
      <c r="NC28" s="330"/>
      <c r="ND28" s="330"/>
      <c r="NE28" s="330"/>
      <c r="NF28" s="330"/>
      <c r="NG28" s="330"/>
      <c r="NH28" s="330"/>
      <c r="NI28" s="330"/>
      <c r="NJ28" s="330"/>
      <c r="NK28" s="330"/>
      <c r="NL28" s="330"/>
      <c r="NM28" s="330"/>
      <c r="NN28" s="330"/>
      <c r="NO28" s="330"/>
      <c r="NP28" s="330"/>
      <c r="NQ28" s="330"/>
      <c r="NR28" s="330"/>
      <c r="NS28" s="330"/>
      <c r="NT28" s="330"/>
      <c r="NU28" s="330"/>
      <c r="NV28" s="330"/>
      <c r="NW28" s="330"/>
      <c r="NX28" s="330"/>
      <c r="NY28" s="330"/>
      <c r="NZ28" s="330"/>
      <c r="OA28" s="330"/>
      <c r="OB28" s="330"/>
      <c r="OC28" s="330"/>
      <c r="OD28" s="330"/>
      <c r="OE28" s="330"/>
      <c r="OF28" s="330"/>
      <c r="OG28" s="330"/>
      <c r="OH28" s="330"/>
      <c r="OI28" s="330"/>
      <c r="OJ28" s="330"/>
      <c r="OK28" s="330"/>
      <c r="OL28" s="330"/>
      <c r="OM28" s="330"/>
      <c r="ON28" s="330"/>
      <c r="OO28" s="330"/>
      <c r="OP28" s="330"/>
      <c r="OQ28" s="330"/>
      <c r="OR28" s="330"/>
      <c r="OS28" s="330"/>
      <c r="OT28" s="330"/>
      <c r="OU28" s="330"/>
      <c r="OV28" s="330"/>
      <c r="OW28" s="330"/>
      <c r="OX28" s="330"/>
      <c r="OY28" s="330"/>
      <c r="OZ28" s="330"/>
      <c r="PA28" s="330"/>
    </row>
    <row r="29" spans="1:665" s="74" customFormat="1" ht="27.6" customHeight="1">
      <c r="A29" s="32"/>
      <c r="B29" s="331"/>
      <c r="C29" s="2434" t="s">
        <v>330</v>
      </c>
      <c r="D29" s="2435"/>
      <c r="E29" s="1619">
        <f>'ПЕЧАТЬ ЗАДАНИЙ'!C4</f>
        <v>44223</v>
      </c>
      <c r="F29" s="1631">
        <v>0</v>
      </c>
      <c r="G29" s="1640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1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" customHeight="1">
      <c r="A30" s="3"/>
      <c r="B30" s="3"/>
      <c r="C30" s="3"/>
      <c r="D30" s="1617"/>
      <c r="E30" s="1698"/>
      <c r="F30" s="1662"/>
      <c r="G30" s="1642"/>
      <c r="H30" s="515"/>
      <c r="I30" s="515"/>
      <c r="J30" s="515"/>
      <c r="K30" s="515"/>
      <c r="L30" s="515"/>
      <c r="M30" s="515"/>
      <c r="N30" s="515"/>
      <c r="O30" s="515"/>
      <c r="P30" s="515"/>
      <c r="Q30" s="515"/>
      <c r="R30" s="1632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08" customFormat="1" ht="27.6" customHeight="1" thickBot="1">
      <c r="A31" s="509"/>
      <c r="B31" s="510"/>
      <c r="C31" s="511"/>
      <c r="D31" s="511"/>
      <c r="E31" s="1699"/>
      <c r="F31" s="1674"/>
      <c r="G31" s="1674"/>
      <c r="H31" s="1674"/>
      <c r="I31" s="1674"/>
      <c r="J31" s="1674"/>
      <c r="K31" s="1674"/>
      <c r="L31" s="1674"/>
      <c r="M31" s="1674"/>
      <c r="N31" s="1674"/>
      <c r="O31" s="1674"/>
      <c r="P31" s="1674"/>
      <c r="Q31" s="1674"/>
      <c r="R31" s="1674"/>
      <c r="S31" s="1674"/>
      <c r="T31" s="1674"/>
      <c r="U31" s="1674"/>
      <c r="V31" s="1674"/>
      <c r="W31" s="1674"/>
      <c r="X31" s="1674"/>
      <c r="Y31" s="1674"/>
      <c r="Z31" s="1674"/>
      <c r="AA31" s="1674"/>
      <c r="AB31" s="1674"/>
      <c r="AC31" s="1674"/>
      <c r="AD31" s="1674"/>
      <c r="AE31" s="1674"/>
      <c r="AF31" s="1674"/>
      <c r="AG31" s="1674"/>
      <c r="AH31" s="1674"/>
      <c r="AI31" s="1674"/>
      <c r="AJ31" s="1674"/>
      <c r="AK31" s="1674"/>
      <c r="AL31" s="1674"/>
      <c r="AM31" s="1674"/>
      <c r="AN31" s="1674"/>
      <c r="AO31" s="1674"/>
      <c r="AP31" s="1674"/>
      <c r="AQ31" s="1674"/>
      <c r="AR31" s="1674"/>
      <c r="AS31" s="1674"/>
      <c r="AT31" s="1674"/>
      <c r="AU31" s="1674"/>
      <c r="AV31" s="1674"/>
      <c r="AW31" s="1674"/>
      <c r="AX31" s="1674"/>
      <c r="AY31" s="1674"/>
      <c r="AZ31" s="1674"/>
      <c r="BA31" s="1674"/>
      <c r="BB31" s="1674"/>
      <c r="BC31" s="1674"/>
      <c r="BD31" s="1674"/>
      <c r="BE31" s="1674"/>
      <c r="BF31" s="1674"/>
      <c r="BG31" s="1674"/>
      <c r="BH31" s="1674"/>
      <c r="BI31" s="1674"/>
      <c r="BJ31" s="1674"/>
      <c r="BK31" s="1674"/>
      <c r="BL31" s="1674"/>
      <c r="BM31" s="1674"/>
      <c r="BN31" s="1674"/>
      <c r="BO31" s="1674"/>
      <c r="BP31" s="1674"/>
      <c r="BQ31" s="1674"/>
      <c r="BR31" s="1674"/>
      <c r="BS31" s="1674"/>
      <c r="BT31" s="1674"/>
      <c r="BU31" s="1674"/>
      <c r="BV31" s="1674"/>
      <c r="BW31" s="1674"/>
      <c r="BX31" s="1674"/>
      <c r="BY31" s="1674"/>
      <c r="BZ31" s="1674"/>
      <c r="CA31" s="1674"/>
      <c r="CB31" s="1674"/>
      <c r="CC31" s="1674"/>
      <c r="CD31" s="1674"/>
      <c r="CE31" s="1674"/>
      <c r="CF31" s="1674"/>
      <c r="CG31" s="1674"/>
      <c r="CH31" s="1674"/>
      <c r="CI31" s="1674"/>
      <c r="CJ31" s="1674"/>
      <c r="CK31" s="1674"/>
      <c r="CL31" s="2187" t="s">
        <v>902</v>
      </c>
      <c r="CM31" s="2188"/>
      <c r="CN31" s="2188"/>
      <c r="CO31" s="2188"/>
      <c r="CP31" s="2188"/>
      <c r="CQ31" s="2188"/>
      <c r="CR31" s="2188"/>
      <c r="CS31" s="2188"/>
      <c r="CT31" s="2188"/>
      <c r="CU31" s="2188"/>
      <c r="CV31" s="2188"/>
      <c r="CW31" s="2188"/>
      <c r="CX31" s="2188"/>
      <c r="CY31" s="2188"/>
      <c r="CZ31" s="2188"/>
      <c r="DA31" s="2188"/>
      <c r="DB31" s="2188"/>
      <c r="DC31" s="2188"/>
      <c r="DD31" s="2188"/>
      <c r="DE31" s="2188"/>
      <c r="DF31" s="2188"/>
      <c r="DG31" s="2188"/>
      <c r="DH31" s="2188"/>
      <c r="DI31" s="2188"/>
      <c r="DJ31" s="2188"/>
      <c r="DK31" s="2188"/>
      <c r="DL31" s="2188"/>
      <c r="DM31" s="2188"/>
      <c r="DN31" s="2188"/>
      <c r="DO31" s="2188"/>
      <c r="DP31" s="2188"/>
      <c r="DQ31" s="2188"/>
      <c r="DR31" s="2188"/>
      <c r="DS31" s="2188"/>
      <c r="DT31" s="2188"/>
      <c r="DU31" s="2188"/>
      <c r="DV31" s="2188"/>
      <c r="DW31" s="2188"/>
      <c r="DX31" s="2188"/>
      <c r="DY31" s="2188"/>
      <c r="DZ31" s="2188"/>
      <c r="EA31" s="2188"/>
      <c r="EB31" s="2188"/>
      <c r="EC31" s="2188"/>
      <c r="ED31" s="2188"/>
      <c r="EE31" s="2188"/>
      <c r="EF31" s="2188"/>
      <c r="EG31" s="2188"/>
      <c r="EH31" s="2188"/>
      <c r="EI31" s="2188"/>
      <c r="EJ31" s="2188"/>
      <c r="EK31" s="2188"/>
      <c r="EL31" s="2188"/>
      <c r="EM31" s="2188"/>
      <c r="EN31" s="2188"/>
      <c r="EO31" s="2188"/>
      <c r="EP31" s="2188"/>
      <c r="EQ31" s="2188"/>
      <c r="ER31" s="2188"/>
      <c r="ES31" s="2188"/>
      <c r="ET31" s="2188"/>
      <c r="EU31" s="2188"/>
      <c r="EV31" s="2188"/>
      <c r="EW31" s="2188"/>
      <c r="EX31" s="2188"/>
      <c r="EY31" s="2188"/>
      <c r="EZ31" s="2188"/>
      <c r="FA31" s="2188"/>
      <c r="FB31" s="2188"/>
      <c r="FC31" s="2188"/>
      <c r="FD31" s="2188"/>
      <c r="FE31" s="2188"/>
      <c r="FF31" s="2188"/>
      <c r="FG31" s="2188"/>
      <c r="FH31" s="2188"/>
      <c r="FI31" s="2188"/>
      <c r="FJ31" s="2188"/>
      <c r="FK31" s="2188"/>
      <c r="FL31" s="2188"/>
      <c r="FM31" s="2188"/>
      <c r="FN31" s="2188"/>
      <c r="FO31" s="2188"/>
      <c r="FP31" s="2188"/>
      <c r="FQ31" s="2188"/>
      <c r="FR31" s="2188"/>
      <c r="FS31" s="2188"/>
      <c r="FT31" s="2188"/>
      <c r="FU31" s="2188"/>
      <c r="FV31" s="2188"/>
      <c r="FW31" s="2188"/>
      <c r="FX31" s="2188"/>
      <c r="FY31" s="2188"/>
      <c r="FZ31" s="2188"/>
      <c r="GA31" s="2188"/>
      <c r="GB31" s="2188"/>
      <c r="GC31" s="2188"/>
      <c r="GD31" s="2188"/>
      <c r="GE31" s="2188"/>
      <c r="GF31" s="2188"/>
      <c r="GG31" s="2188"/>
      <c r="GH31" s="2188"/>
      <c r="GI31" s="2188"/>
      <c r="GJ31" s="2188"/>
      <c r="GK31" s="2188"/>
      <c r="GL31" s="2188"/>
      <c r="GM31" s="2188"/>
      <c r="GN31" s="2188"/>
      <c r="GO31" s="2188"/>
      <c r="GP31" s="2188"/>
      <c r="GQ31" s="2188"/>
      <c r="GR31" s="2188"/>
      <c r="GS31" s="2188"/>
      <c r="GT31" s="2188"/>
      <c r="GU31" s="2188"/>
      <c r="GV31" s="2188"/>
      <c r="GW31" s="2188"/>
      <c r="GX31" s="2188"/>
      <c r="GY31" s="2188"/>
      <c r="GZ31" s="2188"/>
      <c r="HA31" s="2188"/>
      <c r="HB31" s="2188"/>
      <c r="HC31" s="74"/>
      <c r="HD31" s="74"/>
      <c r="HE31" s="74"/>
      <c r="HF31" s="74"/>
      <c r="HG31" s="74"/>
      <c r="HH31" s="74"/>
      <c r="HI31" s="74"/>
      <c r="HJ31" s="74"/>
      <c r="HK31" s="74"/>
      <c r="HL31" s="74"/>
      <c r="HM31" s="74"/>
      <c r="HN31" s="74"/>
      <c r="HO31" s="74"/>
      <c r="HP31" s="74"/>
      <c r="HQ31" s="74"/>
      <c r="HR31" s="74"/>
      <c r="HS31" s="74"/>
      <c r="HT31" s="74"/>
      <c r="HU31" s="74"/>
      <c r="HV31" s="74"/>
      <c r="HW31" s="74"/>
      <c r="HX31" s="74"/>
      <c r="HY31" s="74"/>
      <c r="HZ31" s="74"/>
      <c r="IA31" s="74"/>
      <c r="IB31" s="74"/>
      <c r="IC31" s="74"/>
      <c r="ID31" s="74"/>
      <c r="IE31" s="74"/>
      <c r="IF31" s="74"/>
      <c r="IG31" s="74"/>
      <c r="IH31" s="74"/>
      <c r="II31" s="74"/>
      <c r="IJ31" s="74"/>
      <c r="IK31" s="74"/>
      <c r="IL31" s="74"/>
      <c r="IM31" s="74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330"/>
      <c r="LV31" s="330"/>
      <c r="LW31" s="330"/>
      <c r="LX31" s="330"/>
      <c r="LY31" s="330"/>
      <c r="LZ31" s="330"/>
      <c r="MA31" s="330"/>
      <c r="MB31" s="330"/>
      <c r="MC31" s="330"/>
      <c r="MD31" s="330"/>
      <c r="ME31" s="330"/>
      <c r="MF31" s="74"/>
      <c r="MG31" s="74"/>
      <c r="MH31" s="74"/>
      <c r="MI31" s="74"/>
      <c r="MJ31" s="74"/>
      <c r="MK31" s="74"/>
      <c r="ML31" s="74"/>
      <c r="MM31" s="74"/>
      <c r="MN31" s="74"/>
      <c r="MO31" s="74"/>
      <c r="MP31" s="74"/>
      <c r="MQ31" s="74"/>
      <c r="MR31" s="74"/>
      <c r="MS31" s="74"/>
      <c r="MT31" s="74"/>
      <c r="MU31" s="74"/>
      <c r="MV31" s="74"/>
      <c r="MW31" s="74"/>
      <c r="MX31" s="74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509"/>
      <c r="OA31" s="509"/>
      <c r="OB31" s="509"/>
      <c r="OC31" s="509"/>
      <c r="OD31" s="509"/>
      <c r="OE31" s="509"/>
      <c r="OF31" s="509"/>
      <c r="OG31" s="509"/>
      <c r="OH31" s="509"/>
      <c r="OI31" s="509"/>
      <c r="OJ31" s="509"/>
      <c r="OK31" s="509"/>
      <c r="OL31" s="509"/>
      <c r="OM31" s="509"/>
      <c r="ON31" s="509"/>
      <c r="OO31" s="509"/>
      <c r="OP31" s="509"/>
      <c r="OQ31" s="509"/>
      <c r="OR31" s="509"/>
      <c r="OS31" s="509"/>
      <c r="OT31" s="509"/>
      <c r="OU31" s="509"/>
      <c r="OV31" s="509"/>
      <c r="OW31" s="509"/>
      <c r="OX31" s="509"/>
      <c r="OY31" s="509"/>
      <c r="OZ31" s="509"/>
      <c r="PA31" s="509"/>
      <c r="PB31" s="509"/>
      <c r="PC31" s="509"/>
      <c r="PD31" s="509"/>
      <c r="PE31" s="509"/>
      <c r="PF31" s="509"/>
      <c r="PG31" s="509"/>
      <c r="PH31" s="509"/>
      <c r="PI31" s="509"/>
      <c r="PJ31" s="509"/>
      <c r="PK31" s="509"/>
      <c r="PL31" s="509"/>
      <c r="PM31" s="509"/>
      <c r="PN31" s="509"/>
      <c r="PO31" s="509"/>
      <c r="PP31" s="509"/>
      <c r="PQ31" s="509"/>
      <c r="PR31" s="509"/>
      <c r="PS31" s="509"/>
      <c r="PT31" s="509"/>
      <c r="PU31" s="509"/>
      <c r="PV31" s="509"/>
      <c r="PW31" s="509"/>
      <c r="PX31" s="509"/>
      <c r="PY31" s="509"/>
      <c r="PZ31" s="509"/>
      <c r="QA31" s="509"/>
      <c r="QB31" s="509"/>
      <c r="QC31" s="509"/>
      <c r="QD31" s="509"/>
      <c r="QE31" s="509"/>
      <c r="QF31" s="509"/>
      <c r="QG31" s="509"/>
      <c r="QH31" s="509"/>
      <c r="QI31" s="509"/>
      <c r="QJ31" s="509"/>
      <c r="QK31" s="509"/>
      <c r="QL31" s="509"/>
      <c r="QM31" s="509"/>
      <c r="QN31" s="509"/>
      <c r="QO31" s="509"/>
      <c r="QP31" s="509"/>
      <c r="QQ31" s="509"/>
      <c r="QR31" s="509"/>
      <c r="QS31" s="509"/>
      <c r="QT31" s="509"/>
      <c r="QU31" s="509"/>
      <c r="QV31" s="509"/>
      <c r="QW31" s="509"/>
      <c r="QX31" s="509"/>
      <c r="QY31" s="509"/>
      <c r="QZ31" s="509"/>
      <c r="RA31" s="509"/>
      <c r="RB31" s="509"/>
      <c r="RC31" s="509"/>
      <c r="RD31" s="509"/>
      <c r="RE31" s="509"/>
      <c r="RF31" s="509"/>
      <c r="RG31" s="509"/>
      <c r="RH31" s="509"/>
      <c r="RI31" s="509"/>
      <c r="RJ31" s="509"/>
      <c r="RK31" s="509"/>
      <c r="RL31" s="509"/>
      <c r="RM31" s="509"/>
      <c r="RN31" s="509"/>
      <c r="RO31" s="509"/>
      <c r="RP31" s="509"/>
      <c r="RQ31" s="509"/>
      <c r="RR31" s="509"/>
      <c r="RS31" s="509"/>
      <c r="RT31" s="509"/>
      <c r="RU31" s="509"/>
      <c r="RV31" s="509"/>
      <c r="RW31" s="509"/>
      <c r="RX31" s="509"/>
      <c r="RY31" s="509"/>
      <c r="RZ31" s="509"/>
      <c r="SA31" s="509"/>
      <c r="SB31" s="509"/>
      <c r="SC31" s="509"/>
      <c r="SD31" s="509"/>
      <c r="SE31" s="509"/>
      <c r="SF31" s="509"/>
      <c r="SG31" s="509"/>
      <c r="SH31" s="509"/>
      <c r="SI31" s="509"/>
      <c r="SJ31" s="509"/>
      <c r="SK31" s="509"/>
      <c r="SL31" s="509"/>
      <c r="SM31" s="509"/>
      <c r="SN31" s="509"/>
      <c r="SO31" s="509"/>
      <c r="SP31" s="509"/>
      <c r="SQ31" s="509"/>
      <c r="SR31" s="509"/>
      <c r="SS31" s="509"/>
      <c r="ST31" s="509"/>
      <c r="SU31" s="509"/>
      <c r="SV31" s="509"/>
      <c r="SW31" s="509"/>
      <c r="SX31" s="509"/>
      <c r="SY31" s="509"/>
      <c r="SZ31" s="509"/>
      <c r="TA31" s="509"/>
      <c r="TB31" s="509"/>
      <c r="TC31" s="509"/>
      <c r="TD31" s="509"/>
      <c r="TE31" s="509"/>
      <c r="TF31" s="509"/>
      <c r="TG31" s="509"/>
      <c r="TH31" s="509"/>
      <c r="TI31" s="509"/>
      <c r="TJ31" s="509"/>
      <c r="TK31" s="509"/>
      <c r="TL31" s="509"/>
    </row>
    <row r="32" spans="1:665" s="74" customFormat="1" ht="27.6" customHeight="1" thickBot="1">
      <c r="B32" s="2423" t="s">
        <v>331</v>
      </c>
      <c r="C32" s="2424"/>
      <c r="D32" s="2425"/>
      <c r="E32" s="1694"/>
      <c r="F32" s="1674"/>
      <c r="G32" s="1674"/>
      <c r="H32" s="1674"/>
      <c r="I32" s="1674"/>
      <c r="J32" s="1674"/>
      <c r="K32" s="1674"/>
      <c r="L32" s="1674"/>
      <c r="M32" s="1674"/>
      <c r="N32" s="1674"/>
      <c r="O32" s="1674"/>
      <c r="P32" s="1674"/>
      <c r="Q32" s="1674"/>
      <c r="R32" s="1674"/>
      <c r="S32" s="1674"/>
      <c r="T32" s="1674"/>
      <c r="U32" s="1674"/>
      <c r="V32" s="1674"/>
      <c r="W32" s="1674"/>
      <c r="X32" s="1674"/>
      <c r="Y32" s="1674"/>
      <c r="Z32" s="1643"/>
      <c r="AA32" s="1638"/>
      <c r="AB32" s="1638"/>
      <c r="AC32" s="1638"/>
      <c r="AD32" s="1638"/>
      <c r="AE32" s="1638"/>
      <c r="AF32" s="1638"/>
      <c r="AG32" s="1638"/>
      <c r="AH32" s="1638"/>
      <c r="AI32" s="1638"/>
      <c r="AJ32" s="1638"/>
      <c r="AK32" s="1634"/>
      <c r="CX32" s="2159" t="s">
        <v>979</v>
      </c>
      <c r="CY32" s="2160"/>
      <c r="CZ32" s="2161"/>
      <c r="DA32" s="2162" t="s">
        <v>981</v>
      </c>
      <c r="DB32" s="2163"/>
      <c r="DC32" s="2163"/>
      <c r="DD32" s="2163"/>
      <c r="DE32" s="2163"/>
      <c r="DF32" s="2163"/>
      <c r="DG32" s="2163"/>
      <c r="DH32" s="2163"/>
      <c r="DI32" s="2163"/>
      <c r="DJ32" s="2163"/>
      <c r="DK32" s="2163"/>
      <c r="DL32" s="2163"/>
      <c r="DM32" s="2163"/>
      <c r="DN32" s="2163"/>
      <c r="DO32" s="2163"/>
      <c r="DP32" s="2163"/>
      <c r="DQ32" s="2163"/>
      <c r="DR32" s="2163"/>
      <c r="DS32" s="2163"/>
      <c r="DT32" s="2164"/>
      <c r="DU32" s="2159" t="s">
        <v>980</v>
      </c>
      <c r="DV32" s="2160"/>
      <c r="DW32" s="2161"/>
      <c r="DX32" s="2162" t="s">
        <v>982</v>
      </c>
      <c r="DY32" s="2163"/>
      <c r="DZ32" s="2163"/>
      <c r="EA32" s="2163"/>
      <c r="EB32" s="2163"/>
      <c r="EC32" s="2163"/>
      <c r="ED32" s="2163"/>
      <c r="EE32" s="2163"/>
      <c r="EF32" s="2163"/>
      <c r="EG32" s="2163"/>
      <c r="EH32" s="2163"/>
      <c r="EI32" s="2163"/>
      <c r="EJ32" s="2163"/>
      <c r="EK32" s="2163"/>
      <c r="EL32" s="2163"/>
      <c r="EM32" s="2164"/>
      <c r="EO32" s="2159" t="s">
        <v>987</v>
      </c>
      <c r="EP32" s="2160"/>
      <c r="EQ32" s="2161"/>
      <c r="ER32" s="2162" t="s">
        <v>986</v>
      </c>
      <c r="ES32" s="2163"/>
      <c r="ET32" s="2163"/>
      <c r="EU32" s="2163"/>
      <c r="EV32" s="2163"/>
      <c r="EW32" s="2163"/>
      <c r="EX32" s="2163"/>
      <c r="EY32" s="2163"/>
      <c r="EZ32" s="2163"/>
      <c r="FA32" s="2163"/>
      <c r="FB32" s="2163"/>
      <c r="FC32" s="2163"/>
      <c r="FD32" s="2163"/>
      <c r="FE32" s="2163"/>
      <c r="FF32" s="2163"/>
      <c r="FG32" s="2163"/>
      <c r="FH32" s="2163"/>
      <c r="FI32" s="2163"/>
      <c r="FJ32" s="2163"/>
      <c r="FK32" s="2163"/>
      <c r="FL32" s="2163"/>
      <c r="FM32" s="2163"/>
      <c r="FN32" s="2163"/>
      <c r="FO32" s="2163"/>
      <c r="FP32" s="2163"/>
      <c r="FQ32" s="2163"/>
      <c r="FR32" s="2163"/>
      <c r="FS32" s="2163"/>
      <c r="FT32" s="2164"/>
    </row>
    <row r="33" spans="1:450" s="74" customFormat="1" ht="27.6" customHeight="1" thickBot="1">
      <c r="B33" s="2426"/>
      <c r="C33" s="2427"/>
      <c r="D33" s="2428"/>
      <c r="E33" s="1694"/>
      <c r="F33" s="1674"/>
      <c r="G33" s="1674"/>
      <c r="H33" s="1674"/>
      <c r="I33" s="1674"/>
      <c r="J33" s="1674"/>
      <c r="K33" s="1674"/>
      <c r="L33" s="1674"/>
      <c r="M33" s="1674"/>
      <c r="N33" s="1674"/>
      <c r="O33" s="1674"/>
      <c r="P33" s="1674"/>
      <c r="Q33" s="1674"/>
      <c r="R33" s="1674"/>
      <c r="S33" s="1674"/>
      <c r="T33" s="1674"/>
      <c r="U33" s="1674"/>
      <c r="V33" s="1674"/>
      <c r="W33" s="1674"/>
      <c r="X33" s="1674"/>
      <c r="Y33" s="1674"/>
      <c r="Z33" s="1643"/>
      <c r="AA33" s="1638"/>
      <c r="AB33" s="1638"/>
      <c r="AC33" s="1638"/>
      <c r="AD33" s="1638"/>
      <c r="AE33" s="1638"/>
      <c r="AF33" s="1638"/>
      <c r="AG33" s="1638"/>
      <c r="AH33" s="1638"/>
      <c r="AI33" s="1638"/>
      <c r="AJ33" s="1638"/>
      <c r="AK33" s="1634"/>
      <c r="CX33" s="2491" t="s">
        <v>783</v>
      </c>
      <c r="CY33" s="2492"/>
      <c r="CZ33" s="2492"/>
      <c r="DA33" s="2492"/>
      <c r="DB33" s="2492"/>
      <c r="DC33" s="2493"/>
      <c r="DD33" s="2494" t="s">
        <v>840</v>
      </c>
      <c r="DE33" s="2495"/>
      <c r="DF33" s="2495"/>
      <c r="DG33" s="2495"/>
      <c r="DH33" s="2495"/>
      <c r="DI33" s="2495"/>
      <c r="DJ33" s="2495"/>
      <c r="DK33" s="2495"/>
      <c r="DL33" s="2495"/>
      <c r="DM33" s="2495"/>
      <c r="DN33" s="2495"/>
      <c r="DO33" s="2495"/>
      <c r="DP33" s="2495"/>
      <c r="DQ33" s="2495"/>
      <c r="DR33" s="2495"/>
      <c r="DS33" s="2495"/>
      <c r="DT33" s="2496"/>
      <c r="DU33" s="2491" t="s">
        <v>783</v>
      </c>
      <c r="DV33" s="2492"/>
      <c r="DW33" s="2492"/>
      <c r="DX33" s="2492"/>
      <c r="DY33" s="2492"/>
      <c r="DZ33" s="2493"/>
      <c r="EA33" s="2494" t="s">
        <v>840</v>
      </c>
      <c r="EB33" s="2495"/>
      <c r="EC33" s="2495"/>
      <c r="ED33" s="2495"/>
      <c r="EE33" s="2495"/>
      <c r="EF33" s="2495"/>
      <c r="EG33" s="2495"/>
      <c r="EH33" s="2495"/>
      <c r="EI33" s="2495"/>
      <c r="EJ33" s="2495"/>
      <c r="EK33" s="2495"/>
      <c r="EL33" s="2495"/>
      <c r="EM33" s="2495"/>
      <c r="EO33" s="2491" t="s">
        <v>783</v>
      </c>
      <c r="EP33" s="2492"/>
      <c r="EQ33" s="2492"/>
      <c r="ER33" s="2492"/>
      <c r="ES33" s="2492"/>
      <c r="ET33" s="2493"/>
      <c r="EU33" s="2494" t="s">
        <v>840</v>
      </c>
      <c r="EV33" s="2495"/>
      <c r="EW33" s="2495"/>
      <c r="EX33" s="2495"/>
      <c r="EY33" s="2495"/>
      <c r="EZ33" s="2495"/>
      <c r="FA33" s="2495"/>
      <c r="FB33" s="2495"/>
      <c r="FC33" s="2495"/>
      <c r="FD33" s="2495"/>
      <c r="FE33" s="2495"/>
      <c r="FF33" s="2495"/>
      <c r="FG33" s="2495"/>
      <c r="FH33" s="2495"/>
      <c r="FI33" s="2495"/>
      <c r="FJ33" s="2495"/>
      <c r="FK33" s="2495"/>
      <c r="FL33" s="2495"/>
      <c r="FM33" s="2495"/>
      <c r="FN33" s="2495"/>
      <c r="FO33" s="2495"/>
      <c r="FP33" s="2495"/>
      <c r="FQ33" s="2495"/>
      <c r="FR33" s="2495"/>
      <c r="FS33" s="2495"/>
      <c r="FT33" s="2496"/>
    </row>
    <row r="34" spans="1:450" s="74" customFormat="1" ht="27.6" customHeight="1">
      <c r="B34" s="330"/>
      <c r="C34" s="330"/>
      <c r="D34" s="1616"/>
      <c r="E34" s="1694"/>
      <c r="F34" s="1674"/>
      <c r="G34" s="1674"/>
      <c r="H34" s="1674"/>
      <c r="I34" s="1674"/>
      <c r="J34" s="1674"/>
      <c r="K34" s="1674"/>
      <c r="L34" s="1674"/>
      <c r="M34" s="1674"/>
      <c r="N34" s="1674"/>
      <c r="O34" s="1674"/>
      <c r="P34" s="1674"/>
      <c r="Q34" s="1674"/>
      <c r="R34" s="1674"/>
      <c r="S34" s="1674"/>
      <c r="T34" s="1674"/>
      <c r="U34" s="1674"/>
      <c r="V34" s="1674"/>
      <c r="W34" s="1674"/>
      <c r="X34" s="1674"/>
      <c r="Y34" s="1674"/>
      <c r="Z34" s="1633"/>
      <c r="AA34" s="330"/>
      <c r="AB34" s="330"/>
      <c r="AC34" s="330"/>
      <c r="AD34" s="330"/>
      <c r="AE34" s="330"/>
      <c r="AF34" s="330"/>
      <c r="AG34" s="330"/>
      <c r="AH34" s="330"/>
      <c r="AI34" s="330"/>
      <c r="AJ34" s="330"/>
      <c r="AK34" s="1634"/>
      <c r="CX34" s="1674"/>
      <c r="CY34" s="1674"/>
      <c r="CZ34" s="1674"/>
      <c r="DA34" s="1674"/>
      <c r="DB34" s="1674"/>
      <c r="DC34" s="1674"/>
      <c r="DD34" s="2479" t="s">
        <v>976</v>
      </c>
      <c r="DE34" s="2480"/>
      <c r="DF34" s="2480"/>
      <c r="DG34" s="2480"/>
      <c r="DH34" s="2481"/>
      <c r="DI34" s="2482" t="s">
        <v>977</v>
      </c>
      <c r="DJ34" s="2483"/>
      <c r="DK34" s="2483"/>
      <c r="DL34" s="2484"/>
      <c r="DU34" s="1674"/>
      <c r="DV34" s="1674"/>
      <c r="DW34" s="1674"/>
      <c r="DX34" s="1674"/>
      <c r="DY34" s="1674"/>
      <c r="DZ34" s="1674"/>
      <c r="EA34" s="2479" t="s">
        <v>976</v>
      </c>
      <c r="EB34" s="2480"/>
      <c r="EC34" s="2480"/>
      <c r="ED34" s="2480"/>
      <c r="EE34" s="2481"/>
      <c r="EF34" s="2482" t="s">
        <v>978</v>
      </c>
      <c r="EG34" s="2483"/>
      <c r="EH34" s="2483"/>
      <c r="EI34" s="2483"/>
      <c r="EJ34" s="2483"/>
      <c r="EK34" s="2483"/>
      <c r="EL34" s="2483"/>
      <c r="EM34" s="2483"/>
      <c r="EN34" s="2483"/>
      <c r="EO34" s="2484"/>
      <c r="EP34" s="1674"/>
      <c r="EQ34" s="1674"/>
      <c r="ER34" s="1674"/>
      <c r="ES34" s="1674"/>
      <c r="ET34" s="1674"/>
      <c r="EU34" s="2479" t="s">
        <v>976</v>
      </c>
      <c r="EV34" s="2480"/>
      <c r="EW34" s="2480"/>
      <c r="EX34" s="2480"/>
      <c r="EY34" s="2481"/>
      <c r="EZ34" s="2482" t="s">
        <v>977</v>
      </c>
      <c r="FA34" s="2483"/>
      <c r="FB34" s="2483"/>
      <c r="FC34" s="2484"/>
    </row>
    <row r="35" spans="1:450" s="1674" customFormat="1" ht="27.6" customHeight="1">
      <c r="D35" s="1675"/>
      <c r="E35" s="1697" t="s">
        <v>873</v>
      </c>
      <c r="Z35" s="1677"/>
      <c r="AK35" s="1677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1608">
        <v>300</v>
      </c>
      <c r="CT35" s="1608">
        <v>300</v>
      </c>
      <c r="CU35" s="1608">
        <v>300</v>
      </c>
      <c r="CV35" s="1608">
        <v>300</v>
      </c>
      <c r="CW35" s="1608">
        <v>300</v>
      </c>
      <c r="CX35" s="1608">
        <v>250</v>
      </c>
      <c r="CY35" s="1608">
        <v>250</v>
      </c>
      <c r="CZ35" s="1608">
        <v>250</v>
      </c>
      <c r="DA35" s="1608">
        <v>250</v>
      </c>
      <c r="DB35" s="1608">
        <v>250</v>
      </c>
      <c r="DC35" s="1608">
        <v>250</v>
      </c>
      <c r="DD35" s="1608">
        <v>250</v>
      </c>
      <c r="DE35" s="1608">
        <v>250</v>
      </c>
      <c r="DF35" s="1608">
        <v>250</v>
      </c>
      <c r="DG35" s="1608">
        <v>250</v>
      </c>
      <c r="DH35" s="1608">
        <v>250</v>
      </c>
      <c r="DI35" s="1608">
        <v>250</v>
      </c>
      <c r="DJ35" s="1608">
        <v>250</v>
      </c>
      <c r="DK35" s="1608">
        <v>250</v>
      </c>
      <c r="DL35" s="1608">
        <v>250</v>
      </c>
      <c r="DM35" s="1608">
        <v>250</v>
      </c>
      <c r="DN35" s="1608">
        <v>250</v>
      </c>
      <c r="DO35" s="1608">
        <v>250</v>
      </c>
      <c r="DP35" s="1608">
        <v>250</v>
      </c>
      <c r="DQ35" s="1608">
        <v>250</v>
      </c>
      <c r="DR35" s="1608">
        <v>250</v>
      </c>
      <c r="DS35" s="1608">
        <v>250</v>
      </c>
      <c r="DT35" s="1608">
        <v>250</v>
      </c>
      <c r="DU35" s="1608">
        <v>250</v>
      </c>
      <c r="DV35" s="1608">
        <v>250</v>
      </c>
      <c r="DW35" s="1608">
        <v>250</v>
      </c>
      <c r="DX35" s="1608">
        <v>250</v>
      </c>
      <c r="DY35" s="1608">
        <v>250</v>
      </c>
      <c r="DZ35" s="1608">
        <v>250</v>
      </c>
      <c r="EA35" s="1608">
        <v>250</v>
      </c>
      <c r="EB35" s="1608">
        <v>250</v>
      </c>
      <c r="EC35" s="1608">
        <v>250</v>
      </c>
      <c r="ED35" s="1608">
        <v>250</v>
      </c>
      <c r="EE35" s="1608">
        <v>250</v>
      </c>
      <c r="EF35" s="1608">
        <v>250</v>
      </c>
      <c r="EG35" s="1608">
        <v>250</v>
      </c>
      <c r="EH35" s="1608">
        <v>250</v>
      </c>
      <c r="EI35" s="1608">
        <v>250</v>
      </c>
      <c r="EJ35" s="1608">
        <v>250</v>
      </c>
      <c r="EK35" s="1608">
        <v>250</v>
      </c>
      <c r="EL35" s="1608">
        <v>250</v>
      </c>
      <c r="EM35" s="1608">
        <v>250</v>
      </c>
      <c r="EN35" s="1608">
        <v>250</v>
      </c>
      <c r="EO35" s="1608">
        <v>250</v>
      </c>
      <c r="EP35" s="1608">
        <v>250</v>
      </c>
      <c r="EQ35" s="1608">
        <v>250</v>
      </c>
      <c r="ER35" s="1608">
        <v>250</v>
      </c>
      <c r="ES35" s="1608">
        <v>250</v>
      </c>
      <c r="ET35" s="1608">
        <v>250</v>
      </c>
      <c r="EU35" s="1608">
        <v>250</v>
      </c>
      <c r="EV35" s="1608">
        <v>250</v>
      </c>
      <c r="EW35" s="1608">
        <v>250</v>
      </c>
      <c r="EX35" s="1608">
        <v>250</v>
      </c>
      <c r="EY35" s="1608">
        <v>250</v>
      </c>
      <c r="EZ35" s="1608">
        <v>250</v>
      </c>
      <c r="FA35" s="1608">
        <v>250</v>
      </c>
      <c r="FB35" s="1608">
        <v>250</v>
      </c>
      <c r="FC35" s="1608">
        <v>250</v>
      </c>
      <c r="FD35" s="1608">
        <v>250</v>
      </c>
      <c r="FE35" s="1608">
        <v>250</v>
      </c>
      <c r="FF35" s="1608">
        <v>250</v>
      </c>
      <c r="FG35" s="1608">
        <v>250</v>
      </c>
      <c r="FH35" s="1608">
        <v>250</v>
      </c>
      <c r="FI35" s="1608">
        <v>250</v>
      </c>
      <c r="FJ35" s="1608">
        <v>250</v>
      </c>
      <c r="FK35" s="1608">
        <v>250</v>
      </c>
      <c r="FL35" s="1608">
        <v>250</v>
      </c>
      <c r="FM35" s="1608">
        <v>250</v>
      </c>
      <c r="FN35" s="1608">
        <v>250</v>
      </c>
      <c r="FO35" s="1608">
        <v>250</v>
      </c>
      <c r="FP35" s="1608">
        <v>250</v>
      </c>
      <c r="FQ35" s="1608">
        <v>250</v>
      </c>
      <c r="FR35" s="1608">
        <v>250</v>
      </c>
      <c r="FS35" s="1608">
        <v>250</v>
      </c>
      <c r="FT35" s="1608">
        <v>250</v>
      </c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</row>
    <row r="36" spans="1:450" s="74" customFormat="1" ht="27.6" customHeight="1">
      <c r="B36" s="330"/>
      <c r="C36" s="330"/>
      <c r="D36" s="1616"/>
      <c r="E36" s="1694"/>
      <c r="F36" s="1674"/>
      <c r="G36" s="1674"/>
      <c r="H36" s="1674"/>
      <c r="I36" s="1674"/>
      <c r="J36" s="1674"/>
      <c r="K36" s="1674"/>
      <c r="L36" s="1674"/>
      <c r="M36" s="1674"/>
      <c r="N36" s="1674"/>
      <c r="O36" s="1674"/>
      <c r="P36" s="1674"/>
      <c r="Q36" s="1674"/>
      <c r="R36" s="1674"/>
      <c r="S36" s="1674"/>
      <c r="T36" s="1674"/>
      <c r="U36" s="1674"/>
      <c r="V36" s="1674"/>
      <c r="W36" s="1674"/>
      <c r="X36" s="1674"/>
      <c r="Y36" s="1674"/>
      <c r="Z36" s="1633"/>
      <c r="AA36" s="330"/>
      <c r="AB36" s="330"/>
      <c r="AC36" s="330"/>
      <c r="AD36" s="330"/>
      <c r="AE36" s="330"/>
      <c r="AF36" s="330"/>
      <c r="AG36" s="330"/>
      <c r="AH36" s="330"/>
      <c r="AI36" s="330"/>
      <c r="AJ36" s="330"/>
      <c r="AK36" s="1634"/>
      <c r="IB36" s="330"/>
      <c r="IC36" s="330"/>
      <c r="ID36" s="330"/>
      <c r="IE36" s="330"/>
      <c r="IF36" s="330"/>
      <c r="KM36" s="330"/>
      <c r="KN36" s="330"/>
      <c r="KO36" s="330"/>
    </row>
    <row r="37" spans="1:450" s="74" customFormat="1" ht="27.6" customHeight="1" thickBot="1">
      <c r="A37" s="509"/>
      <c r="B37" s="509"/>
      <c r="C37" s="509"/>
      <c r="D37" s="1646"/>
      <c r="E37" s="1696"/>
      <c r="F37" s="1674"/>
      <c r="G37" s="1674"/>
      <c r="H37" s="1674"/>
      <c r="I37" s="1674"/>
      <c r="J37" s="1674"/>
      <c r="K37" s="1674"/>
      <c r="L37" s="1674"/>
      <c r="M37" s="1674"/>
      <c r="N37" s="1674"/>
      <c r="O37" s="1674"/>
      <c r="P37" s="1674"/>
      <c r="Q37" s="1674"/>
      <c r="R37" s="1674"/>
      <c r="S37" s="1674"/>
      <c r="T37" s="1674"/>
      <c r="U37" s="1674"/>
      <c r="V37" s="1674"/>
      <c r="W37" s="1674"/>
      <c r="X37" s="1674"/>
      <c r="Y37" s="1674"/>
      <c r="CL37" s="2185" t="s">
        <v>903</v>
      </c>
      <c r="CM37" s="2186"/>
      <c r="CN37" s="2186"/>
      <c r="CO37" s="2186"/>
      <c r="CP37" s="2186"/>
      <c r="CQ37" s="2186"/>
      <c r="CR37" s="2186"/>
      <c r="CS37" s="2186"/>
      <c r="CT37" s="2186"/>
      <c r="CU37" s="2186"/>
      <c r="CV37" s="2186"/>
      <c r="CW37" s="2186"/>
      <c r="CX37" s="2186"/>
      <c r="CY37" s="2186"/>
      <c r="CZ37" s="2186"/>
      <c r="DA37" s="2186"/>
      <c r="DB37" s="2186"/>
      <c r="DC37" s="2186"/>
      <c r="DD37" s="2186"/>
      <c r="DE37" s="2186"/>
      <c r="DF37" s="2186"/>
      <c r="DG37" s="2186"/>
      <c r="DH37" s="2186"/>
      <c r="DI37" s="2186"/>
      <c r="DJ37" s="2186"/>
      <c r="DK37" s="2186"/>
      <c r="DL37" s="2186"/>
      <c r="DM37" s="2186"/>
      <c r="DN37" s="2186"/>
      <c r="DO37" s="2186"/>
      <c r="DP37" s="2186"/>
      <c r="DQ37" s="2186"/>
      <c r="DR37" s="2186"/>
      <c r="DS37" s="2186"/>
      <c r="DT37" s="2186"/>
      <c r="DU37" s="2186"/>
      <c r="DV37" s="2186"/>
      <c r="DW37" s="2186"/>
      <c r="DX37" s="2186"/>
      <c r="DY37" s="2186"/>
      <c r="DZ37" s="2186"/>
      <c r="EA37" s="2186"/>
      <c r="EB37" s="2186"/>
      <c r="EC37" s="2186"/>
      <c r="ED37" s="2186"/>
      <c r="EE37" s="2186"/>
      <c r="EF37" s="2186"/>
      <c r="EG37" s="2186"/>
      <c r="EH37" s="2186"/>
      <c r="EI37" s="2186"/>
      <c r="EJ37" s="2186"/>
      <c r="EK37" s="2186"/>
      <c r="EL37" s="2186"/>
      <c r="EM37" s="2186"/>
      <c r="EN37" s="2186"/>
      <c r="EO37" s="2186"/>
      <c r="EP37" s="2186"/>
      <c r="EQ37" s="2186"/>
      <c r="ER37" s="2186"/>
      <c r="ES37" s="2186"/>
      <c r="ET37" s="2186"/>
      <c r="EU37" s="2186"/>
      <c r="EV37" s="2186"/>
      <c r="EW37" s="2186"/>
      <c r="EX37" s="2186"/>
      <c r="EY37" s="2186"/>
      <c r="EZ37" s="2186"/>
      <c r="FA37" s="2186"/>
      <c r="FB37" s="2186"/>
      <c r="FC37" s="2186"/>
      <c r="FD37" s="2186"/>
      <c r="FE37" s="2186"/>
      <c r="FF37" s="2186"/>
      <c r="FG37" s="2186"/>
      <c r="FH37" s="2186"/>
      <c r="FI37" s="2186"/>
      <c r="FJ37" s="2186"/>
      <c r="FK37" s="2186"/>
      <c r="FL37" s="2186"/>
      <c r="FM37" s="2186"/>
      <c r="FN37" s="2186"/>
      <c r="FO37" s="2186"/>
      <c r="FP37" s="2186"/>
      <c r="FQ37" s="2186"/>
      <c r="FR37" s="2186"/>
      <c r="FS37" s="2186"/>
      <c r="FT37" s="2186"/>
      <c r="FU37" s="2186"/>
      <c r="FV37" s="2186"/>
      <c r="FW37" s="2186"/>
      <c r="FX37" s="2186"/>
      <c r="FY37" s="2186"/>
      <c r="FZ37" s="2186"/>
      <c r="GA37" s="2186"/>
      <c r="GB37" s="2186"/>
      <c r="GC37" s="2186"/>
      <c r="GD37" s="2186"/>
      <c r="GE37" s="2186"/>
      <c r="GF37" s="2186"/>
      <c r="GG37" s="2186"/>
      <c r="GH37" s="2186"/>
      <c r="GI37" s="2186"/>
      <c r="GJ37" s="2186"/>
      <c r="GK37" s="2186"/>
      <c r="GL37" s="2186"/>
      <c r="GM37" s="2186"/>
      <c r="GN37" s="2186"/>
      <c r="GO37" s="2186"/>
      <c r="GP37" s="2186"/>
      <c r="GQ37" s="2186"/>
      <c r="GR37" s="2186"/>
      <c r="GS37" s="2186"/>
      <c r="GT37" s="2186"/>
      <c r="GU37" s="2186"/>
      <c r="GV37" s="2186"/>
      <c r="GW37" s="2186"/>
      <c r="GX37" s="2186"/>
      <c r="GY37" s="2186"/>
      <c r="GZ37" s="2186"/>
      <c r="HA37" s="2186"/>
      <c r="HB37" s="2186"/>
      <c r="IA37" s="1840"/>
      <c r="IB37" s="1841"/>
    </row>
    <row r="38" spans="1:450" s="74" customFormat="1" ht="27.6" customHeight="1" thickBot="1">
      <c r="B38" s="2446" t="s">
        <v>332</v>
      </c>
      <c r="C38" s="2447"/>
      <c r="D38" s="2448"/>
      <c r="E38" s="1694"/>
      <c r="F38" s="1674"/>
      <c r="G38" s="1674"/>
      <c r="H38" s="1674"/>
      <c r="I38" s="1674"/>
      <c r="J38" s="1674"/>
      <c r="K38" s="1674"/>
      <c r="L38" s="1674"/>
      <c r="M38" s="1674"/>
      <c r="N38" s="1674"/>
      <c r="O38" s="1674"/>
      <c r="P38" s="1674"/>
      <c r="Q38" s="1674"/>
      <c r="R38" s="1674"/>
      <c r="S38" s="1674"/>
      <c r="T38" s="1674"/>
      <c r="U38" s="1674"/>
      <c r="V38" s="1674"/>
      <c r="W38" s="1674"/>
      <c r="X38" s="1674"/>
      <c r="Y38" s="1674"/>
      <c r="Z38" s="1633"/>
      <c r="AA38" s="330"/>
      <c r="AB38" s="330"/>
      <c r="AC38" s="330"/>
      <c r="AD38" s="330"/>
      <c r="AE38" s="330"/>
      <c r="AF38" s="330"/>
      <c r="AG38" s="330"/>
      <c r="AH38" s="330"/>
      <c r="AI38" s="330"/>
      <c r="AJ38" s="330"/>
      <c r="AK38" s="1634"/>
      <c r="DM38" s="2159" t="s">
        <v>979</v>
      </c>
      <c r="DN38" s="2160"/>
      <c r="DO38" s="2161"/>
      <c r="DP38" s="2170" t="s">
        <v>983</v>
      </c>
      <c r="DQ38" s="2171"/>
      <c r="DR38" s="2171"/>
      <c r="DS38" s="2171"/>
      <c r="DT38" s="2171"/>
      <c r="DU38" s="2171"/>
      <c r="DV38" s="2171"/>
      <c r="DW38" s="2171"/>
      <c r="DX38" s="2171"/>
      <c r="DY38" s="2171"/>
      <c r="DZ38" s="2171"/>
      <c r="EA38" s="2171"/>
      <c r="EB38" s="2171"/>
      <c r="EC38" s="2171"/>
      <c r="ED38" s="2171"/>
      <c r="EE38" s="2171"/>
      <c r="EF38" s="2171"/>
      <c r="EG38" s="2171"/>
      <c r="EH38" s="2171"/>
      <c r="EI38" s="2171"/>
      <c r="EJ38" s="2172"/>
      <c r="EP38" s="2159" t="s">
        <v>980</v>
      </c>
      <c r="EQ38" s="2160"/>
      <c r="ER38" s="2161"/>
      <c r="ES38" s="2162" t="s">
        <v>982</v>
      </c>
      <c r="ET38" s="2163"/>
      <c r="EU38" s="2163"/>
      <c r="EV38" s="2163"/>
      <c r="EW38" s="2163"/>
      <c r="EX38" s="2163"/>
      <c r="EY38" s="2163"/>
      <c r="EZ38" s="2163"/>
      <c r="FA38" s="2164"/>
      <c r="FB38" s="1834"/>
      <c r="FC38" s="1834"/>
      <c r="FD38" s="2159" t="s">
        <v>987</v>
      </c>
      <c r="FE38" s="2160"/>
      <c r="FF38" s="2161"/>
      <c r="FG38" s="2170" t="s">
        <v>986</v>
      </c>
      <c r="FH38" s="2171"/>
      <c r="FI38" s="2171"/>
      <c r="FJ38" s="2171"/>
      <c r="FK38" s="2171"/>
      <c r="FL38" s="2171"/>
      <c r="FM38" s="2171"/>
      <c r="FN38" s="2171"/>
      <c r="FO38" s="2171"/>
      <c r="FP38" s="2171"/>
      <c r="FQ38" s="2171"/>
      <c r="FR38" s="2171"/>
      <c r="FS38" s="2171"/>
      <c r="FT38" s="2171"/>
      <c r="FU38" s="2171"/>
      <c r="FV38" s="2171"/>
      <c r="FW38" s="2171"/>
      <c r="FX38" s="2171"/>
      <c r="FY38" s="2171"/>
      <c r="FZ38" s="2171"/>
      <c r="GA38" s="2171"/>
      <c r="GB38" s="2171"/>
      <c r="GC38" s="2171"/>
      <c r="GD38" s="2171"/>
      <c r="GE38" s="2171"/>
      <c r="GF38" s="2171"/>
      <c r="GG38" s="2171"/>
      <c r="GH38" s="2171"/>
      <c r="GI38" s="2171"/>
      <c r="GJ38" s="2171"/>
      <c r="GK38" s="2171"/>
      <c r="GL38" s="2171"/>
      <c r="GM38" s="2172"/>
    </row>
    <row r="39" spans="1:450" s="74" customFormat="1" ht="27.6" customHeight="1">
      <c r="B39" s="2449"/>
      <c r="C39" s="2450"/>
      <c r="D39" s="2451"/>
      <c r="E39" s="1694"/>
      <c r="F39" s="1674"/>
      <c r="G39" s="1674"/>
      <c r="H39" s="1674"/>
      <c r="I39" s="1674"/>
      <c r="J39" s="1674"/>
      <c r="K39" s="1674"/>
      <c r="L39" s="1674"/>
      <c r="M39" s="1674"/>
      <c r="N39" s="1674"/>
      <c r="O39" s="1674"/>
      <c r="P39" s="1674"/>
      <c r="Q39" s="1674"/>
      <c r="R39" s="1674"/>
      <c r="S39" s="1674"/>
      <c r="T39" s="1674"/>
      <c r="U39" s="1674"/>
      <c r="V39" s="1674"/>
      <c r="W39" s="1674"/>
      <c r="X39" s="1674"/>
      <c r="Y39" s="1674"/>
      <c r="Z39" s="1633"/>
      <c r="AA39" s="330"/>
      <c r="AB39" s="330"/>
      <c r="AC39" s="330"/>
      <c r="AD39" s="330"/>
      <c r="AE39" s="330"/>
      <c r="AF39" s="330"/>
      <c r="AG39" s="330"/>
      <c r="AH39" s="330"/>
      <c r="AI39" s="330"/>
      <c r="AJ39" s="330"/>
      <c r="AK39" s="1633"/>
      <c r="AL39" s="330"/>
      <c r="AM39" s="330"/>
      <c r="AN39" s="330"/>
      <c r="AO39" s="330"/>
      <c r="AP39" s="330"/>
      <c r="AQ39" s="330"/>
      <c r="AR39" s="330"/>
      <c r="AS39" s="330"/>
      <c r="AT39" s="330"/>
      <c r="AU39" s="330"/>
      <c r="DM39" s="2165" t="s">
        <v>984</v>
      </c>
      <c r="DN39" s="2166"/>
      <c r="DO39" s="2166"/>
      <c r="DP39" s="2166"/>
      <c r="DQ39" s="2166"/>
      <c r="DR39" s="2166"/>
      <c r="DS39" s="2166"/>
      <c r="DT39" s="2166"/>
      <c r="DU39" s="2166"/>
      <c r="DV39" s="2166"/>
      <c r="DW39" s="2166"/>
      <c r="DX39" s="2166"/>
      <c r="DY39" s="2166"/>
      <c r="DZ39" s="2166"/>
      <c r="EA39" s="2166"/>
      <c r="EB39" s="2166"/>
      <c r="EC39" s="2166"/>
      <c r="ED39" s="2166"/>
      <c r="EE39" s="2166"/>
      <c r="EF39" s="2166"/>
      <c r="EG39" s="2166"/>
      <c r="EH39" s="2166"/>
      <c r="EI39" s="2166"/>
      <c r="EJ39" s="2167"/>
      <c r="EP39" s="2165" t="s">
        <v>985</v>
      </c>
      <c r="EQ39" s="2166"/>
      <c r="ER39" s="2166"/>
      <c r="ES39" s="2166"/>
      <c r="ET39" s="2166"/>
      <c r="EU39" s="2166"/>
      <c r="EV39" s="2166"/>
      <c r="EW39" s="2166"/>
      <c r="EX39" s="2166"/>
      <c r="EY39" s="2166"/>
      <c r="EZ39" s="2166"/>
      <c r="FA39" s="2166"/>
      <c r="FB39" s="1834"/>
      <c r="FC39" s="1834"/>
      <c r="FD39" s="2165" t="s">
        <v>984</v>
      </c>
      <c r="FE39" s="2166"/>
      <c r="FF39" s="2166"/>
      <c r="FG39" s="2166"/>
      <c r="FH39" s="2166"/>
      <c r="FI39" s="2166"/>
      <c r="FJ39" s="2166"/>
      <c r="FK39" s="2166"/>
      <c r="FL39" s="2166"/>
      <c r="FM39" s="2166"/>
      <c r="FN39" s="2166"/>
      <c r="FO39" s="2166"/>
      <c r="FP39" s="2166"/>
      <c r="FQ39" s="2166"/>
      <c r="FR39" s="2166"/>
      <c r="FS39" s="2166"/>
      <c r="FT39" s="2166"/>
      <c r="FU39" s="2166"/>
      <c r="FV39" s="2166"/>
      <c r="FW39" s="2166"/>
      <c r="FX39" s="2166"/>
      <c r="FY39" s="2166"/>
      <c r="FZ39" s="2166"/>
      <c r="GA39" s="2166"/>
      <c r="GB39" s="2166"/>
      <c r="GC39" s="2166"/>
      <c r="GD39" s="2166"/>
      <c r="GE39" s="2166"/>
      <c r="GF39" s="2166"/>
      <c r="GG39" s="2166"/>
      <c r="GH39" s="2166"/>
      <c r="GI39" s="2166"/>
      <c r="GJ39" s="2166"/>
      <c r="GK39" s="2166"/>
      <c r="GL39" s="2166"/>
      <c r="GM39" s="2166"/>
    </row>
    <row r="40" spans="1:450" s="74" customFormat="1" ht="27.6" customHeight="1">
      <c r="D40" s="134"/>
      <c r="E40" s="1694"/>
      <c r="F40" s="1674"/>
      <c r="G40" s="1674"/>
      <c r="H40" s="1674"/>
      <c r="I40" s="1674"/>
      <c r="J40" s="1674"/>
      <c r="K40" s="1674"/>
      <c r="L40" s="1674"/>
      <c r="M40" s="1674"/>
      <c r="N40" s="1674"/>
      <c r="O40" s="1674"/>
      <c r="P40" s="1674"/>
      <c r="Q40" s="1674"/>
      <c r="R40" s="1674"/>
      <c r="S40" s="1674"/>
      <c r="T40" s="1674"/>
      <c r="U40" s="1674"/>
      <c r="V40" s="1674"/>
      <c r="W40" s="1674"/>
      <c r="X40" s="1674"/>
      <c r="Y40" s="1674"/>
      <c r="Z40" s="1634"/>
      <c r="AK40" s="1633"/>
      <c r="AL40" s="330"/>
      <c r="AM40" s="330"/>
      <c r="AN40" s="330"/>
      <c r="AO40" s="330"/>
      <c r="AP40" s="330"/>
      <c r="AQ40" s="330"/>
      <c r="AR40" s="330"/>
      <c r="AS40" s="330"/>
      <c r="AT40" s="330"/>
      <c r="AU40" s="330"/>
      <c r="DO40" s="1834"/>
      <c r="DR40" s="1834"/>
      <c r="DU40" s="1834"/>
      <c r="DX40" s="1834"/>
      <c r="EA40" s="1834"/>
      <c r="ED40" s="1834"/>
      <c r="EG40" s="1834"/>
      <c r="ER40" s="1834"/>
      <c r="FG40" s="1834"/>
      <c r="FO40" s="1834"/>
      <c r="FW40" s="1834"/>
      <c r="GF40" s="1834"/>
    </row>
    <row r="41" spans="1:450" s="1674" customFormat="1" ht="27.6" customHeight="1">
      <c r="D41" s="1675"/>
      <c r="E41" s="1697" t="s">
        <v>873</v>
      </c>
      <c r="Z41" s="1677"/>
      <c r="AK41" s="1677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</row>
    <row r="42" spans="1:450" s="508" customFormat="1" ht="27.6" customHeight="1" thickBot="1">
      <c r="D42" s="1618"/>
      <c r="E42" s="1700"/>
      <c r="F42" s="1674"/>
      <c r="G42" s="1674"/>
      <c r="H42" s="1674"/>
      <c r="I42" s="1674"/>
      <c r="J42" s="1674"/>
      <c r="K42" s="1674"/>
      <c r="L42" s="1674"/>
      <c r="M42" s="1674"/>
      <c r="N42" s="1674"/>
      <c r="O42" s="1674"/>
      <c r="P42" s="1674"/>
      <c r="Q42" s="1674"/>
      <c r="R42" s="1674"/>
      <c r="S42" s="1674"/>
      <c r="T42" s="1674"/>
      <c r="U42" s="1674"/>
      <c r="V42" s="1674"/>
      <c r="W42" s="1674"/>
      <c r="X42" s="1674"/>
      <c r="Y42" s="1674"/>
      <c r="Z42" s="330"/>
      <c r="AA42" s="330"/>
      <c r="AB42" s="330"/>
      <c r="AC42" s="330"/>
      <c r="AD42" s="330"/>
      <c r="AE42" s="330"/>
      <c r="AF42" s="330"/>
      <c r="AG42" s="330"/>
      <c r="AH42" s="330"/>
      <c r="AI42" s="330"/>
      <c r="AJ42" s="330"/>
      <c r="AK42" s="330"/>
      <c r="AL42" s="330"/>
      <c r="AM42" s="330"/>
      <c r="AN42" s="330"/>
      <c r="AO42" s="330"/>
      <c r="AP42" s="330"/>
      <c r="AQ42" s="330"/>
      <c r="AR42" s="330"/>
      <c r="AS42" s="330"/>
      <c r="AT42" s="330"/>
      <c r="AU42" s="330"/>
      <c r="AV42" s="330"/>
      <c r="AW42" s="330"/>
      <c r="AX42" s="330"/>
      <c r="AY42" s="330"/>
      <c r="AZ42" s="330"/>
      <c r="BA42" s="330"/>
      <c r="BB42" s="330"/>
      <c r="BC42" s="330"/>
      <c r="BD42" s="330"/>
      <c r="BE42" s="330"/>
      <c r="BF42" s="330"/>
      <c r="BG42" s="330"/>
      <c r="BH42" s="330"/>
      <c r="BI42" s="330"/>
      <c r="BJ42" s="330"/>
      <c r="BK42" s="330"/>
      <c r="BL42" s="330"/>
      <c r="BM42" s="330"/>
      <c r="BN42" s="330"/>
      <c r="BO42" s="330"/>
      <c r="BP42" s="330"/>
      <c r="BQ42" s="330"/>
      <c r="BR42" s="330"/>
      <c r="BS42" s="330"/>
      <c r="BT42" s="330"/>
      <c r="BU42" s="330"/>
      <c r="BV42" s="330"/>
      <c r="BW42" s="330"/>
      <c r="BX42" s="330"/>
      <c r="BY42" s="330"/>
      <c r="BZ42" s="2179" t="s">
        <v>813</v>
      </c>
      <c r="CA42" s="2180"/>
      <c r="CB42" s="2180"/>
      <c r="CC42" s="2180"/>
      <c r="CD42" s="2180"/>
      <c r="CE42" s="2180"/>
      <c r="CF42" s="2180"/>
      <c r="CG42" s="2180"/>
      <c r="CH42" s="2180"/>
      <c r="CI42" s="2180"/>
      <c r="CJ42" s="2180"/>
      <c r="CK42" s="2180"/>
      <c r="CL42" s="2180"/>
      <c r="CM42" s="2180"/>
      <c r="CN42" s="2180"/>
      <c r="CO42" s="2180"/>
      <c r="CP42" s="2180"/>
      <c r="CQ42" s="2180"/>
      <c r="CR42" s="2180"/>
      <c r="CS42" s="2180"/>
      <c r="CT42" s="2180"/>
      <c r="CU42" s="2180"/>
      <c r="CV42" s="2180"/>
      <c r="CW42" s="2180"/>
      <c r="CX42" s="2180"/>
      <c r="CY42" s="2180"/>
      <c r="CZ42" s="2180"/>
      <c r="DA42" s="2180"/>
      <c r="DB42" s="2180"/>
      <c r="DC42" s="2180"/>
      <c r="DD42" s="2180"/>
      <c r="DE42" s="2180"/>
      <c r="DF42" s="2180"/>
      <c r="DG42" s="2180"/>
      <c r="DH42" s="2180"/>
      <c r="DI42" s="2180"/>
      <c r="DJ42" s="2180"/>
      <c r="DK42" s="2180"/>
      <c r="DL42" s="2180"/>
      <c r="DM42" s="2180"/>
      <c r="DN42" s="2180"/>
      <c r="DO42" s="2180"/>
      <c r="DP42" s="2180"/>
      <c r="DQ42" s="2180"/>
      <c r="DR42" s="2180"/>
      <c r="DS42" s="2180"/>
      <c r="DT42" s="2180"/>
      <c r="DU42" s="2180"/>
      <c r="DV42" s="2180"/>
      <c r="DW42" s="2180"/>
      <c r="DX42" s="2180"/>
      <c r="DY42" s="2180"/>
      <c r="DZ42" s="2180"/>
      <c r="EA42" s="2180"/>
      <c r="EB42" s="2180"/>
      <c r="EC42" s="2180"/>
      <c r="ED42" s="2180"/>
      <c r="EE42" s="2180"/>
      <c r="EF42" s="2180"/>
      <c r="EG42" s="2180"/>
      <c r="EH42" s="2180"/>
      <c r="EI42" s="2180"/>
      <c r="EJ42" s="2180"/>
      <c r="EK42" s="2180"/>
      <c r="EL42" s="2180"/>
      <c r="EM42" s="2180"/>
      <c r="EN42" s="2180"/>
      <c r="EO42" s="2180"/>
      <c r="EP42" s="2180"/>
      <c r="EQ42" s="2180"/>
      <c r="ER42" s="2180"/>
      <c r="ES42" s="2180"/>
      <c r="ET42" s="2180"/>
      <c r="EU42" s="2180"/>
      <c r="EV42" s="2180"/>
      <c r="EW42" s="2180"/>
      <c r="EX42" s="2180"/>
      <c r="EY42" s="2180"/>
      <c r="EZ42" s="2180"/>
      <c r="FA42" s="2180"/>
      <c r="FB42" s="2180"/>
      <c r="FC42" s="2180"/>
      <c r="FD42" s="2180"/>
      <c r="FE42" s="2180"/>
      <c r="FF42" s="2180"/>
      <c r="FG42" s="2180"/>
      <c r="FH42" s="2180"/>
      <c r="FI42" s="2180"/>
      <c r="FJ42" s="2180"/>
      <c r="FK42" s="2180"/>
      <c r="FL42" s="2180"/>
      <c r="FM42" s="2180"/>
      <c r="FN42" s="2180"/>
      <c r="FO42" s="2180"/>
      <c r="FP42" s="2180"/>
      <c r="FQ42" s="2180"/>
      <c r="FR42" s="2180"/>
      <c r="FS42" s="2180"/>
      <c r="FT42" s="2180"/>
      <c r="FU42" s="2180"/>
      <c r="FV42" s="2180"/>
      <c r="FW42" s="2180"/>
      <c r="FX42" s="2180"/>
      <c r="FY42" s="2180"/>
      <c r="FZ42" s="2180"/>
      <c r="GA42" s="2180"/>
      <c r="GB42" s="2180"/>
      <c r="GC42" s="2180"/>
      <c r="GD42" s="2180"/>
      <c r="GE42" s="2180"/>
      <c r="GF42" s="2180"/>
      <c r="GG42" s="2180"/>
      <c r="GH42" s="2180"/>
      <c r="GI42" s="2180"/>
      <c r="GJ42" s="2180"/>
      <c r="GK42" s="2180"/>
      <c r="GL42" s="2180"/>
      <c r="GM42" s="2180"/>
      <c r="GN42" s="2180"/>
      <c r="GO42" s="2180"/>
      <c r="GP42" s="2180"/>
      <c r="GQ42" s="2180"/>
      <c r="GR42" s="2180"/>
      <c r="GS42" s="2180"/>
      <c r="GT42" s="2180"/>
      <c r="GU42" s="2180"/>
      <c r="GV42" s="2180"/>
      <c r="GW42" s="2180"/>
      <c r="GX42" s="2180"/>
      <c r="GY42" s="2180"/>
      <c r="GZ42" s="2180"/>
      <c r="HA42" s="2180"/>
      <c r="HB42" s="2180"/>
      <c r="HC42" s="2180"/>
      <c r="HD42" s="2180"/>
      <c r="HE42" s="2180"/>
      <c r="HF42" s="2180"/>
      <c r="HG42" s="2180"/>
      <c r="HH42" s="2180"/>
      <c r="HI42" s="2180"/>
      <c r="HJ42" s="2180"/>
      <c r="HK42" s="2180"/>
      <c r="HL42" s="2180"/>
      <c r="HM42" s="2180"/>
      <c r="HN42" s="2181"/>
      <c r="HO42" s="2168" t="s">
        <v>942</v>
      </c>
      <c r="HP42" s="2169"/>
      <c r="HQ42" s="2169"/>
      <c r="HR42" s="2169"/>
      <c r="HS42" s="2169"/>
      <c r="HT42" s="2169"/>
      <c r="HU42" s="2169"/>
      <c r="HV42" s="2169"/>
      <c r="HW42" s="2169"/>
      <c r="HX42" s="2169"/>
      <c r="HY42" s="2169"/>
      <c r="HZ42" s="2169"/>
      <c r="IA42" s="2169"/>
      <c r="IB42" s="2169"/>
      <c r="IC42" s="2169"/>
      <c r="ID42" s="2169"/>
      <c r="IE42" s="2169"/>
      <c r="IF42" s="2169"/>
      <c r="IG42" s="2169"/>
      <c r="IH42" s="2169"/>
      <c r="II42" s="2169"/>
      <c r="IJ42" s="2169"/>
      <c r="IK42" s="2169"/>
      <c r="IL42" s="2169"/>
      <c r="IM42" s="2169"/>
      <c r="IN42" s="2169"/>
      <c r="IO42" s="2169"/>
      <c r="IP42" s="2169"/>
      <c r="IQ42" s="2169"/>
      <c r="IR42" s="2169"/>
      <c r="IS42" s="2169"/>
      <c r="IT42" s="2169"/>
      <c r="IU42" s="2169"/>
      <c r="IV42" s="2169"/>
      <c r="IW42" s="2169"/>
      <c r="IX42" s="2169"/>
      <c r="IY42" s="2169"/>
      <c r="IZ42" s="2169"/>
      <c r="JA42" s="2169"/>
      <c r="JB42" s="2169"/>
      <c r="JC42" s="2169"/>
      <c r="JD42" s="2169"/>
      <c r="JE42" s="2169"/>
      <c r="JF42" s="2169"/>
      <c r="JG42" s="2169"/>
      <c r="JH42" s="2169"/>
      <c r="JI42" s="2169"/>
      <c r="JJ42" s="2169"/>
      <c r="JK42" s="2169"/>
      <c r="JL42" s="2169"/>
      <c r="JM42" s="2169"/>
      <c r="JN42" s="2169"/>
      <c r="JO42" s="2169"/>
      <c r="JP42" s="2169"/>
      <c r="JQ42" s="2169"/>
      <c r="JR42" s="2169"/>
      <c r="JS42" s="2169"/>
      <c r="JT42" s="2169"/>
      <c r="JU42" s="2169"/>
      <c r="JV42" s="2169"/>
      <c r="JW42" s="2169"/>
      <c r="JX42" s="2169"/>
      <c r="JY42" s="2169"/>
      <c r="JZ42" s="2169"/>
      <c r="KA42" s="2169"/>
      <c r="KB42" s="2169"/>
      <c r="KC42" s="2169"/>
      <c r="KD42" s="2169"/>
      <c r="KE42" s="2169"/>
      <c r="KF42" s="2169"/>
      <c r="KG42" s="2169"/>
      <c r="KH42" s="2169"/>
      <c r="KI42" s="2169"/>
      <c r="KJ42" s="2169"/>
      <c r="KK42" s="2169"/>
      <c r="KL42" s="2169"/>
      <c r="KM42" s="2169"/>
      <c r="KN42" s="2169"/>
      <c r="KO42" s="2169"/>
      <c r="KP42" s="2169"/>
      <c r="KQ42" s="2169"/>
      <c r="KR42" s="2169"/>
      <c r="KS42" s="2169"/>
      <c r="KT42" s="2169"/>
      <c r="KU42" s="2169"/>
      <c r="KV42" s="2169"/>
      <c r="KW42" s="2169"/>
      <c r="KX42" s="2169"/>
      <c r="KY42" s="2169"/>
      <c r="KZ42" s="2169"/>
      <c r="LA42" s="2169"/>
      <c r="LB42" s="2169"/>
      <c r="LC42" s="2169"/>
      <c r="LD42" s="2169"/>
      <c r="LE42" s="2169"/>
      <c r="LF42" s="2169"/>
      <c r="LG42" s="2169"/>
      <c r="LH42" s="2169"/>
      <c r="LI42" s="2169"/>
      <c r="LJ42" s="2169"/>
      <c r="LK42" s="2169"/>
      <c r="LL42" s="2169"/>
      <c r="LM42" s="2169"/>
      <c r="LN42" s="2169"/>
      <c r="LO42" s="2169"/>
      <c r="LP42" s="2169"/>
      <c r="LQ42" s="2169"/>
      <c r="LR42" s="2169"/>
      <c r="LS42" s="2169"/>
      <c r="LT42" s="2169"/>
      <c r="LU42" s="2169"/>
      <c r="LV42" s="2169"/>
      <c r="LW42" s="2169"/>
      <c r="LX42" s="2169"/>
      <c r="LY42" s="2169"/>
      <c r="LZ42" s="2169"/>
      <c r="MA42" s="2169"/>
      <c r="MB42" s="2169"/>
      <c r="MC42" s="2169"/>
      <c r="MD42" s="330"/>
      <c r="ME42" s="330"/>
      <c r="MF42" s="330"/>
      <c r="MG42" s="330"/>
      <c r="MH42" s="330"/>
      <c r="MI42" s="330"/>
      <c r="MJ42" s="330"/>
      <c r="MK42" s="330"/>
      <c r="ML42" s="330"/>
      <c r="MM42" s="330"/>
      <c r="MN42" s="330"/>
      <c r="MO42" s="330"/>
      <c r="MP42" s="330"/>
      <c r="MQ42" s="330"/>
      <c r="MR42" s="330"/>
      <c r="MS42" s="330"/>
      <c r="MT42" s="330"/>
      <c r="MU42" s="330"/>
      <c r="MV42" s="330"/>
      <c r="MW42" s="330"/>
      <c r="MX42" s="330"/>
      <c r="MY42" s="330"/>
      <c r="MZ42" s="330"/>
      <c r="NA42" s="330"/>
      <c r="NB42" s="330"/>
      <c r="NC42" s="330"/>
      <c r="ND42" s="330"/>
      <c r="NE42" s="330"/>
      <c r="NF42" s="330"/>
      <c r="NG42" s="330"/>
      <c r="NH42" s="330"/>
      <c r="NI42" s="330"/>
      <c r="NJ42" s="330"/>
      <c r="NK42" s="330"/>
      <c r="NL42" s="330"/>
      <c r="NM42" s="330"/>
      <c r="NN42" s="330"/>
      <c r="NO42" s="330"/>
      <c r="NP42" s="330"/>
      <c r="NQ42" s="330"/>
      <c r="NR42" s="330"/>
      <c r="NS42" s="330"/>
      <c r="NT42" s="330"/>
      <c r="NU42" s="330"/>
      <c r="NV42" s="330"/>
      <c r="NW42" s="330"/>
      <c r="NX42" s="330"/>
      <c r="NY42" s="330"/>
      <c r="NZ42" s="330"/>
      <c r="OA42" s="330"/>
      <c r="OB42" s="330"/>
      <c r="OC42" s="330"/>
      <c r="OD42" s="330"/>
      <c r="OE42" s="330"/>
      <c r="OF42" s="330"/>
      <c r="OG42" s="330"/>
      <c r="OH42" s="330"/>
      <c r="OI42" s="330"/>
      <c r="OJ42" s="330"/>
      <c r="OK42" s="330"/>
    </row>
    <row r="43" spans="1:450" s="74" customFormat="1" ht="27.6" customHeight="1" thickBot="1">
      <c r="B43" s="2423" t="s">
        <v>333</v>
      </c>
      <c r="C43" s="2424"/>
      <c r="D43" s="2424"/>
      <c r="E43" s="1694"/>
      <c r="F43" s="1674"/>
      <c r="G43" s="1674"/>
      <c r="H43" s="1674"/>
      <c r="I43" s="1674"/>
      <c r="J43" s="1674"/>
      <c r="K43" s="1674"/>
      <c r="L43" s="1674"/>
      <c r="M43" s="1674"/>
      <c r="N43" s="1674"/>
      <c r="O43" s="1674"/>
      <c r="P43" s="1674"/>
      <c r="Q43" s="1674"/>
      <c r="R43" s="1674"/>
      <c r="S43" s="1674"/>
      <c r="T43" s="1674"/>
      <c r="U43" s="1674"/>
      <c r="V43" s="1674"/>
      <c r="W43" s="1674"/>
      <c r="X43" s="1674"/>
      <c r="Y43" s="1674"/>
      <c r="Z43" s="1643"/>
      <c r="AA43" s="1638"/>
      <c r="AB43" s="1638"/>
      <c r="AC43" s="1638"/>
      <c r="AD43" s="1638"/>
      <c r="AE43" s="1638"/>
      <c r="AF43" s="1638"/>
      <c r="AG43" s="1638"/>
      <c r="AH43" s="1638"/>
      <c r="AI43" s="1638"/>
      <c r="AJ43" s="1638"/>
      <c r="AK43" s="1633"/>
      <c r="AL43" s="330"/>
      <c r="AM43" s="330"/>
      <c r="AN43" s="330"/>
      <c r="AO43" s="330"/>
      <c r="AP43" s="330"/>
      <c r="AQ43" s="330"/>
      <c r="AR43" s="330"/>
      <c r="AS43" s="330"/>
      <c r="AT43" s="330"/>
      <c r="AU43" s="330"/>
      <c r="AV43" s="330"/>
      <c r="AW43" s="330"/>
      <c r="AX43" s="330"/>
      <c r="AY43" s="330"/>
      <c r="AZ43" s="330"/>
      <c r="BA43" s="330"/>
      <c r="BB43" s="330"/>
      <c r="BC43" s="330"/>
      <c r="BD43" s="330"/>
      <c r="BE43" s="330"/>
      <c r="BF43" s="330"/>
      <c r="BG43" s="330"/>
      <c r="BH43" s="330"/>
      <c r="BI43" s="330"/>
      <c r="BJ43" s="330"/>
      <c r="BK43" s="330"/>
      <c r="BL43" s="330"/>
      <c r="BM43" s="330"/>
      <c r="BN43" s="330"/>
      <c r="BO43" s="330"/>
      <c r="BP43" s="330"/>
      <c r="BQ43" s="330"/>
      <c r="BR43" s="330"/>
      <c r="BS43" s="330"/>
      <c r="BT43" s="330"/>
      <c r="BU43" s="330"/>
      <c r="BV43" s="330"/>
      <c r="BW43" s="330"/>
      <c r="BX43" s="330"/>
      <c r="BY43" s="330"/>
      <c r="BZ43" s="330"/>
      <c r="CA43" s="330"/>
      <c r="CB43" s="330"/>
      <c r="CC43" s="330"/>
      <c r="CD43" s="330"/>
      <c r="CE43" s="330"/>
      <c r="CF43" s="330"/>
      <c r="CG43" s="330"/>
      <c r="CH43" s="330"/>
      <c r="CI43" s="330"/>
      <c r="CJ43" s="330"/>
      <c r="CK43" s="330"/>
      <c r="CL43" s="330"/>
      <c r="CM43" s="330"/>
      <c r="CN43" s="330"/>
      <c r="CO43" s="2141" t="s">
        <v>997</v>
      </c>
      <c r="CP43" s="2142"/>
      <c r="CQ43" s="2142"/>
      <c r="CR43" s="2143"/>
      <c r="CS43" s="2202" t="s">
        <v>996</v>
      </c>
      <c r="CT43" s="2203"/>
      <c r="CU43" s="2203"/>
      <c r="CV43" s="2203"/>
      <c r="CW43" s="2203"/>
      <c r="CX43" s="2203"/>
      <c r="CY43" s="2203"/>
      <c r="CZ43" s="2203"/>
      <c r="DA43" s="2203"/>
      <c r="DB43" s="2203"/>
      <c r="DC43" s="2203"/>
      <c r="DD43" s="2203"/>
      <c r="DE43" s="2203"/>
      <c r="DF43" s="2203"/>
      <c r="DG43" s="2203"/>
      <c r="DH43" s="2203"/>
      <c r="DI43" s="2203"/>
      <c r="DJ43" s="2203"/>
      <c r="DK43" s="2203"/>
      <c r="DL43" s="2203"/>
      <c r="DM43" s="2203"/>
      <c r="DN43" s="2203"/>
      <c r="DO43" s="2203"/>
      <c r="DP43" s="2204"/>
      <c r="DQ43" s="330"/>
      <c r="DR43" s="330"/>
      <c r="DS43" s="330"/>
      <c r="DT43" s="330"/>
      <c r="DU43" s="330"/>
      <c r="DV43" s="330"/>
      <c r="DW43" s="330"/>
      <c r="DX43" s="330"/>
      <c r="DY43" s="330"/>
      <c r="DZ43" s="330"/>
      <c r="EA43" s="330"/>
      <c r="EB43" s="330"/>
      <c r="EC43" s="330"/>
      <c r="ED43" s="330"/>
      <c r="EE43" s="330"/>
      <c r="EF43" s="330"/>
      <c r="EG43" s="330"/>
      <c r="EH43" s="330"/>
      <c r="EI43" s="330"/>
      <c r="EJ43" s="330"/>
      <c r="EK43" s="330"/>
      <c r="EL43" s="330"/>
      <c r="EM43" s="330"/>
      <c r="EN43" s="330"/>
      <c r="EO43" s="330"/>
      <c r="EP43" s="330"/>
      <c r="EQ43" s="330"/>
      <c r="ER43" s="330"/>
      <c r="ES43" s="330"/>
      <c r="ET43" s="330"/>
      <c r="EU43" s="330"/>
      <c r="EV43" s="330"/>
      <c r="EW43" s="330"/>
      <c r="EX43" s="330"/>
      <c r="EY43" s="330"/>
      <c r="EZ43" s="330"/>
      <c r="FA43" s="330"/>
      <c r="FB43" s="330"/>
      <c r="FC43" s="330"/>
      <c r="FD43" s="330"/>
      <c r="FE43" s="330"/>
      <c r="FF43" s="330"/>
      <c r="FG43" s="330"/>
      <c r="FH43" s="330"/>
      <c r="FI43" s="330"/>
      <c r="FJ43" s="330"/>
      <c r="FK43" s="2141" t="s">
        <v>1017</v>
      </c>
      <c r="FL43" s="2142"/>
      <c r="FM43" s="2142"/>
      <c r="FN43" s="2143"/>
      <c r="FO43" s="2144" t="s">
        <v>851</v>
      </c>
      <c r="FP43" s="2145"/>
      <c r="FQ43" s="2145"/>
      <c r="FR43" s="2145"/>
      <c r="FS43" s="2145"/>
      <c r="FT43" s="2145"/>
      <c r="FU43" s="2145"/>
      <c r="FV43" s="2145"/>
      <c r="FW43" s="2145"/>
      <c r="FX43" s="2145"/>
      <c r="FY43" s="2145"/>
      <c r="FZ43" s="2145"/>
      <c r="GA43" s="2145"/>
      <c r="GB43" s="2145"/>
      <c r="GC43" s="2145"/>
      <c r="GD43" s="2145"/>
      <c r="GE43" s="2145"/>
      <c r="GF43" s="2145"/>
      <c r="GG43" s="2145"/>
      <c r="GH43" s="2145"/>
      <c r="GI43" s="2145"/>
      <c r="GJ43" s="2145"/>
      <c r="GK43" s="2145"/>
      <c r="GL43" s="2145"/>
      <c r="GM43" s="2145"/>
      <c r="GN43" s="2145"/>
      <c r="GO43" s="2145"/>
      <c r="GP43" s="2145"/>
      <c r="GQ43" s="2145"/>
      <c r="GR43" s="2145"/>
      <c r="GS43" s="2145"/>
      <c r="GT43" s="2145"/>
      <c r="GU43" s="2145"/>
      <c r="GV43" s="2145"/>
      <c r="GW43" s="2145"/>
      <c r="GX43" s="2146"/>
      <c r="GY43" s="330"/>
      <c r="GZ43" s="330"/>
      <c r="HA43" s="330"/>
      <c r="HB43" s="330"/>
      <c r="HC43" s="330"/>
      <c r="HD43" s="330"/>
      <c r="HE43" s="330"/>
      <c r="HF43" s="330"/>
      <c r="HG43" s="330"/>
      <c r="HH43" s="330"/>
      <c r="HI43" s="330"/>
      <c r="HJ43" s="330"/>
      <c r="HK43" s="330"/>
      <c r="HL43" s="330"/>
      <c r="HM43" s="330"/>
      <c r="HN43" s="330"/>
      <c r="HO43" s="330"/>
      <c r="HP43" s="330"/>
      <c r="HQ43" s="330"/>
      <c r="HR43" s="330"/>
      <c r="HS43" s="330"/>
      <c r="HT43" s="330"/>
      <c r="HU43" s="330"/>
      <c r="HV43" s="330"/>
      <c r="HW43" s="330"/>
      <c r="HX43" s="330"/>
      <c r="HY43" s="330"/>
      <c r="HZ43" s="2141" t="s">
        <v>1028</v>
      </c>
      <c r="IA43" s="2142"/>
      <c r="IB43" s="2142"/>
      <c r="IC43" s="2143"/>
      <c r="ID43" s="2182" t="s">
        <v>1022</v>
      </c>
      <c r="IE43" s="2183"/>
      <c r="IF43" s="2183"/>
      <c r="IG43" s="2183"/>
      <c r="IH43" s="2183"/>
      <c r="II43" s="2183"/>
      <c r="IJ43" s="2183"/>
      <c r="IK43" s="2183"/>
      <c r="IL43" s="2183"/>
      <c r="IM43" s="2183"/>
      <c r="IN43" s="2183"/>
      <c r="IO43" s="2183"/>
      <c r="IP43" s="2183"/>
      <c r="IQ43" s="2183"/>
      <c r="IR43" s="2183"/>
      <c r="IS43" s="2183"/>
      <c r="IT43" s="2183"/>
      <c r="IU43" s="2183"/>
      <c r="IV43" s="2183"/>
      <c r="IW43" s="2183"/>
      <c r="IX43" s="2183"/>
      <c r="IY43" s="2183"/>
      <c r="IZ43" s="2183"/>
      <c r="JA43" s="2183"/>
      <c r="JB43" s="2183"/>
      <c r="JC43" s="2183"/>
      <c r="JD43" s="2183"/>
      <c r="JE43" s="2183"/>
      <c r="JF43" s="2183"/>
      <c r="JG43" s="2184"/>
      <c r="JH43" s="330"/>
      <c r="JI43" s="330"/>
      <c r="JJ43" s="330"/>
      <c r="JK43" s="330"/>
      <c r="JL43" s="330"/>
      <c r="JM43" s="330"/>
      <c r="JN43" s="330"/>
      <c r="JO43" s="330"/>
      <c r="JP43" s="330"/>
      <c r="JQ43" s="330"/>
      <c r="JR43" s="330"/>
      <c r="JS43" s="330"/>
      <c r="JT43" s="330"/>
      <c r="JU43" s="330"/>
      <c r="JV43" s="330"/>
      <c r="JW43" s="330"/>
      <c r="JX43" s="330"/>
      <c r="JY43" s="330"/>
      <c r="JZ43" s="330"/>
      <c r="KA43" s="330"/>
      <c r="KB43" s="330"/>
      <c r="KC43" s="330"/>
      <c r="KD43" s="330"/>
      <c r="KE43" s="330"/>
      <c r="KF43" s="330"/>
      <c r="KG43" s="2141" t="s">
        <v>1041</v>
      </c>
      <c r="KH43" s="2142"/>
      <c r="KI43" s="2142"/>
      <c r="KJ43" s="2143"/>
      <c r="KK43" s="2144" t="s">
        <v>1037</v>
      </c>
      <c r="KL43" s="2145"/>
      <c r="KM43" s="2145"/>
      <c r="KN43" s="2145"/>
      <c r="KO43" s="2145"/>
      <c r="KP43" s="2145"/>
      <c r="KQ43" s="2145"/>
      <c r="KR43" s="2145"/>
      <c r="KS43" s="2145"/>
      <c r="KT43" s="2145"/>
      <c r="KU43" s="2145"/>
      <c r="KV43" s="2145"/>
      <c r="KW43" s="2145"/>
      <c r="KX43" s="2145"/>
      <c r="KY43" s="2145"/>
      <c r="KZ43" s="2145"/>
      <c r="LA43" s="2145"/>
      <c r="LB43" s="2145"/>
      <c r="LC43" s="2145"/>
      <c r="LD43" s="2145"/>
      <c r="LE43" s="2145"/>
      <c r="LF43" s="2145"/>
      <c r="LG43" s="2145"/>
      <c r="LH43" s="2145"/>
      <c r="LI43" s="2145"/>
      <c r="LJ43" s="2145"/>
      <c r="LK43" s="2145"/>
      <c r="LL43" s="2145"/>
      <c r="LM43" s="2145"/>
      <c r="LN43" s="2145"/>
      <c r="LO43" s="2145"/>
      <c r="LP43" s="2145"/>
      <c r="LQ43" s="2145"/>
      <c r="LR43" s="2145"/>
      <c r="LS43" s="2145"/>
      <c r="LT43" s="2146"/>
      <c r="LU43" s="330"/>
      <c r="LV43" s="330"/>
      <c r="LW43" s="330"/>
      <c r="LX43" s="330"/>
      <c r="LY43" s="330"/>
      <c r="LZ43" s="330"/>
      <c r="MA43" s="330"/>
      <c r="MB43" s="330"/>
      <c r="MC43" s="330"/>
      <c r="MD43" s="330"/>
      <c r="ME43" s="330"/>
      <c r="MF43" s="330"/>
      <c r="MG43" s="330"/>
      <c r="MH43" s="330"/>
      <c r="MI43" s="330"/>
      <c r="MJ43" s="330"/>
      <c r="MK43" s="330"/>
      <c r="ML43" s="330"/>
      <c r="MM43" s="330"/>
      <c r="MN43" s="330"/>
      <c r="MO43" s="330"/>
      <c r="MP43" s="330"/>
      <c r="MQ43" s="330"/>
      <c r="MR43" s="330"/>
      <c r="MS43" s="330"/>
      <c r="MT43" s="330"/>
      <c r="MU43" s="330"/>
      <c r="MV43" s="330"/>
      <c r="MW43" s="330"/>
      <c r="MX43" s="330"/>
      <c r="MY43" s="330"/>
      <c r="MZ43" s="330"/>
      <c r="NA43" s="330"/>
      <c r="NB43" s="330"/>
      <c r="NC43" s="330"/>
      <c r="ND43" s="330"/>
      <c r="NE43" s="330"/>
      <c r="NF43" s="330"/>
      <c r="NG43" s="330"/>
      <c r="NH43" s="330"/>
      <c r="NI43" s="330"/>
      <c r="NJ43" s="330"/>
      <c r="NK43" s="330"/>
      <c r="NL43" s="330"/>
      <c r="NM43" s="330"/>
      <c r="NN43" s="330"/>
      <c r="NO43" s="330"/>
      <c r="NP43" s="330"/>
      <c r="NQ43" s="330"/>
      <c r="NR43" s="330"/>
      <c r="NS43" s="330"/>
      <c r="NT43" s="330"/>
      <c r="NU43" s="330"/>
      <c r="NV43" s="330"/>
      <c r="NW43" s="330"/>
      <c r="NX43" s="330"/>
      <c r="NY43" s="330"/>
      <c r="NZ43" s="330"/>
      <c r="OA43" s="330"/>
      <c r="OB43" s="330"/>
      <c r="OC43" s="330"/>
      <c r="OD43" s="330"/>
      <c r="OE43" s="330"/>
      <c r="OF43" s="330"/>
      <c r="OG43" s="330"/>
      <c r="OH43" s="330"/>
    </row>
    <row r="44" spans="1:450" s="74" customFormat="1" ht="27.6" customHeight="1" thickBot="1">
      <c r="B44" s="2444"/>
      <c r="C44" s="2445"/>
      <c r="D44" s="2445"/>
      <c r="E44" s="1694"/>
      <c r="F44" s="1674"/>
      <c r="G44" s="1674"/>
      <c r="H44" s="1674"/>
      <c r="I44" s="1674"/>
      <c r="J44" s="1674"/>
      <c r="K44" s="1674"/>
      <c r="L44" s="1674"/>
      <c r="M44" s="1674"/>
      <c r="N44" s="1674"/>
      <c r="O44" s="1674"/>
      <c r="P44" s="1674"/>
      <c r="Q44" s="1674"/>
      <c r="R44" s="1674"/>
      <c r="S44" s="1674"/>
      <c r="T44" s="1674"/>
      <c r="U44" s="1674"/>
      <c r="V44" s="1674"/>
      <c r="W44" s="1674"/>
      <c r="X44" s="1674"/>
      <c r="Y44" s="1674"/>
      <c r="Z44" s="1643"/>
      <c r="AA44" s="1638"/>
      <c r="AB44" s="1638"/>
      <c r="AC44" s="1638"/>
      <c r="AD44" s="1638"/>
      <c r="AE44" s="1638"/>
      <c r="AF44" s="1638"/>
      <c r="AG44" s="1638"/>
      <c r="AH44" s="1638"/>
      <c r="AI44" s="1638"/>
      <c r="AJ44" s="1638"/>
      <c r="AK44" s="1633"/>
      <c r="AL44" s="330"/>
      <c r="AM44" s="330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/>
      <c r="BE44" s="330"/>
      <c r="BF44" s="330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330"/>
      <c r="BZ44" s="330"/>
      <c r="CA44" s="330"/>
      <c r="CB44" s="330"/>
      <c r="CC44" s="330"/>
      <c r="CD44" s="330"/>
      <c r="CE44" s="330"/>
      <c r="CF44" s="330"/>
      <c r="CG44" s="330"/>
      <c r="CH44" s="330"/>
      <c r="CI44" s="330"/>
      <c r="CJ44" s="330"/>
      <c r="CK44" s="330"/>
      <c r="CL44" s="330"/>
      <c r="CM44" s="330"/>
      <c r="CN44" s="330"/>
      <c r="CO44" s="2147" t="s">
        <v>783</v>
      </c>
      <c r="CP44" s="2148"/>
      <c r="CQ44" s="2148"/>
      <c r="CR44" s="2148"/>
      <c r="CS44" s="2148"/>
      <c r="CT44" s="2149"/>
      <c r="CU44" s="2150" t="s">
        <v>810</v>
      </c>
      <c r="CV44" s="2151"/>
      <c r="CW44" s="2151"/>
      <c r="CX44" s="2151"/>
      <c r="CY44" s="2151"/>
      <c r="CZ44" s="2151"/>
      <c r="DA44" s="2151"/>
      <c r="DB44" s="2151"/>
      <c r="DC44" s="2151"/>
      <c r="DD44" s="2151"/>
      <c r="DE44" s="2151"/>
      <c r="DF44" s="2151"/>
      <c r="DG44" s="2151"/>
      <c r="DH44" s="2151"/>
      <c r="DI44" s="2151"/>
      <c r="DJ44" s="2151"/>
      <c r="DK44" s="2151"/>
      <c r="DL44" s="2151"/>
      <c r="DM44" s="2151"/>
      <c r="DN44" s="2152"/>
      <c r="DO44" s="2198" t="s">
        <v>811</v>
      </c>
      <c r="DP44" s="2199"/>
      <c r="DQ44" s="330"/>
      <c r="DR44" s="330"/>
      <c r="DS44" s="330"/>
      <c r="DT44" s="330"/>
      <c r="DU44" s="330"/>
      <c r="DV44" s="330"/>
      <c r="DW44" s="330"/>
      <c r="DX44" s="330"/>
      <c r="DY44" s="330"/>
      <c r="DZ44" s="330"/>
      <c r="EA44" s="330"/>
      <c r="EB44" s="330"/>
      <c r="EC44" s="330"/>
      <c r="ED44" s="330"/>
      <c r="EE44" s="330"/>
      <c r="EF44" s="330"/>
      <c r="EG44" s="330"/>
      <c r="EH44" s="330"/>
      <c r="EI44" s="330"/>
      <c r="EJ44" s="330"/>
      <c r="EK44" s="330"/>
      <c r="EL44" s="330"/>
      <c r="EM44" s="330"/>
      <c r="EN44" s="330"/>
      <c r="EO44" s="330"/>
      <c r="EP44" s="330"/>
      <c r="EQ44" s="330"/>
      <c r="ER44" s="330"/>
      <c r="ES44" s="330"/>
      <c r="ET44" s="330"/>
      <c r="EU44" s="330"/>
      <c r="EV44" s="330"/>
      <c r="EW44" s="330"/>
      <c r="EX44" s="330"/>
      <c r="EY44" s="330"/>
      <c r="EZ44" s="330"/>
      <c r="FA44" s="330"/>
      <c r="FB44" s="330"/>
      <c r="FC44" s="330"/>
      <c r="FD44" s="330"/>
      <c r="FE44" s="330"/>
      <c r="FF44" s="330"/>
      <c r="FG44" s="330"/>
      <c r="FH44" s="330"/>
      <c r="FI44" s="330"/>
      <c r="FJ44" s="330"/>
      <c r="FK44" s="2147" t="s">
        <v>783</v>
      </c>
      <c r="FL44" s="2148"/>
      <c r="FM44" s="2148"/>
      <c r="FN44" s="2148"/>
      <c r="FO44" s="2148"/>
      <c r="FP44" s="2149"/>
      <c r="FQ44" s="2150" t="s">
        <v>810</v>
      </c>
      <c r="FR44" s="2151"/>
      <c r="FS44" s="2151"/>
      <c r="FT44" s="2151"/>
      <c r="FU44" s="2151"/>
      <c r="FV44" s="2151"/>
      <c r="FW44" s="2151"/>
      <c r="FX44" s="2151"/>
      <c r="FY44" s="2151"/>
      <c r="FZ44" s="2152"/>
      <c r="GA44" s="2153" t="s">
        <v>811</v>
      </c>
      <c r="GB44" s="2154"/>
      <c r="GC44" s="2154"/>
      <c r="GD44" s="2154"/>
      <c r="GE44" s="2154"/>
      <c r="GF44" s="2154"/>
      <c r="GG44" s="2154"/>
      <c r="GH44" s="2154"/>
      <c r="GI44" s="2154"/>
      <c r="GJ44" s="2154"/>
      <c r="GK44" s="2154"/>
      <c r="GL44" s="2154"/>
      <c r="GM44" s="2154"/>
      <c r="GN44" s="2154"/>
      <c r="GO44" s="2154"/>
      <c r="GP44" s="2154"/>
      <c r="GQ44" s="2154"/>
      <c r="GR44" s="2154"/>
      <c r="GS44" s="2154"/>
      <c r="GT44" s="2154"/>
      <c r="GU44" s="2154"/>
      <c r="GV44" s="2154"/>
      <c r="GW44" s="2154"/>
      <c r="GX44" s="2155"/>
      <c r="GY44" s="330"/>
      <c r="GZ44" s="330"/>
      <c r="HA44" s="330"/>
      <c r="HB44" s="330"/>
      <c r="HC44" s="330"/>
      <c r="HD44" s="330"/>
      <c r="HE44" s="330"/>
      <c r="HF44" s="330"/>
      <c r="HG44" s="330"/>
      <c r="HH44" s="330"/>
      <c r="HI44" s="330"/>
      <c r="HJ44" s="330"/>
      <c r="HK44" s="330"/>
      <c r="HL44" s="330"/>
      <c r="HM44" s="330"/>
      <c r="HN44" s="330"/>
      <c r="HO44" s="330"/>
      <c r="HP44" s="330"/>
      <c r="HQ44" s="330"/>
      <c r="HR44" s="330"/>
      <c r="HS44" s="330"/>
      <c r="HT44" s="330"/>
      <c r="HU44" s="330"/>
      <c r="HV44" s="330"/>
      <c r="HW44" s="330"/>
      <c r="HX44" s="330"/>
      <c r="HY44" s="330"/>
      <c r="HZ44" s="2147" t="s">
        <v>783</v>
      </c>
      <c r="IA44" s="2148"/>
      <c r="IB44" s="2148"/>
      <c r="IC44" s="2148"/>
      <c r="ID44" s="2148"/>
      <c r="IE44" s="2149"/>
      <c r="IF44" s="2150" t="s">
        <v>810</v>
      </c>
      <c r="IG44" s="2151"/>
      <c r="IH44" s="2151"/>
      <c r="II44" s="2151"/>
      <c r="IJ44" s="2151"/>
      <c r="IK44" s="2151"/>
      <c r="IL44" s="2151"/>
      <c r="IM44" s="2151"/>
      <c r="IN44" s="2151"/>
      <c r="IO44" s="2152"/>
      <c r="IP44" s="2153" t="s">
        <v>811</v>
      </c>
      <c r="IQ44" s="2154"/>
      <c r="IR44" s="2154"/>
      <c r="IS44" s="2154"/>
      <c r="IT44" s="2154"/>
      <c r="IU44" s="2154"/>
      <c r="IV44" s="2154"/>
      <c r="IW44" s="2154"/>
      <c r="IX44" s="2154"/>
      <c r="IY44" s="2154"/>
      <c r="IZ44" s="2154"/>
      <c r="JA44" s="2154"/>
      <c r="JB44" s="2154"/>
      <c r="JC44" s="2154"/>
      <c r="JD44" s="2154"/>
      <c r="JE44" s="2154"/>
      <c r="JF44" s="2154"/>
      <c r="JG44" s="2155"/>
      <c r="JH44" s="330"/>
      <c r="JI44" s="330"/>
      <c r="JJ44" s="330"/>
      <c r="JK44" s="330"/>
      <c r="JL44" s="330"/>
      <c r="JM44" s="330"/>
      <c r="JN44" s="330"/>
      <c r="JO44" s="330"/>
      <c r="JP44" s="330"/>
      <c r="JQ44" s="330"/>
      <c r="JR44" s="330"/>
      <c r="JS44" s="330"/>
      <c r="JT44" s="330"/>
      <c r="JU44" s="330"/>
      <c r="JV44" s="330"/>
      <c r="JW44" s="330"/>
      <c r="JX44" s="330"/>
      <c r="JY44" s="330"/>
      <c r="JZ44" s="330"/>
      <c r="KA44" s="330"/>
      <c r="KB44" s="330"/>
      <c r="KC44" s="330"/>
      <c r="KD44" s="330"/>
      <c r="KE44" s="330"/>
      <c r="KF44" s="330"/>
      <c r="KG44" s="2147" t="s">
        <v>783</v>
      </c>
      <c r="KH44" s="2148"/>
      <c r="KI44" s="2148"/>
      <c r="KJ44" s="2148"/>
      <c r="KK44" s="2148"/>
      <c r="KL44" s="2149"/>
      <c r="KM44" s="2150" t="s">
        <v>810</v>
      </c>
      <c r="KN44" s="2151"/>
      <c r="KO44" s="2151"/>
      <c r="KP44" s="2151"/>
      <c r="KQ44" s="2151"/>
      <c r="KR44" s="2151"/>
      <c r="KS44" s="2151"/>
      <c r="KT44" s="2151"/>
      <c r="KU44" s="2151"/>
      <c r="KV44" s="2152"/>
      <c r="KW44" s="2153" t="s">
        <v>811</v>
      </c>
      <c r="KX44" s="2154"/>
      <c r="KY44" s="2154"/>
      <c r="KZ44" s="2154"/>
      <c r="LA44" s="2154"/>
      <c r="LB44" s="2154"/>
      <c r="LC44" s="2154"/>
      <c r="LD44" s="2154"/>
      <c r="LE44" s="2154"/>
      <c r="LF44" s="2154"/>
      <c r="LG44" s="2154"/>
      <c r="LH44" s="2154"/>
      <c r="LI44" s="2154"/>
      <c r="LJ44" s="2154"/>
      <c r="LK44" s="2154"/>
      <c r="LL44" s="2154"/>
      <c r="LM44" s="2154"/>
      <c r="LN44" s="2154"/>
      <c r="LO44" s="2154"/>
      <c r="LP44" s="2154"/>
      <c r="LQ44" s="2154"/>
      <c r="LR44" s="2154"/>
      <c r="LS44" s="2154"/>
      <c r="LT44" s="2155"/>
      <c r="LU44" s="330"/>
      <c r="LV44" s="330"/>
      <c r="LW44" s="330"/>
      <c r="LX44" s="330"/>
      <c r="LY44" s="330"/>
      <c r="LZ44" s="330"/>
      <c r="MA44" s="330"/>
      <c r="MB44" s="330"/>
      <c r="MC44" s="330"/>
      <c r="MD44" s="330"/>
      <c r="ME44" s="330"/>
      <c r="MF44" s="330"/>
      <c r="MG44" s="330"/>
      <c r="MH44" s="330"/>
      <c r="MI44" s="330"/>
      <c r="MJ44" s="330"/>
      <c r="MK44" s="330"/>
      <c r="ML44" s="330"/>
      <c r="MM44" s="330"/>
      <c r="MN44" s="330"/>
      <c r="MO44" s="330"/>
      <c r="MP44" s="330"/>
      <c r="MQ44" s="330"/>
      <c r="MR44" s="330"/>
      <c r="MS44" s="330"/>
      <c r="MT44" s="330"/>
      <c r="MU44" s="330"/>
      <c r="MV44" s="330"/>
      <c r="MW44" s="330"/>
      <c r="MX44" s="330"/>
      <c r="MY44" s="330"/>
      <c r="MZ44" s="330"/>
      <c r="NA44" s="330"/>
      <c r="NB44" s="330"/>
      <c r="NC44" s="330"/>
      <c r="ND44" s="330"/>
      <c r="NE44" s="330"/>
      <c r="NF44" s="330"/>
      <c r="NG44" s="330"/>
      <c r="NH44" s="330"/>
      <c r="NI44" s="330"/>
      <c r="NJ44" s="330"/>
      <c r="NK44" s="330"/>
      <c r="NL44" s="330"/>
      <c r="NM44" s="330"/>
      <c r="NN44" s="330"/>
      <c r="NO44" s="330"/>
      <c r="NP44" s="330"/>
      <c r="NQ44" s="330"/>
      <c r="NR44" s="330"/>
      <c r="NS44" s="330"/>
      <c r="NT44" s="330"/>
      <c r="NU44" s="330"/>
      <c r="NV44" s="330"/>
      <c r="NW44" s="330"/>
      <c r="NX44" s="330"/>
      <c r="NY44" s="330"/>
      <c r="NZ44" s="330"/>
      <c r="OA44" s="330"/>
      <c r="OB44" s="330"/>
      <c r="OC44" s="330"/>
      <c r="OD44" s="330"/>
      <c r="OE44" s="330"/>
      <c r="OF44" s="330"/>
      <c r="OG44" s="330"/>
      <c r="OH44" s="330"/>
      <c r="OI44" s="330"/>
      <c r="OJ44" s="330"/>
      <c r="OK44" s="330"/>
      <c r="OL44" s="330"/>
      <c r="OM44" s="330"/>
      <c r="ON44" s="330"/>
      <c r="OO44" s="330"/>
      <c r="OP44" s="330"/>
      <c r="OQ44" s="330"/>
      <c r="OR44" s="330"/>
      <c r="OS44" s="330"/>
      <c r="OT44" s="330"/>
      <c r="QH44" s="1603"/>
    </row>
    <row r="45" spans="1:450" s="74" customFormat="1" ht="27.6" customHeight="1">
      <c r="B45" s="2444"/>
      <c r="C45" s="2445"/>
      <c r="D45" s="2445"/>
      <c r="E45" s="1694"/>
      <c r="F45" s="1674"/>
      <c r="G45" s="1674"/>
      <c r="H45" s="1674"/>
      <c r="I45" s="1674"/>
      <c r="J45" s="1674"/>
      <c r="K45" s="1674"/>
      <c r="L45" s="1674"/>
      <c r="M45" s="1674"/>
      <c r="N45" s="1674"/>
      <c r="O45" s="1674"/>
      <c r="P45" s="1674"/>
      <c r="Q45" s="1674"/>
      <c r="R45" s="1674"/>
      <c r="S45" s="1674"/>
      <c r="T45" s="1674"/>
      <c r="U45" s="1674"/>
      <c r="V45" s="1674"/>
      <c r="W45" s="1674"/>
      <c r="X45" s="1674"/>
      <c r="Y45" s="1674"/>
      <c r="Z45" s="1643"/>
      <c r="AA45" s="1638"/>
      <c r="AB45" s="1638"/>
      <c r="AC45" s="1638"/>
      <c r="AD45" s="1638"/>
      <c r="AE45" s="1638"/>
      <c r="AF45" s="1638"/>
      <c r="AG45" s="1638"/>
      <c r="AH45" s="1638"/>
      <c r="AI45" s="1638"/>
      <c r="AJ45" s="1638"/>
      <c r="AK45" s="1633"/>
      <c r="AL45" s="330"/>
      <c r="AM45" s="330"/>
      <c r="AN45" s="330"/>
      <c r="AO45" s="330"/>
      <c r="AP45" s="330"/>
      <c r="AQ45" s="330"/>
      <c r="AR45" s="330"/>
      <c r="AS45" s="330"/>
      <c r="AT45" s="330"/>
      <c r="AU45" s="330"/>
      <c r="AV45" s="330"/>
      <c r="AW45" s="330"/>
      <c r="AX45" s="330"/>
      <c r="AY45" s="330"/>
      <c r="AZ45" s="330"/>
      <c r="BA45" s="330"/>
      <c r="BB45" s="330"/>
      <c r="BC45" s="330"/>
      <c r="BD45" s="330"/>
      <c r="BE45" s="330"/>
      <c r="BF45" s="330"/>
      <c r="BG45" s="330"/>
      <c r="BH45" s="330"/>
      <c r="BI45" s="330"/>
      <c r="BJ45" s="330"/>
      <c r="BK45" s="330"/>
      <c r="BL45" s="330"/>
      <c r="BM45" s="330"/>
      <c r="BN45" s="330"/>
      <c r="BO45" s="330"/>
      <c r="BP45" s="330"/>
      <c r="BQ45" s="330"/>
      <c r="BR45" s="330"/>
      <c r="BS45" s="330"/>
      <c r="BT45" s="330"/>
      <c r="BU45" s="330"/>
      <c r="BV45" s="330"/>
      <c r="BW45" s="330"/>
      <c r="BX45" s="330"/>
      <c r="BY45" s="330"/>
      <c r="BZ45" s="330"/>
      <c r="CA45" s="330"/>
      <c r="CB45" s="330"/>
      <c r="CC45" s="330"/>
      <c r="CD45" s="330"/>
      <c r="CE45" s="330"/>
      <c r="CF45" s="330"/>
      <c r="CG45" s="330"/>
      <c r="CH45" s="330"/>
      <c r="CI45" s="330"/>
      <c r="CJ45" s="330"/>
      <c r="CK45" s="330"/>
      <c r="CL45" s="330"/>
      <c r="CM45" s="330"/>
      <c r="CN45" s="330"/>
      <c r="CO45" s="1808"/>
      <c r="CP45" s="1808"/>
      <c r="CQ45" s="75"/>
      <c r="CR45" s="75"/>
      <c r="CS45" s="75"/>
      <c r="CT45" s="75"/>
      <c r="CU45" s="2200" t="s">
        <v>811</v>
      </c>
      <c r="CV45" s="2201"/>
      <c r="CW45" s="330"/>
      <c r="CX45" s="330"/>
      <c r="CY45" s="330"/>
      <c r="CZ45" s="330"/>
      <c r="DA45" s="330"/>
      <c r="DB45" s="330"/>
      <c r="DC45" s="330"/>
      <c r="DD45" s="330"/>
      <c r="DE45" s="330"/>
      <c r="DF45" s="330"/>
      <c r="DG45" s="330"/>
      <c r="DH45" s="330"/>
      <c r="DI45" s="330"/>
      <c r="DJ45" s="330"/>
      <c r="DK45" s="330"/>
      <c r="DL45" s="330"/>
      <c r="DM45" s="330"/>
      <c r="DN45" s="330"/>
      <c r="DO45" s="330"/>
      <c r="DP45" s="330"/>
      <c r="DQ45" s="330"/>
      <c r="DR45" s="330"/>
      <c r="DS45" s="330"/>
      <c r="DT45" s="330"/>
      <c r="DU45" s="330"/>
      <c r="DV45" s="330"/>
      <c r="DW45" s="330"/>
      <c r="DX45" s="330"/>
      <c r="DY45" s="330"/>
      <c r="DZ45" s="330"/>
      <c r="EA45" s="330"/>
      <c r="EB45" s="330"/>
      <c r="EC45" s="330"/>
      <c r="ED45" s="330"/>
      <c r="EE45" s="330"/>
      <c r="EF45" s="330"/>
      <c r="EG45" s="330"/>
      <c r="EH45" s="330"/>
      <c r="EI45" s="330"/>
      <c r="EJ45" s="330"/>
      <c r="EK45" s="330"/>
      <c r="EL45" s="330"/>
      <c r="EM45" s="330"/>
      <c r="EN45" s="330"/>
      <c r="EO45" s="330"/>
      <c r="EP45" s="330"/>
      <c r="EQ45" s="330"/>
      <c r="ER45" s="330"/>
      <c r="ES45" s="330"/>
      <c r="ET45" s="330"/>
      <c r="EU45" s="330"/>
      <c r="EV45" s="330"/>
      <c r="EW45" s="330"/>
      <c r="EX45" s="330"/>
      <c r="EY45" s="330"/>
      <c r="EZ45" s="330"/>
      <c r="FA45" s="330"/>
      <c r="FB45" s="330"/>
      <c r="FC45" s="330"/>
      <c r="FD45" s="330"/>
      <c r="FE45" s="330"/>
      <c r="FF45" s="330"/>
      <c r="FG45" s="330"/>
      <c r="FH45" s="330"/>
      <c r="FI45" s="330"/>
      <c r="FJ45" s="330"/>
      <c r="FK45" s="330"/>
      <c r="FL45" s="330"/>
      <c r="FM45" s="330"/>
      <c r="FN45" s="330"/>
      <c r="FO45" s="1808"/>
      <c r="FP45" s="1808"/>
      <c r="FQ45" s="2156" t="s">
        <v>811</v>
      </c>
      <c r="FR45" s="2157"/>
      <c r="FS45" s="2157"/>
      <c r="FT45" s="2157"/>
      <c r="FU45" s="2157"/>
      <c r="FV45" s="2157"/>
      <c r="FW45" s="2157"/>
      <c r="FX45" s="2157"/>
      <c r="FY45" s="2157"/>
      <c r="FZ45" s="2157"/>
      <c r="GA45" s="2157"/>
      <c r="GB45" s="2157"/>
      <c r="GC45" s="2157"/>
      <c r="GD45" s="2157"/>
      <c r="GE45" s="2157"/>
      <c r="GF45" s="2157"/>
      <c r="GG45" s="2157"/>
      <c r="GH45" s="2157"/>
      <c r="GI45" s="2157"/>
      <c r="GJ45" s="2157"/>
      <c r="GK45" s="2157"/>
      <c r="GL45" s="2157"/>
      <c r="GM45" s="2157"/>
      <c r="GN45" s="2158"/>
      <c r="GO45" s="330"/>
      <c r="GP45" s="330"/>
      <c r="GQ45" s="330"/>
      <c r="GR45" s="330"/>
      <c r="GY45" s="330"/>
      <c r="GZ45" s="330"/>
      <c r="HA45" s="330"/>
      <c r="HB45" s="330"/>
      <c r="HC45" s="330"/>
      <c r="HD45" s="330"/>
      <c r="HE45" s="330"/>
      <c r="HF45" s="330"/>
      <c r="HG45" s="330"/>
      <c r="HH45" s="330"/>
      <c r="HI45" s="330"/>
      <c r="HJ45" s="330"/>
      <c r="HK45" s="330"/>
      <c r="HL45" s="330"/>
      <c r="HM45" s="330"/>
      <c r="HN45" s="330"/>
      <c r="HO45" s="330"/>
      <c r="HP45" s="330"/>
      <c r="HQ45" s="330"/>
      <c r="HR45" s="330"/>
      <c r="HS45" s="330"/>
      <c r="HT45" s="330"/>
      <c r="HU45" s="330"/>
      <c r="HV45" s="330"/>
      <c r="HW45" s="330"/>
      <c r="HX45" s="330"/>
      <c r="HY45" s="330"/>
      <c r="HZ45" s="330"/>
      <c r="IA45" s="330"/>
      <c r="IB45" s="330"/>
      <c r="IC45" s="330"/>
      <c r="ID45" s="1808"/>
      <c r="IE45" s="1808"/>
      <c r="IF45" s="2156" t="s">
        <v>811</v>
      </c>
      <c r="IG45" s="2157"/>
      <c r="IH45" s="2157"/>
      <c r="II45" s="2157"/>
      <c r="IJ45" s="2157"/>
      <c r="IK45" s="2157"/>
      <c r="IL45" s="2157"/>
      <c r="IM45" s="2157"/>
      <c r="IN45" s="2157"/>
      <c r="IO45" s="2157"/>
      <c r="IP45" s="2157"/>
      <c r="IQ45" s="2157"/>
      <c r="IR45" s="2157"/>
      <c r="IS45" s="2157"/>
      <c r="IT45" s="2157"/>
      <c r="IU45" s="2157"/>
      <c r="IV45" s="2157"/>
      <c r="IW45" s="2158"/>
      <c r="IX45" s="330"/>
      <c r="IY45" s="330"/>
      <c r="IZ45" s="330"/>
      <c r="JA45" s="330"/>
      <c r="JB45" s="330"/>
      <c r="JC45" s="330"/>
      <c r="JD45" s="330"/>
      <c r="JE45" s="330"/>
      <c r="JF45" s="330"/>
      <c r="JG45" s="330"/>
      <c r="JH45" s="330"/>
      <c r="JI45" s="330"/>
      <c r="JJ45" s="330"/>
      <c r="JK45" s="330"/>
      <c r="JL45" s="330"/>
      <c r="JM45" s="330"/>
      <c r="JN45" s="330"/>
      <c r="JO45" s="330"/>
      <c r="JP45" s="330"/>
      <c r="JQ45" s="330"/>
      <c r="JR45" s="330"/>
      <c r="JS45" s="330"/>
      <c r="JT45" s="330"/>
      <c r="JU45" s="330"/>
      <c r="JV45" s="330"/>
      <c r="JW45" s="330"/>
      <c r="JX45" s="330"/>
      <c r="JY45" s="330"/>
      <c r="JZ45" s="330"/>
      <c r="KA45" s="330"/>
      <c r="KB45" s="330"/>
      <c r="KC45" s="330"/>
      <c r="KD45" s="330"/>
      <c r="KE45" s="330"/>
      <c r="KF45" s="330"/>
      <c r="KG45" s="330"/>
      <c r="KH45" s="330"/>
      <c r="KI45" s="330"/>
      <c r="KJ45" s="330"/>
      <c r="KK45" s="1808"/>
      <c r="KL45" s="1808"/>
      <c r="KM45" s="2156" t="s">
        <v>811</v>
      </c>
      <c r="KN45" s="2157"/>
      <c r="KO45" s="2157"/>
      <c r="KP45" s="2157"/>
      <c r="KQ45" s="2157"/>
      <c r="KR45" s="2157"/>
      <c r="KS45" s="2157"/>
      <c r="KT45" s="2157"/>
      <c r="KU45" s="2157"/>
      <c r="KV45" s="2157"/>
      <c r="KW45" s="2157"/>
      <c r="KX45" s="2157"/>
      <c r="KY45" s="2157"/>
      <c r="KZ45" s="2157"/>
      <c r="LA45" s="2157"/>
      <c r="LB45" s="2157"/>
      <c r="LC45" s="2157"/>
      <c r="LD45" s="2157"/>
      <c r="LE45" s="2157"/>
      <c r="LF45" s="2157"/>
      <c r="LG45" s="2157"/>
      <c r="LH45" s="2157"/>
      <c r="LI45" s="2157"/>
      <c r="LJ45" s="2158"/>
      <c r="LK45" s="330"/>
      <c r="LL45" s="330"/>
      <c r="LM45" s="330"/>
      <c r="LN45" s="330"/>
      <c r="LU45" s="330"/>
      <c r="LV45" s="330"/>
      <c r="LW45" s="330"/>
      <c r="LX45" s="330"/>
      <c r="LY45" s="330"/>
      <c r="LZ45" s="330"/>
      <c r="MA45" s="330"/>
      <c r="MB45" s="330"/>
      <c r="MC45" s="330"/>
      <c r="MD45" s="330"/>
      <c r="ME45" s="330"/>
      <c r="MF45" s="330"/>
      <c r="MG45" s="330"/>
      <c r="MH45" s="330"/>
      <c r="MI45" s="330"/>
      <c r="MJ45" s="330"/>
      <c r="MK45" s="330"/>
      <c r="ML45" s="330"/>
      <c r="MM45" s="330"/>
      <c r="MN45" s="330"/>
      <c r="MO45" s="330"/>
      <c r="MP45" s="330"/>
      <c r="MQ45" s="330"/>
      <c r="MR45" s="330"/>
      <c r="MS45" s="330"/>
      <c r="MT45" s="330"/>
      <c r="MU45" s="330"/>
      <c r="MV45" s="330"/>
      <c r="MW45" s="330"/>
      <c r="MX45" s="330"/>
      <c r="MY45" s="330"/>
      <c r="MZ45" s="330"/>
      <c r="NA45" s="330"/>
      <c r="NB45" s="330"/>
      <c r="NC45" s="330"/>
      <c r="ND45" s="330"/>
      <c r="NE45" s="330"/>
      <c r="NF45" s="330"/>
      <c r="NG45" s="330"/>
      <c r="NH45" s="330"/>
      <c r="NI45" s="330"/>
      <c r="NJ45" s="330"/>
      <c r="NK45" s="330"/>
      <c r="NL45" s="330"/>
      <c r="NM45" s="330"/>
      <c r="NN45" s="330"/>
      <c r="NO45" s="330"/>
      <c r="NP45" s="330"/>
      <c r="NQ45" s="330"/>
      <c r="NR45" s="330"/>
      <c r="NS45" s="330"/>
      <c r="NT45" s="330"/>
      <c r="NU45" s="330"/>
      <c r="NV45" s="330"/>
      <c r="NW45" s="330"/>
      <c r="NX45" s="330"/>
      <c r="NY45" s="330"/>
      <c r="NZ45" s="330"/>
      <c r="OA45" s="330"/>
      <c r="OB45" s="330"/>
      <c r="OC45" s="330"/>
      <c r="OD45" s="330"/>
      <c r="OE45" s="330"/>
      <c r="OF45" s="330"/>
      <c r="OG45" s="330"/>
      <c r="OH45" s="330"/>
    </row>
    <row r="46" spans="1:450" s="74" customFormat="1" ht="27.6" customHeight="1" thickBot="1">
      <c r="B46" s="2444"/>
      <c r="C46" s="2445"/>
      <c r="D46" s="2445"/>
      <c r="E46" s="1697" t="s">
        <v>873</v>
      </c>
      <c r="F46" s="1674"/>
      <c r="G46" s="1674"/>
      <c r="H46" s="1674"/>
      <c r="I46" s="1674"/>
      <c r="J46" s="1674"/>
      <c r="K46" s="1674"/>
      <c r="L46" s="1674"/>
      <c r="M46" s="1674"/>
      <c r="N46" s="1674"/>
      <c r="O46" s="1674"/>
      <c r="P46" s="1674"/>
      <c r="Q46" s="1674"/>
      <c r="R46" s="1674"/>
      <c r="S46" s="1674"/>
      <c r="T46" s="1674"/>
      <c r="U46" s="1674"/>
      <c r="V46" s="1674"/>
      <c r="W46" s="1674"/>
      <c r="X46" s="1674"/>
      <c r="Y46" s="1674"/>
      <c r="Z46" s="1643"/>
      <c r="AA46" s="1638"/>
      <c r="AB46" s="1638"/>
      <c r="AC46" s="1638"/>
      <c r="AD46" s="1638"/>
      <c r="AE46" s="1638"/>
      <c r="AF46" s="1638"/>
      <c r="AG46" s="1638"/>
      <c r="AH46" s="1638"/>
      <c r="AI46" s="1638"/>
      <c r="AJ46" s="1638"/>
      <c r="AK46" s="1633"/>
      <c r="AL46" s="330"/>
      <c r="AM46" s="330"/>
      <c r="AN46" s="330"/>
      <c r="AO46" s="330"/>
      <c r="AP46" s="330"/>
      <c r="AQ46" s="330"/>
      <c r="AR46" s="330"/>
      <c r="AS46" s="330"/>
      <c r="AT46" s="330"/>
      <c r="AU46" s="330"/>
      <c r="AV46" s="330"/>
      <c r="AW46" s="330"/>
      <c r="AX46" s="330"/>
      <c r="AY46" s="330"/>
      <c r="AZ46" s="330"/>
      <c r="BA46" s="330"/>
      <c r="BB46" s="330"/>
      <c r="BC46" s="330"/>
      <c r="BD46" s="330"/>
      <c r="BE46" s="330"/>
      <c r="BF46" s="330"/>
      <c r="BG46" s="330"/>
      <c r="BH46" s="330"/>
      <c r="BI46" s="330"/>
      <c r="BJ46" s="330"/>
      <c r="BK46" s="330"/>
      <c r="BL46" s="330"/>
      <c r="BM46" s="330"/>
      <c r="BN46" s="330"/>
      <c r="BO46" s="330"/>
      <c r="BP46" s="330"/>
      <c r="BQ46" s="330"/>
      <c r="BR46" s="330"/>
      <c r="BS46" s="330"/>
      <c r="BT46" s="330"/>
      <c r="BU46" s="330"/>
      <c r="BV46" s="330"/>
      <c r="BW46" s="330"/>
      <c r="BX46" s="330"/>
      <c r="BY46" s="330"/>
      <c r="BZ46" s="330"/>
      <c r="CA46" s="330"/>
      <c r="CB46" s="330"/>
      <c r="CC46" s="330"/>
      <c r="CD46" s="330"/>
      <c r="CE46" s="330"/>
      <c r="CF46" s="330"/>
      <c r="CG46" s="330"/>
      <c r="CH46" s="330"/>
      <c r="CI46" s="330"/>
      <c r="CJ46" s="330"/>
      <c r="CK46" s="330"/>
      <c r="CL46" s="330"/>
      <c r="CM46" s="330"/>
      <c r="CN46" s="330"/>
      <c r="CO46" s="1608">
        <v>1200</v>
      </c>
      <c r="CP46" s="1608">
        <v>1200</v>
      </c>
      <c r="CQ46" s="1608">
        <v>1200</v>
      </c>
      <c r="CR46" s="1608">
        <v>1200</v>
      </c>
      <c r="CS46" s="1608">
        <v>1200</v>
      </c>
      <c r="CT46" s="1608">
        <v>1200</v>
      </c>
      <c r="CU46" s="1608">
        <v>1200</v>
      </c>
      <c r="CV46" s="1608">
        <v>1200</v>
      </c>
      <c r="CW46" s="1608">
        <v>1200</v>
      </c>
      <c r="CX46" s="1608">
        <v>1200</v>
      </c>
      <c r="CY46" s="1608">
        <v>1200</v>
      </c>
      <c r="CZ46" s="1608">
        <v>1200</v>
      </c>
      <c r="DA46" s="1608">
        <v>1200</v>
      </c>
      <c r="DB46" s="1608">
        <v>1200</v>
      </c>
      <c r="DC46" s="1608">
        <v>1200</v>
      </c>
      <c r="DD46" s="1608">
        <v>1200</v>
      </c>
      <c r="DE46" s="1608">
        <v>1200</v>
      </c>
      <c r="DF46" s="1608">
        <v>1200</v>
      </c>
      <c r="DG46" s="1608">
        <v>1200</v>
      </c>
      <c r="DH46" s="1608">
        <v>1200</v>
      </c>
      <c r="DI46" s="1608">
        <v>1200</v>
      </c>
      <c r="DJ46" s="1608">
        <v>1200</v>
      </c>
      <c r="DK46" s="1608">
        <v>1200</v>
      </c>
      <c r="DL46" s="1608">
        <v>1200</v>
      </c>
      <c r="DM46" s="1608">
        <v>1200</v>
      </c>
      <c r="DN46" s="1608">
        <v>1200</v>
      </c>
      <c r="DO46" s="330"/>
      <c r="DP46" s="330"/>
      <c r="DQ46" s="330"/>
      <c r="DR46" s="330"/>
      <c r="DS46" s="330"/>
      <c r="DT46" s="330"/>
      <c r="DU46" s="330"/>
      <c r="DV46" s="330"/>
      <c r="DW46" s="330"/>
      <c r="DX46" s="330"/>
      <c r="DY46" s="330"/>
      <c r="DZ46" s="330"/>
      <c r="EA46" s="330"/>
      <c r="EB46" s="330"/>
      <c r="EC46" s="330"/>
      <c r="ED46" s="330"/>
      <c r="EE46" s="330"/>
      <c r="EF46" s="330"/>
      <c r="EG46" s="330"/>
      <c r="EH46" s="330"/>
      <c r="EI46" s="330"/>
      <c r="EJ46" s="330"/>
      <c r="EK46" s="330"/>
      <c r="EL46" s="330"/>
      <c r="EM46" s="330"/>
      <c r="EN46" s="330"/>
      <c r="EO46" s="330"/>
      <c r="EP46" s="330"/>
      <c r="EQ46" s="330"/>
      <c r="ER46" s="330"/>
      <c r="ES46" s="330"/>
      <c r="ET46" s="330"/>
      <c r="EU46" s="330"/>
      <c r="EV46" s="330"/>
      <c r="EW46" s="330"/>
      <c r="EX46" s="330"/>
      <c r="EY46" s="330"/>
      <c r="EZ46" s="330"/>
      <c r="FA46" s="330"/>
      <c r="FB46" s="330"/>
      <c r="FC46" s="330"/>
      <c r="FD46" s="330"/>
      <c r="FE46" s="330"/>
      <c r="FF46" s="330"/>
      <c r="FG46" s="330"/>
      <c r="FH46" s="330"/>
      <c r="FI46" s="330"/>
      <c r="FJ46" s="330"/>
      <c r="FK46" s="1608"/>
      <c r="FL46" s="1608"/>
      <c r="FM46" s="1608"/>
      <c r="FN46" s="1608"/>
      <c r="FO46" s="1608">
        <v>1200</v>
      </c>
      <c r="FP46" s="1608">
        <v>1200</v>
      </c>
      <c r="FQ46" s="1608">
        <v>1200</v>
      </c>
      <c r="FR46" s="1608">
        <v>1200</v>
      </c>
      <c r="FS46" s="1608">
        <v>1200</v>
      </c>
      <c r="FT46" s="1608">
        <v>1200</v>
      </c>
      <c r="FU46" s="1608">
        <v>1200</v>
      </c>
      <c r="FV46" s="1608">
        <v>1200</v>
      </c>
      <c r="FW46" s="1608">
        <v>1200</v>
      </c>
      <c r="FX46" s="1608">
        <v>1200</v>
      </c>
      <c r="FY46" s="1608">
        <v>1200</v>
      </c>
      <c r="FZ46" s="1608">
        <v>1200</v>
      </c>
      <c r="GA46" s="330"/>
      <c r="GB46" s="330"/>
      <c r="GC46" s="330"/>
      <c r="GD46" s="330"/>
      <c r="GE46" s="330"/>
      <c r="GF46" s="330"/>
      <c r="GG46" s="330"/>
      <c r="GH46" s="330"/>
      <c r="GI46" s="330"/>
      <c r="GJ46" s="330"/>
      <c r="GK46" s="330"/>
      <c r="GL46" s="330"/>
      <c r="GM46" s="330"/>
      <c r="GN46" s="330"/>
      <c r="GO46" s="330"/>
      <c r="GP46" s="330"/>
      <c r="GQ46" s="330"/>
      <c r="GR46" s="330"/>
      <c r="GS46" s="330"/>
      <c r="GT46" s="330"/>
      <c r="GU46" s="330"/>
      <c r="GV46" s="330"/>
      <c r="GW46" s="330"/>
      <c r="GX46" s="330"/>
      <c r="GY46" s="330"/>
      <c r="GZ46" s="330"/>
      <c r="HA46" s="330"/>
      <c r="HB46" s="330"/>
      <c r="HC46" s="330"/>
      <c r="HD46" s="330"/>
      <c r="HE46" s="330"/>
      <c r="HF46" s="330"/>
      <c r="HG46" s="330"/>
      <c r="HH46" s="330"/>
      <c r="HI46" s="330"/>
      <c r="HJ46" s="330"/>
      <c r="HK46" s="330"/>
      <c r="HL46" s="330"/>
      <c r="HM46" s="330"/>
      <c r="HN46" s="330"/>
      <c r="HO46" s="330"/>
      <c r="HP46" s="330"/>
      <c r="HQ46" s="330"/>
      <c r="HR46" s="330"/>
      <c r="HS46" s="330"/>
      <c r="HT46" s="330"/>
      <c r="HU46" s="330"/>
      <c r="HV46" s="330"/>
      <c r="HW46" s="330"/>
      <c r="HX46" s="330"/>
      <c r="HY46" s="330"/>
      <c r="HZ46" s="1608"/>
      <c r="IA46" s="1608"/>
      <c r="IB46" s="1608"/>
      <c r="IC46" s="1608"/>
      <c r="ID46" s="1608">
        <v>1200</v>
      </c>
      <c r="IE46" s="1608">
        <v>1200</v>
      </c>
      <c r="IF46" s="1608">
        <v>1200</v>
      </c>
      <c r="IG46" s="1608">
        <v>1200</v>
      </c>
      <c r="IH46" s="1608">
        <v>1200</v>
      </c>
      <c r="II46" s="1608">
        <v>1200</v>
      </c>
      <c r="IJ46" s="1608">
        <v>1200</v>
      </c>
      <c r="IK46" s="1608">
        <v>1200</v>
      </c>
      <c r="IL46" s="1608">
        <v>1200</v>
      </c>
      <c r="IM46" s="1608">
        <v>1200</v>
      </c>
      <c r="IN46" s="1608">
        <v>1200</v>
      </c>
      <c r="IO46" s="1608">
        <v>1200</v>
      </c>
      <c r="IP46" s="330"/>
      <c r="IQ46" s="330"/>
      <c r="IR46" s="330"/>
      <c r="IS46" s="330"/>
      <c r="IT46" s="330"/>
      <c r="IU46" s="330"/>
      <c r="IV46" s="330"/>
      <c r="IW46" s="330"/>
      <c r="IX46" s="330"/>
      <c r="IY46" s="330"/>
      <c r="IZ46" s="330"/>
      <c r="JA46" s="330"/>
      <c r="JB46" s="330"/>
      <c r="JC46" s="330"/>
      <c r="JD46" s="330"/>
      <c r="JE46" s="330"/>
      <c r="JF46" s="330"/>
      <c r="JG46" s="330"/>
      <c r="JH46" s="330"/>
      <c r="JI46" s="330"/>
      <c r="JJ46" s="330"/>
      <c r="JK46" s="330"/>
      <c r="JL46" s="330"/>
      <c r="JM46" s="330"/>
      <c r="JN46" s="330"/>
      <c r="JO46" s="330"/>
      <c r="JP46" s="330"/>
      <c r="JQ46" s="330"/>
      <c r="JR46" s="330"/>
      <c r="JS46" s="330"/>
      <c r="JT46" s="330"/>
      <c r="JU46" s="330"/>
      <c r="JV46" s="330"/>
      <c r="JW46" s="330"/>
      <c r="JX46" s="330"/>
      <c r="JY46" s="330"/>
      <c r="JZ46" s="330"/>
      <c r="KA46" s="330"/>
      <c r="KB46" s="330"/>
      <c r="KC46" s="330"/>
      <c r="KD46" s="330"/>
      <c r="KE46" s="330"/>
      <c r="KF46" s="330"/>
      <c r="KG46" s="1608"/>
      <c r="KH46" s="1608"/>
      <c r="KI46" s="1608"/>
      <c r="KJ46" s="1608"/>
      <c r="KK46" s="1608">
        <v>1200</v>
      </c>
      <c r="KL46" s="1608">
        <v>1200</v>
      </c>
      <c r="KM46" s="1608">
        <v>1200</v>
      </c>
      <c r="KN46" s="1608">
        <v>1200</v>
      </c>
      <c r="KO46" s="1608">
        <v>1200</v>
      </c>
      <c r="KP46" s="1608">
        <v>1200</v>
      </c>
      <c r="KQ46" s="1608">
        <v>1200</v>
      </c>
      <c r="KR46" s="1608">
        <v>1200</v>
      </c>
      <c r="KS46" s="1608">
        <v>1200</v>
      </c>
      <c r="KT46" s="1608">
        <v>1200</v>
      </c>
      <c r="KU46" s="1608">
        <v>1200</v>
      </c>
      <c r="KV46" s="1608">
        <v>1200</v>
      </c>
      <c r="KW46" s="330"/>
      <c r="KX46" s="330"/>
      <c r="KY46" s="330"/>
      <c r="KZ46" s="330"/>
      <c r="LA46" s="330"/>
      <c r="LB46" s="330"/>
      <c r="LC46" s="330"/>
      <c r="LD46" s="330"/>
      <c r="LE46" s="330"/>
      <c r="LF46" s="330"/>
      <c r="LG46" s="330"/>
      <c r="LH46" s="330"/>
      <c r="LI46" s="330"/>
      <c r="LJ46" s="330"/>
      <c r="LK46" s="330"/>
      <c r="LL46" s="330"/>
      <c r="LM46" s="330"/>
      <c r="LN46" s="330"/>
      <c r="LO46" s="330"/>
      <c r="LP46" s="330"/>
      <c r="LQ46" s="330"/>
      <c r="LR46" s="330"/>
      <c r="LS46" s="330"/>
      <c r="LT46" s="330"/>
      <c r="LU46" s="330"/>
      <c r="LV46" s="330"/>
      <c r="LW46" s="330"/>
      <c r="LX46" s="330"/>
      <c r="LY46" s="330"/>
      <c r="LZ46" s="330"/>
      <c r="MA46" s="330"/>
      <c r="MB46" s="330"/>
      <c r="MC46" s="330"/>
      <c r="MD46" s="330"/>
      <c r="ME46" s="330"/>
      <c r="MF46" s="330"/>
      <c r="MG46" s="330"/>
      <c r="MH46" s="330"/>
      <c r="MI46" s="330"/>
      <c r="MJ46" s="330"/>
      <c r="MK46" s="330"/>
      <c r="ML46" s="330"/>
      <c r="MM46" s="330"/>
      <c r="MN46" s="330"/>
      <c r="MO46" s="330"/>
      <c r="MP46" s="330"/>
      <c r="MQ46" s="330"/>
      <c r="MR46" s="330"/>
      <c r="MS46" s="330"/>
      <c r="MT46" s="330"/>
      <c r="MU46" s="330"/>
      <c r="MV46" s="330"/>
      <c r="MW46" s="330"/>
      <c r="MX46" s="330"/>
      <c r="MY46" s="330"/>
      <c r="MZ46" s="330"/>
      <c r="NA46" s="330"/>
      <c r="NB46" s="330"/>
      <c r="NC46" s="330"/>
      <c r="ND46" s="330"/>
      <c r="NE46" s="330"/>
      <c r="NF46" s="330"/>
      <c r="NG46" s="330"/>
      <c r="NH46" s="330"/>
      <c r="NI46" s="330"/>
      <c r="NJ46" s="330"/>
      <c r="NK46" s="330"/>
      <c r="NL46" s="330"/>
      <c r="NM46" s="330"/>
      <c r="NN46" s="330"/>
      <c r="NO46" s="330"/>
      <c r="NP46" s="330"/>
      <c r="NQ46" s="330"/>
      <c r="NR46" s="330"/>
      <c r="NS46" s="330"/>
      <c r="NT46" s="330"/>
      <c r="NU46" s="330"/>
      <c r="NV46" s="330"/>
      <c r="NW46" s="330"/>
      <c r="NX46" s="330"/>
      <c r="NY46" s="330"/>
      <c r="NZ46" s="330"/>
      <c r="OA46" s="330"/>
      <c r="OB46" s="330"/>
      <c r="OC46" s="330"/>
      <c r="OD46" s="330"/>
      <c r="OE46" s="330"/>
      <c r="OF46" s="330"/>
      <c r="OG46" s="330"/>
      <c r="OH46" s="330"/>
    </row>
    <row r="47" spans="1:450" s="74" customFormat="1" ht="27.6" customHeight="1" thickBot="1">
      <c r="B47" s="2444"/>
      <c r="C47" s="2445"/>
      <c r="D47" s="2445"/>
      <c r="E47" s="1694"/>
      <c r="F47" s="1674"/>
      <c r="G47" s="1674"/>
      <c r="H47" s="1674"/>
      <c r="I47" s="1674"/>
      <c r="J47" s="1674"/>
      <c r="K47" s="1674"/>
      <c r="L47" s="1674"/>
      <c r="M47" s="1674"/>
      <c r="N47" s="1674"/>
      <c r="O47" s="1674"/>
      <c r="P47" s="1674"/>
      <c r="Q47" s="1674"/>
      <c r="R47" s="1674"/>
      <c r="S47" s="1674"/>
      <c r="T47" s="1674"/>
      <c r="U47" s="1674"/>
      <c r="V47" s="1674"/>
      <c r="W47" s="1674"/>
      <c r="X47" s="1674"/>
      <c r="Y47" s="1674"/>
      <c r="Z47" s="1643"/>
      <c r="AA47" s="1638"/>
      <c r="AB47" s="1638"/>
      <c r="AC47" s="1638"/>
      <c r="AD47" s="1638"/>
      <c r="AE47" s="1638"/>
      <c r="AF47" s="1638"/>
      <c r="AG47" s="1638"/>
      <c r="AH47" s="1638"/>
      <c r="AI47" s="1638"/>
      <c r="AJ47" s="1638"/>
      <c r="AK47" s="1633"/>
      <c r="AL47" s="330"/>
      <c r="AM47" s="330"/>
      <c r="AN47" s="330"/>
      <c r="AO47" s="330"/>
      <c r="AP47" s="330"/>
      <c r="AQ47" s="330"/>
      <c r="AR47" s="330"/>
      <c r="AS47" s="330"/>
      <c r="AT47" s="330"/>
      <c r="AU47" s="330"/>
      <c r="AV47" s="330"/>
      <c r="AW47" s="330"/>
      <c r="AX47" s="330"/>
      <c r="AY47" s="330"/>
      <c r="AZ47" s="330"/>
      <c r="BA47" s="330"/>
      <c r="BB47" s="330"/>
      <c r="BC47" s="330"/>
      <c r="BD47" s="330"/>
      <c r="BE47" s="330"/>
      <c r="BF47" s="330"/>
      <c r="BG47" s="330"/>
      <c r="BH47" s="330"/>
      <c r="BI47" s="330"/>
      <c r="BJ47" s="330"/>
      <c r="BK47" s="330"/>
      <c r="BL47" s="330"/>
      <c r="BM47" s="330"/>
      <c r="BN47" s="330"/>
      <c r="BO47" s="330"/>
      <c r="BP47" s="330"/>
      <c r="BQ47" s="330"/>
      <c r="BR47" s="330"/>
      <c r="BS47" s="330"/>
      <c r="BT47" s="330"/>
      <c r="BU47" s="330"/>
      <c r="BV47" s="330"/>
      <c r="BW47" s="330"/>
      <c r="BX47" s="330"/>
      <c r="BY47" s="330"/>
      <c r="BZ47" s="330"/>
      <c r="CA47" s="330"/>
      <c r="CB47" s="330"/>
      <c r="CC47" s="330"/>
      <c r="CD47" s="330"/>
      <c r="CE47" s="330"/>
      <c r="CF47" s="330"/>
      <c r="CG47" s="330"/>
      <c r="CH47" s="330"/>
      <c r="CI47" s="330"/>
      <c r="CJ47" s="330"/>
      <c r="CK47" s="330"/>
      <c r="CL47" s="330"/>
      <c r="CM47" s="330"/>
      <c r="CN47" s="330"/>
      <c r="CO47" s="330"/>
      <c r="CP47" s="330"/>
      <c r="CQ47" s="330"/>
      <c r="CR47" s="330"/>
      <c r="CS47" s="330"/>
      <c r="CT47" s="330"/>
      <c r="CU47" s="330"/>
      <c r="CV47" s="330"/>
      <c r="CW47" s="330"/>
      <c r="CX47" s="330"/>
      <c r="CY47" s="330"/>
      <c r="CZ47" s="330"/>
      <c r="DA47" s="330"/>
      <c r="DB47" s="330"/>
      <c r="DC47" s="330"/>
      <c r="DD47" s="330"/>
      <c r="DE47" s="330"/>
      <c r="DF47" s="330"/>
      <c r="DG47" s="330"/>
      <c r="DH47" s="330"/>
      <c r="DI47" s="330"/>
      <c r="DJ47" s="330"/>
      <c r="DK47" s="330"/>
      <c r="DL47" s="2141" t="s">
        <v>1000</v>
      </c>
      <c r="DM47" s="2142"/>
      <c r="DN47" s="2142"/>
      <c r="DO47" s="2143"/>
      <c r="DP47" s="2144" t="s">
        <v>1001</v>
      </c>
      <c r="DQ47" s="2145"/>
      <c r="DR47" s="2145"/>
      <c r="DS47" s="2145"/>
      <c r="DT47" s="2145"/>
      <c r="DU47" s="2145"/>
      <c r="DV47" s="2145"/>
      <c r="DW47" s="2145"/>
      <c r="DX47" s="2145"/>
      <c r="DY47" s="2145"/>
      <c r="DZ47" s="2145"/>
      <c r="EA47" s="2145"/>
      <c r="EB47" s="2145"/>
      <c r="EC47" s="2145"/>
      <c r="ED47" s="2145"/>
      <c r="EE47" s="2145"/>
      <c r="EF47" s="2145"/>
      <c r="EG47" s="2145"/>
      <c r="EH47" s="2145"/>
      <c r="EI47" s="2145"/>
      <c r="EJ47" s="2145"/>
      <c r="EK47" s="2145"/>
      <c r="EL47" s="2145"/>
      <c r="EM47" s="2145"/>
      <c r="EN47" s="2145"/>
      <c r="EO47" s="2145"/>
      <c r="EP47" s="2145"/>
      <c r="EQ47" s="2145"/>
      <c r="ER47" s="2145"/>
      <c r="ES47" s="2145"/>
      <c r="ET47" s="2145"/>
      <c r="EU47" s="2145"/>
      <c r="EV47" s="2145"/>
      <c r="EW47" s="2145"/>
      <c r="EX47" s="2145"/>
      <c r="EY47" s="2146"/>
      <c r="EZ47" s="330"/>
      <c r="FA47" s="330"/>
      <c r="FB47" s="330"/>
      <c r="FC47" s="330"/>
      <c r="FD47" s="330"/>
      <c r="FE47" s="330"/>
      <c r="FF47" s="330"/>
      <c r="FG47" s="330"/>
      <c r="FH47" s="330"/>
      <c r="FI47" s="330"/>
      <c r="FJ47" s="330"/>
      <c r="FK47" s="330"/>
      <c r="FL47" s="330"/>
      <c r="FM47" s="330"/>
      <c r="FN47" s="330"/>
      <c r="FO47" s="330"/>
      <c r="FP47" s="330"/>
      <c r="FQ47" s="330"/>
      <c r="FR47" s="330"/>
      <c r="FS47" s="330"/>
      <c r="FT47" s="330"/>
      <c r="FU47" s="330"/>
      <c r="FV47" s="330"/>
      <c r="FW47" s="330"/>
      <c r="FX47" s="330"/>
      <c r="FY47" s="330"/>
      <c r="FZ47" s="330"/>
      <c r="GA47" s="330"/>
      <c r="GB47" s="330"/>
      <c r="GC47" s="330"/>
      <c r="GD47" s="330"/>
      <c r="GE47" s="330"/>
      <c r="GF47" s="330"/>
      <c r="GG47" s="330"/>
      <c r="GH47" s="2141" t="s">
        <v>1023</v>
      </c>
      <c r="GI47" s="2142"/>
      <c r="GJ47" s="2142"/>
      <c r="GK47" s="2143"/>
      <c r="GL47" s="2182" t="s">
        <v>1022</v>
      </c>
      <c r="GM47" s="2183"/>
      <c r="GN47" s="2183"/>
      <c r="GO47" s="2183"/>
      <c r="GP47" s="2183"/>
      <c r="GQ47" s="2183"/>
      <c r="GR47" s="2183"/>
      <c r="GS47" s="2183"/>
      <c r="GT47" s="2183"/>
      <c r="GU47" s="2183"/>
      <c r="GV47" s="2183"/>
      <c r="GW47" s="2183"/>
      <c r="GX47" s="2183"/>
      <c r="GY47" s="2183"/>
      <c r="GZ47" s="2183"/>
      <c r="HA47" s="2183"/>
      <c r="HB47" s="2183"/>
      <c r="HC47" s="2183"/>
      <c r="HD47" s="2183"/>
      <c r="HE47" s="2183"/>
      <c r="HF47" s="2183"/>
      <c r="HG47" s="2183"/>
      <c r="HH47" s="2183"/>
      <c r="HI47" s="2183"/>
      <c r="HJ47" s="2183"/>
      <c r="HK47" s="2183"/>
      <c r="HL47" s="2183"/>
      <c r="HM47" s="2183"/>
      <c r="HN47" s="2183"/>
      <c r="HO47" s="2184"/>
      <c r="HP47" s="330"/>
      <c r="HQ47" s="330"/>
      <c r="HR47" s="330"/>
      <c r="HS47" s="330"/>
      <c r="HT47" s="330"/>
      <c r="HU47" s="330"/>
      <c r="HV47" s="330"/>
      <c r="HW47" s="330"/>
      <c r="HX47" s="330"/>
      <c r="HY47" s="330"/>
      <c r="HZ47" s="330"/>
      <c r="IA47" s="330"/>
      <c r="IB47" s="330"/>
      <c r="IC47" s="330"/>
      <c r="ID47" s="330"/>
      <c r="IE47" s="330"/>
      <c r="IF47" s="330"/>
      <c r="IG47" s="330"/>
      <c r="IH47" s="330"/>
      <c r="II47" s="330"/>
      <c r="IJ47" s="330"/>
      <c r="IK47" s="2141" t="s">
        <v>1035</v>
      </c>
      <c r="IL47" s="2142"/>
      <c r="IM47" s="2142"/>
      <c r="IN47" s="2143"/>
      <c r="IO47" s="2144" t="s">
        <v>1034</v>
      </c>
      <c r="IP47" s="2145"/>
      <c r="IQ47" s="2145"/>
      <c r="IR47" s="2145"/>
      <c r="IS47" s="2145"/>
      <c r="IT47" s="2145"/>
      <c r="IU47" s="2145"/>
      <c r="IV47" s="2145"/>
      <c r="IW47" s="2145"/>
      <c r="IX47" s="2145"/>
      <c r="IY47" s="2145"/>
      <c r="IZ47" s="2145"/>
      <c r="JA47" s="2145"/>
      <c r="JB47" s="2145"/>
      <c r="JC47" s="2145"/>
      <c r="JD47" s="2145"/>
      <c r="JE47" s="2145"/>
      <c r="JF47" s="2145"/>
      <c r="JG47" s="2145"/>
      <c r="JH47" s="2145"/>
      <c r="JI47" s="2145"/>
      <c r="JJ47" s="2145"/>
      <c r="JK47" s="2145"/>
      <c r="JL47" s="2145"/>
      <c r="JM47" s="2145"/>
      <c r="JN47" s="2145"/>
      <c r="JO47" s="2145"/>
      <c r="JP47" s="2145"/>
      <c r="JQ47" s="2145"/>
      <c r="JR47" s="2145"/>
      <c r="JS47" s="2145"/>
      <c r="JT47" s="2145"/>
      <c r="JU47" s="2145"/>
      <c r="JV47" s="2145"/>
      <c r="JW47" s="2145"/>
      <c r="JX47" s="2146"/>
      <c r="JY47" s="330"/>
      <c r="JZ47" s="330"/>
      <c r="KA47" s="330"/>
      <c r="KB47" s="330"/>
      <c r="KC47" s="330"/>
      <c r="KD47" s="330"/>
      <c r="KE47" s="330"/>
      <c r="KF47" s="330"/>
      <c r="KG47" s="330"/>
      <c r="KH47" s="330"/>
      <c r="KI47" s="330"/>
      <c r="KJ47" s="330"/>
      <c r="KK47" s="330"/>
      <c r="KL47" s="330"/>
      <c r="KM47" s="330"/>
      <c r="KN47" s="330"/>
      <c r="KO47" s="330"/>
      <c r="KP47" s="330"/>
      <c r="KQ47" s="330"/>
      <c r="KR47" s="330"/>
      <c r="KS47" s="330"/>
      <c r="KT47" s="330"/>
      <c r="KU47" s="330"/>
      <c r="KV47" s="330"/>
      <c r="KW47" s="330"/>
      <c r="KX47" s="330"/>
      <c r="KY47" s="330"/>
      <c r="KZ47" s="330"/>
      <c r="LA47" s="330"/>
      <c r="LB47" s="330"/>
      <c r="LC47" s="330"/>
      <c r="LD47" s="330"/>
      <c r="LE47" s="330"/>
      <c r="LF47" s="330"/>
      <c r="LG47" s="330"/>
      <c r="LH47" s="330"/>
      <c r="LI47" s="330"/>
      <c r="LJ47" s="330"/>
      <c r="LK47" s="330"/>
      <c r="LL47" s="330"/>
      <c r="LM47" s="330"/>
      <c r="LN47" s="330"/>
      <c r="LO47" s="330"/>
      <c r="LP47" s="330"/>
      <c r="LQ47" s="330"/>
      <c r="LR47" s="330"/>
      <c r="LS47" s="330"/>
      <c r="LT47" s="330"/>
      <c r="LU47" s="330"/>
      <c r="LV47" s="330"/>
      <c r="LW47" s="330"/>
      <c r="LX47" s="330"/>
      <c r="LY47" s="330"/>
      <c r="LZ47" s="330"/>
      <c r="MA47" s="330"/>
      <c r="MB47" s="330"/>
      <c r="MC47" s="330"/>
      <c r="MD47" s="330"/>
      <c r="ME47" s="330"/>
      <c r="MF47" s="330"/>
      <c r="MG47" s="330"/>
      <c r="MH47" s="330"/>
      <c r="MI47" s="330"/>
      <c r="MJ47" s="330"/>
      <c r="MK47" s="330"/>
      <c r="ML47" s="330"/>
      <c r="MM47" s="330"/>
      <c r="MN47" s="330"/>
      <c r="MO47" s="330"/>
      <c r="MP47" s="330"/>
      <c r="MQ47" s="330"/>
      <c r="MR47" s="330"/>
      <c r="MS47" s="330"/>
      <c r="MT47" s="330"/>
      <c r="MU47" s="330"/>
      <c r="MV47" s="330"/>
      <c r="MW47" s="330"/>
      <c r="MX47" s="330"/>
      <c r="MY47" s="330"/>
      <c r="MZ47" s="330"/>
      <c r="NA47" s="330"/>
      <c r="NB47" s="330"/>
      <c r="NC47" s="330"/>
      <c r="ND47" s="330"/>
      <c r="NE47" s="330"/>
      <c r="NF47" s="330"/>
      <c r="NG47" s="330"/>
      <c r="NH47" s="330"/>
      <c r="NI47" s="330"/>
      <c r="NJ47" s="330"/>
      <c r="NK47" s="330"/>
      <c r="NL47" s="330"/>
      <c r="NM47" s="330"/>
      <c r="NN47" s="330"/>
      <c r="NO47" s="330"/>
      <c r="NP47" s="330"/>
      <c r="NQ47" s="330"/>
      <c r="NR47" s="330"/>
      <c r="NS47" s="330"/>
      <c r="NT47" s="330"/>
      <c r="NU47" s="330"/>
      <c r="NV47" s="330"/>
      <c r="NW47" s="330"/>
      <c r="NX47" s="330"/>
      <c r="NY47" s="330"/>
      <c r="NZ47" s="330"/>
      <c r="OA47" s="330"/>
      <c r="OB47" s="330"/>
      <c r="OC47" s="330"/>
      <c r="OD47" s="330"/>
      <c r="OE47" s="330"/>
      <c r="OF47" s="330"/>
      <c r="OG47" s="330"/>
    </row>
    <row r="48" spans="1:450" s="74" customFormat="1" ht="27.6" customHeight="1" thickBot="1">
      <c r="B48" s="2444"/>
      <c r="C48" s="2445"/>
      <c r="D48" s="2445"/>
      <c r="E48" s="1694"/>
      <c r="F48" s="1674"/>
      <c r="G48" s="1674"/>
      <c r="H48" s="1674"/>
      <c r="I48" s="1674"/>
      <c r="J48" s="1674"/>
      <c r="K48" s="1674"/>
      <c r="L48" s="1674"/>
      <c r="M48" s="1674"/>
      <c r="N48" s="1674"/>
      <c r="O48" s="1674"/>
      <c r="P48" s="1674"/>
      <c r="Q48" s="1674"/>
      <c r="R48" s="1674"/>
      <c r="S48" s="1674"/>
      <c r="T48" s="1674"/>
      <c r="U48" s="1674"/>
      <c r="V48" s="1674"/>
      <c r="W48" s="1674"/>
      <c r="X48" s="1674"/>
      <c r="Y48" s="1674"/>
      <c r="Z48" s="1643"/>
      <c r="AA48" s="1638"/>
      <c r="AB48" s="1638"/>
      <c r="AC48" s="1638"/>
      <c r="AD48" s="1638"/>
      <c r="AE48" s="1638"/>
      <c r="AF48" s="1638"/>
      <c r="AG48" s="1638"/>
      <c r="AH48" s="1638"/>
      <c r="AI48" s="1638"/>
      <c r="AJ48" s="1638"/>
      <c r="AK48" s="1633"/>
      <c r="AL48" s="330"/>
      <c r="AM48" s="330"/>
      <c r="AN48" s="330"/>
      <c r="AO48" s="330"/>
      <c r="AP48" s="330"/>
      <c r="AQ48" s="330"/>
      <c r="AR48" s="330"/>
      <c r="AS48" s="330"/>
      <c r="AT48" s="330"/>
      <c r="AU48" s="330"/>
      <c r="AV48" s="330"/>
      <c r="AW48" s="330"/>
      <c r="AX48" s="330"/>
      <c r="AY48" s="330"/>
      <c r="AZ48" s="330"/>
      <c r="BA48" s="330"/>
      <c r="BB48" s="330"/>
      <c r="BC48" s="330"/>
      <c r="BD48" s="330"/>
      <c r="BE48" s="330"/>
      <c r="BF48" s="330"/>
      <c r="BG48" s="330"/>
      <c r="BH48" s="330"/>
      <c r="BI48" s="330"/>
      <c r="BJ48" s="330"/>
      <c r="BK48" s="330"/>
      <c r="BL48" s="330"/>
      <c r="BM48" s="330"/>
      <c r="BN48" s="330"/>
      <c r="BO48" s="330"/>
      <c r="BP48" s="330"/>
      <c r="BQ48" s="330"/>
      <c r="BR48" s="330"/>
      <c r="BS48" s="330"/>
      <c r="BT48" s="330"/>
      <c r="BU48" s="330"/>
      <c r="BV48" s="330"/>
      <c r="BW48" s="330"/>
      <c r="BX48" s="330"/>
      <c r="BY48" s="330"/>
      <c r="BZ48" s="330"/>
      <c r="CA48" s="330"/>
      <c r="CB48" s="330"/>
      <c r="CC48" s="330"/>
      <c r="CD48" s="330"/>
      <c r="CE48" s="330"/>
      <c r="CF48" s="330"/>
      <c r="CG48" s="330"/>
      <c r="CH48" s="330"/>
      <c r="CI48" s="330"/>
      <c r="CJ48" s="330"/>
      <c r="CK48" s="330"/>
      <c r="CL48" s="330"/>
      <c r="CM48" s="330"/>
      <c r="CN48" s="330"/>
      <c r="CO48" s="330"/>
      <c r="CP48" s="330"/>
      <c r="CQ48" s="330"/>
      <c r="CR48" s="330"/>
      <c r="CS48" s="330"/>
      <c r="CT48" s="330"/>
      <c r="CU48" s="330"/>
      <c r="CV48" s="330"/>
      <c r="CW48" s="330"/>
      <c r="CX48" s="330"/>
      <c r="CY48" s="330"/>
      <c r="CZ48" s="330"/>
      <c r="DA48" s="330"/>
      <c r="DB48" s="330"/>
      <c r="DC48" s="330"/>
      <c r="DD48" s="330"/>
      <c r="DE48" s="330"/>
      <c r="DF48" s="330"/>
      <c r="DG48" s="330"/>
      <c r="DH48" s="330"/>
      <c r="DI48" s="330"/>
      <c r="DJ48" s="330"/>
      <c r="DK48" s="330"/>
      <c r="DL48" s="2147" t="s">
        <v>783</v>
      </c>
      <c r="DM48" s="2148"/>
      <c r="DN48" s="2148"/>
      <c r="DO48" s="2148"/>
      <c r="DP48" s="2148"/>
      <c r="DQ48" s="2149"/>
      <c r="DR48" s="2150" t="s">
        <v>810</v>
      </c>
      <c r="DS48" s="2151"/>
      <c r="DT48" s="2151"/>
      <c r="DU48" s="2151"/>
      <c r="DV48" s="2151"/>
      <c r="DW48" s="2151"/>
      <c r="DX48" s="2151"/>
      <c r="DY48" s="2151"/>
      <c r="DZ48" s="2151"/>
      <c r="EA48" s="2152"/>
      <c r="EB48" s="2153" t="s">
        <v>811</v>
      </c>
      <c r="EC48" s="2154"/>
      <c r="ED48" s="2154"/>
      <c r="EE48" s="2154"/>
      <c r="EF48" s="2154"/>
      <c r="EG48" s="2154"/>
      <c r="EH48" s="2154"/>
      <c r="EI48" s="2154"/>
      <c r="EJ48" s="2154"/>
      <c r="EK48" s="2154"/>
      <c r="EL48" s="2154"/>
      <c r="EM48" s="2154"/>
      <c r="EN48" s="2154"/>
      <c r="EO48" s="2154"/>
      <c r="EP48" s="2154"/>
      <c r="EQ48" s="2154"/>
      <c r="ER48" s="2154"/>
      <c r="ES48" s="2154"/>
      <c r="ET48" s="2154"/>
      <c r="EU48" s="2154"/>
      <c r="EV48" s="2154"/>
      <c r="EW48" s="2154"/>
      <c r="EX48" s="2154"/>
      <c r="EY48" s="2155"/>
      <c r="EZ48" s="330"/>
      <c r="FA48" s="330"/>
      <c r="FB48" s="330"/>
      <c r="FC48" s="330"/>
      <c r="FD48" s="330"/>
      <c r="FE48" s="330"/>
      <c r="FF48" s="330"/>
      <c r="FG48" s="330"/>
      <c r="FH48" s="330"/>
      <c r="FI48" s="330"/>
      <c r="FJ48" s="330"/>
      <c r="FK48" s="330"/>
      <c r="FL48" s="330"/>
      <c r="FM48" s="330"/>
      <c r="FN48" s="330"/>
      <c r="FO48" s="330"/>
      <c r="FP48" s="330"/>
      <c r="FQ48" s="330"/>
      <c r="FR48" s="330"/>
      <c r="FS48" s="330"/>
      <c r="FT48" s="330"/>
      <c r="FU48" s="330"/>
      <c r="FV48" s="330"/>
      <c r="FW48" s="330"/>
      <c r="FX48" s="330"/>
      <c r="FY48" s="330"/>
      <c r="FZ48" s="330"/>
      <c r="GA48" s="330"/>
      <c r="GB48" s="330"/>
      <c r="GC48" s="330"/>
      <c r="GD48" s="330"/>
      <c r="GE48" s="330"/>
      <c r="GF48" s="330"/>
      <c r="GG48" s="330"/>
      <c r="GH48" s="2147" t="s">
        <v>783</v>
      </c>
      <c r="GI48" s="2148"/>
      <c r="GJ48" s="2148"/>
      <c r="GK48" s="2148"/>
      <c r="GL48" s="2148"/>
      <c r="GM48" s="2149"/>
      <c r="GN48" s="2150" t="s">
        <v>810</v>
      </c>
      <c r="GO48" s="2151"/>
      <c r="GP48" s="2151"/>
      <c r="GQ48" s="2151"/>
      <c r="GR48" s="2151"/>
      <c r="GS48" s="2151"/>
      <c r="GT48" s="2151"/>
      <c r="GU48" s="2151"/>
      <c r="GV48" s="2151"/>
      <c r="GW48" s="2152"/>
      <c r="GX48" s="2153" t="s">
        <v>811</v>
      </c>
      <c r="GY48" s="2154"/>
      <c r="GZ48" s="2154"/>
      <c r="HA48" s="2154"/>
      <c r="HB48" s="2154"/>
      <c r="HC48" s="2154"/>
      <c r="HD48" s="2154"/>
      <c r="HE48" s="2154"/>
      <c r="HF48" s="2154"/>
      <c r="HG48" s="2154"/>
      <c r="HH48" s="2154"/>
      <c r="HI48" s="2154"/>
      <c r="HJ48" s="2154"/>
      <c r="HK48" s="2154"/>
      <c r="HL48" s="2154"/>
      <c r="HM48" s="2154"/>
      <c r="HN48" s="2154"/>
      <c r="HO48" s="2155"/>
      <c r="HP48" s="330"/>
      <c r="HQ48" s="330"/>
      <c r="HR48" s="330"/>
      <c r="HS48" s="330"/>
      <c r="HT48" s="330"/>
      <c r="HU48" s="330"/>
      <c r="HV48" s="330"/>
      <c r="HW48" s="330"/>
      <c r="HX48" s="330"/>
      <c r="HY48" s="330"/>
      <c r="HZ48" s="330"/>
      <c r="IA48" s="330"/>
      <c r="IB48" s="330"/>
      <c r="IC48" s="330"/>
      <c r="ID48" s="330"/>
      <c r="IE48" s="330"/>
      <c r="IF48" s="330"/>
      <c r="IG48" s="330"/>
      <c r="IH48" s="330"/>
      <c r="II48" s="330"/>
      <c r="IJ48" s="330"/>
      <c r="IK48" s="2147" t="s">
        <v>783</v>
      </c>
      <c r="IL48" s="2148"/>
      <c r="IM48" s="2148"/>
      <c r="IN48" s="2148"/>
      <c r="IO48" s="2148"/>
      <c r="IP48" s="2149"/>
      <c r="IQ48" s="2150" t="s">
        <v>810</v>
      </c>
      <c r="IR48" s="2151"/>
      <c r="IS48" s="2151"/>
      <c r="IT48" s="2151"/>
      <c r="IU48" s="2151"/>
      <c r="IV48" s="2151"/>
      <c r="IW48" s="2151"/>
      <c r="IX48" s="2151"/>
      <c r="IY48" s="2151"/>
      <c r="IZ48" s="2152"/>
      <c r="JA48" s="2153" t="s">
        <v>811</v>
      </c>
      <c r="JB48" s="2154"/>
      <c r="JC48" s="2154"/>
      <c r="JD48" s="2154"/>
      <c r="JE48" s="2154"/>
      <c r="JF48" s="2154"/>
      <c r="JG48" s="2154"/>
      <c r="JH48" s="2154"/>
      <c r="JI48" s="2154"/>
      <c r="JJ48" s="2154"/>
      <c r="JK48" s="2154"/>
      <c r="JL48" s="2154"/>
      <c r="JM48" s="2154"/>
      <c r="JN48" s="2154"/>
      <c r="JO48" s="2154"/>
      <c r="JP48" s="2154"/>
      <c r="JQ48" s="2154"/>
      <c r="JR48" s="2154"/>
      <c r="JS48" s="2154"/>
      <c r="JT48" s="2154"/>
      <c r="JU48" s="2154"/>
      <c r="JV48" s="2154"/>
      <c r="JW48" s="2154"/>
      <c r="JX48" s="2155"/>
      <c r="JY48" s="330"/>
      <c r="JZ48" s="330"/>
      <c r="KA48" s="330"/>
      <c r="KB48" s="330"/>
      <c r="KC48" s="330"/>
      <c r="KD48" s="330"/>
      <c r="KE48" s="330"/>
      <c r="KF48" s="330"/>
      <c r="KG48" s="330"/>
      <c r="KH48" s="330"/>
      <c r="KI48" s="330"/>
      <c r="KJ48" s="330"/>
      <c r="KK48" s="330"/>
      <c r="KL48" s="330"/>
      <c r="KM48" s="330"/>
      <c r="KN48" s="330"/>
      <c r="KO48" s="330"/>
      <c r="KP48" s="330"/>
      <c r="KQ48" s="330"/>
      <c r="KR48" s="330"/>
      <c r="KS48" s="330"/>
      <c r="KT48" s="330"/>
      <c r="KU48" s="330"/>
      <c r="KV48" s="330"/>
      <c r="KW48" s="330"/>
      <c r="KX48" s="330"/>
      <c r="KY48" s="330"/>
      <c r="KZ48" s="330"/>
      <c r="LA48" s="330"/>
      <c r="LB48" s="330"/>
      <c r="LC48" s="330"/>
      <c r="LD48" s="330"/>
      <c r="LE48" s="330"/>
      <c r="LF48" s="330"/>
      <c r="LG48" s="330"/>
      <c r="LH48" s="330"/>
      <c r="LI48" s="330"/>
      <c r="LJ48" s="330"/>
      <c r="LK48" s="330"/>
      <c r="LL48" s="330"/>
      <c r="LM48" s="330"/>
      <c r="LN48" s="330"/>
      <c r="LO48" s="330"/>
      <c r="LP48" s="330"/>
      <c r="LQ48" s="330"/>
      <c r="LR48" s="330"/>
      <c r="LS48" s="330"/>
      <c r="LT48" s="330"/>
      <c r="LU48" s="330"/>
      <c r="LV48" s="330"/>
      <c r="LW48" s="330"/>
      <c r="LX48" s="330"/>
      <c r="LY48" s="330"/>
      <c r="LZ48" s="330"/>
      <c r="MA48" s="330"/>
      <c r="MB48" s="330"/>
      <c r="MC48" s="330"/>
      <c r="MD48" s="330"/>
      <c r="ME48" s="330"/>
      <c r="MF48" s="330"/>
      <c r="MG48" s="330"/>
      <c r="MH48" s="330"/>
      <c r="MI48" s="330"/>
      <c r="MJ48" s="330"/>
      <c r="MK48" s="330"/>
      <c r="ML48" s="330"/>
      <c r="MM48" s="330"/>
      <c r="MN48" s="330"/>
      <c r="MO48" s="330"/>
      <c r="MP48" s="330"/>
      <c r="MQ48" s="330"/>
      <c r="MR48" s="330"/>
      <c r="MS48" s="330"/>
      <c r="MT48" s="330"/>
      <c r="MU48" s="330"/>
      <c r="MV48" s="330"/>
      <c r="MW48" s="330"/>
      <c r="MX48" s="330"/>
      <c r="MY48" s="330"/>
      <c r="MZ48" s="330"/>
      <c r="NA48" s="330"/>
      <c r="NB48" s="330"/>
      <c r="NC48" s="330"/>
      <c r="ND48" s="330"/>
      <c r="NE48" s="330"/>
      <c r="NF48" s="330"/>
      <c r="NG48" s="330"/>
      <c r="NH48" s="330"/>
      <c r="NI48" s="330"/>
      <c r="NJ48" s="330"/>
      <c r="NK48" s="330"/>
      <c r="NL48" s="330"/>
      <c r="NM48" s="330"/>
      <c r="NN48" s="330"/>
      <c r="NO48" s="330"/>
      <c r="NP48" s="330"/>
      <c r="NQ48" s="330"/>
      <c r="NR48" s="330"/>
      <c r="NS48" s="330"/>
      <c r="NT48" s="330"/>
      <c r="NU48" s="330"/>
      <c r="NV48" s="330"/>
      <c r="NW48" s="330"/>
      <c r="NX48" s="330"/>
      <c r="NY48" s="330"/>
      <c r="NZ48" s="330"/>
      <c r="OA48" s="330"/>
      <c r="OB48" s="330"/>
      <c r="OC48" s="330"/>
      <c r="OD48" s="330"/>
      <c r="OE48" s="330"/>
      <c r="OF48" s="330"/>
      <c r="OG48" s="330"/>
      <c r="OH48" s="330"/>
      <c r="OI48" s="330"/>
      <c r="OJ48" s="330"/>
      <c r="OK48" s="330"/>
      <c r="OL48" s="330"/>
      <c r="OM48" s="330"/>
      <c r="ON48" s="330"/>
      <c r="OO48" s="330"/>
      <c r="OP48" s="330"/>
      <c r="OQ48" s="330"/>
      <c r="OR48" s="330"/>
      <c r="OS48" s="330"/>
    </row>
    <row r="49" spans="1:429" s="74" customFormat="1" ht="27.6" customHeight="1">
      <c r="B49" s="2444"/>
      <c r="C49" s="2445"/>
      <c r="D49" s="2445"/>
      <c r="E49" s="1694"/>
      <c r="F49" s="1674"/>
      <c r="G49" s="1674"/>
      <c r="H49" s="1674"/>
      <c r="I49" s="1674"/>
      <c r="J49" s="1674"/>
      <c r="K49" s="1674"/>
      <c r="L49" s="1674"/>
      <c r="M49" s="1674"/>
      <c r="N49" s="1674"/>
      <c r="O49" s="1674"/>
      <c r="P49" s="1674"/>
      <c r="Q49" s="1674"/>
      <c r="R49" s="1674"/>
      <c r="S49" s="1674"/>
      <c r="T49" s="1674"/>
      <c r="U49" s="1674"/>
      <c r="V49" s="1674"/>
      <c r="W49" s="1674"/>
      <c r="X49" s="1674"/>
      <c r="Y49" s="1674"/>
      <c r="Z49" s="1643"/>
      <c r="AA49" s="1638"/>
      <c r="AB49" s="1638"/>
      <c r="AC49" s="1638"/>
      <c r="AD49" s="1638"/>
      <c r="AE49" s="1638"/>
      <c r="AF49" s="1638"/>
      <c r="AG49" s="1638"/>
      <c r="AH49" s="1638"/>
      <c r="AI49" s="1638"/>
      <c r="AJ49" s="1638"/>
      <c r="AK49" s="1633"/>
      <c r="AL49" s="330"/>
      <c r="AM49" s="330"/>
      <c r="AN49" s="330"/>
      <c r="AO49" s="330"/>
      <c r="AP49" s="330"/>
      <c r="AQ49" s="330"/>
      <c r="AR49" s="330"/>
      <c r="AS49" s="330"/>
      <c r="AT49" s="330"/>
      <c r="AU49" s="330"/>
      <c r="AV49" s="330"/>
      <c r="AW49" s="330"/>
      <c r="AX49" s="330"/>
      <c r="AY49" s="330"/>
      <c r="AZ49" s="330"/>
      <c r="BA49" s="330"/>
      <c r="BB49" s="330"/>
      <c r="BC49" s="330"/>
      <c r="BD49" s="330"/>
      <c r="BE49" s="330"/>
      <c r="BF49" s="330"/>
      <c r="BG49" s="330"/>
      <c r="BH49" s="330"/>
      <c r="BI49" s="330"/>
      <c r="BJ49" s="330"/>
      <c r="BK49" s="330"/>
      <c r="BL49" s="330"/>
      <c r="BM49" s="330"/>
      <c r="BN49" s="330"/>
      <c r="BO49" s="330"/>
      <c r="BP49" s="330"/>
      <c r="BQ49" s="330"/>
      <c r="BR49" s="330"/>
      <c r="BS49" s="330"/>
      <c r="BT49" s="330"/>
      <c r="BU49" s="330"/>
      <c r="BV49" s="330"/>
      <c r="BW49" s="330"/>
      <c r="BX49" s="330"/>
      <c r="BY49" s="330"/>
      <c r="BZ49" s="330"/>
      <c r="CA49" s="330"/>
      <c r="CB49" s="330"/>
      <c r="CC49" s="330"/>
      <c r="CD49" s="330"/>
      <c r="CE49" s="330"/>
      <c r="CF49" s="330"/>
      <c r="CG49" s="330"/>
      <c r="CH49" s="330"/>
      <c r="CI49" s="330"/>
      <c r="CJ49" s="330"/>
      <c r="CK49" s="330"/>
      <c r="CL49" s="330"/>
      <c r="CM49" s="330"/>
      <c r="CN49" s="330"/>
      <c r="CO49" s="330"/>
      <c r="CP49" s="330"/>
      <c r="CQ49" s="330"/>
      <c r="CR49" s="330"/>
      <c r="CS49" s="330"/>
      <c r="CT49" s="330"/>
      <c r="CU49" s="330"/>
      <c r="CV49" s="330"/>
      <c r="CW49" s="330"/>
      <c r="CX49" s="330"/>
      <c r="CY49" s="330"/>
      <c r="CZ49" s="330"/>
      <c r="DA49" s="330"/>
      <c r="DB49" s="330"/>
      <c r="DC49" s="330"/>
      <c r="DD49" s="330"/>
      <c r="DE49" s="330"/>
      <c r="DF49" s="330"/>
      <c r="DG49" s="330"/>
      <c r="DH49" s="330"/>
      <c r="DI49" s="330"/>
      <c r="DJ49" s="330"/>
      <c r="DK49" s="330"/>
      <c r="DL49" s="330"/>
      <c r="DM49" s="330"/>
      <c r="DN49" s="330"/>
      <c r="DO49" s="330"/>
      <c r="DP49" s="1808"/>
      <c r="DQ49" s="1808"/>
      <c r="DR49" s="2156" t="s">
        <v>811</v>
      </c>
      <c r="DS49" s="2157"/>
      <c r="DT49" s="2157"/>
      <c r="DU49" s="2157"/>
      <c r="DV49" s="2157"/>
      <c r="DW49" s="2157"/>
      <c r="DX49" s="2157"/>
      <c r="DY49" s="2157"/>
      <c r="DZ49" s="2157"/>
      <c r="EA49" s="2157"/>
      <c r="EB49" s="2157"/>
      <c r="EC49" s="2157"/>
      <c r="ED49" s="2157"/>
      <c r="EE49" s="2157"/>
      <c r="EF49" s="2157"/>
      <c r="EG49" s="2157"/>
      <c r="EH49" s="2157"/>
      <c r="EI49" s="2157"/>
      <c r="EJ49" s="2157"/>
      <c r="EK49" s="2157"/>
      <c r="EL49" s="2157"/>
      <c r="EM49" s="2157"/>
      <c r="EN49" s="2157"/>
      <c r="EO49" s="2158"/>
      <c r="EP49" s="330"/>
      <c r="EQ49" s="330"/>
      <c r="ER49" s="330"/>
      <c r="ES49" s="330"/>
      <c r="EZ49" s="330"/>
      <c r="FA49" s="330"/>
      <c r="FB49" s="330"/>
      <c r="FC49" s="330"/>
      <c r="FD49" s="330"/>
      <c r="FE49" s="330"/>
      <c r="FF49" s="330"/>
      <c r="FG49" s="330"/>
      <c r="FH49" s="330"/>
      <c r="FI49" s="330"/>
      <c r="FJ49" s="330"/>
      <c r="FK49" s="330"/>
      <c r="FL49" s="330"/>
      <c r="FM49" s="330"/>
      <c r="FN49" s="330"/>
      <c r="FO49" s="330"/>
      <c r="FP49" s="330"/>
      <c r="FQ49" s="330"/>
      <c r="FR49" s="330"/>
      <c r="FS49" s="330"/>
      <c r="FT49" s="330"/>
      <c r="FU49" s="330"/>
      <c r="FV49" s="330"/>
      <c r="FW49" s="330"/>
      <c r="FX49" s="330"/>
      <c r="FY49" s="330"/>
      <c r="FZ49" s="330"/>
      <c r="GA49" s="330"/>
      <c r="GB49" s="330"/>
      <c r="GC49" s="330"/>
      <c r="GD49" s="330"/>
      <c r="GE49" s="330"/>
      <c r="GF49" s="330"/>
      <c r="GG49" s="330"/>
      <c r="GH49" s="330"/>
      <c r="GI49" s="330"/>
      <c r="GJ49" s="330"/>
      <c r="GK49" s="330"/>
      <c r="GL49" s="1808"/>
      <c r="GM49" s="1808"/>
      <c r="GN49" s="2156" t="s">
        <v>811</v>
      </c>
      <c r="GO49" s="2157"/>
      <c r="GP49" s="2157"/>
      <c r="GQ49" s="2157"/>
      <c r="GR49" s="2157"/>
      <c r="GS49" s="2157"/>
      <c r="GT49" s="2157"/>
      <c r="GU49" s="2157"/>
      <c r="GV49" s="2157"/>
      <c r="GW49" s="2157"/>
      <c r="GX49" s="2157"/>
      <c r="GY49" s="2157"/>
      <c r="GZ49" s="2157"/>
      <c r="HA49" s="2157"/>
      <c r="HB49" s="2157"/>
      <c r="HC49" s="2157"/>
      <c r="HD49" s="2157"/>
      <c r="HE49" s="2158"/>
      <c r="HF49" s="330"/>
      <c r="HG49" s="330"/>
      <c r="HH49" s="330"/>
      <c r="HI49" s="330"/>
      <c r="HJ49" s="330"/>
      <c r="HK49" s="330"/>
      <c r="HL49" s="330"/>
      <c r="HM49" s="330"/>
      <c r="HN49" s="330"/>
      <c r="HO49" s="330"/>
      <c r="HP49" s="330"/>
      <c r="HQ49" s="330"/>
      <c r="HR49" s="330"/>
      <c r="HS49" s="330"/>
      <c r="HT49" s="330"/>
      <c r="HU49" s="330"/>
      <c r="HV49" s="330"/>
      <c r="HW49" s="330"/>
      <c r="HX49" s="330"/>
      <c r="HY49" s="330"/>
      <c r="HZ49" s="330"/>
      <c r="IA49" s="330"/>
      <c r="IB49" s="330"/>
      <c r="IC49" s="330"/>
      <c r="ID49" s="330"/>
      <c r="IE49" s="330"/>
      <c r="IF49" s="330"/>
      <c r="IG49" s="330"/>
      <c r="IH49" s="330"/>
      <c r="II49" s="330"/>
      <c r="IJ49" s="330"/>
      <c r="IK49" s="330"/>
      <c r="IL49" s="330"/>
      <c r="IM49" s="330"/>
      <c r="IN49" s="330"/>
      <c r="IO49" s="1808"/>
      <c r="IP49" s="1808"/>
      <c r="IQ49" s="2156" t="s">
        <v>811</v>
      </c>
      <c r="IR49" s="2157"/>
      <c r="IS49" s="2157"/>
      <c r="IT49" s="2157"/>
      <c r="IU49" s="2157"/>
      <c r="IV49" s="2157"/>
      <c r="IW49" s="2157"/>
      <c r="IX49" s="2157"/>
      <c r="IY49" s="2157"/>
      <c r="IZ49" s="2157"/>
      <c r="JA49" s="2157"/>
      <c r="JB49" s="2157"/>
      <c r="JC49" s="2157"/>
      <c r="JD49" s="2157"/>
      <c r="JE49" s="2157"/>
      <c r="JF49" s="2157"/>
      <c r="JG49" s="2157"/>
      <c r="JH49" s="2157"/>
      <c r="JI49" s="2157"/>
      <c r="JJ49" s="2157"/>
      <c r="JK49" s="2157"/>
      <c r="JL49" s="2157"/>
      <c r="JM49" s="2157"/>
      <c r="JN49" s="2158"/>
      <c r="JO49" s="330"/>
      <c r="JP49" s="330"/>
      <c r="JQ49" s="330"/>
      <c r="JR49" s="330"/>
      <c r="JY49" s="330"/>
      <c r="JZ49" s="330"/>
      <c r="KA49" s="330"/>
      <c r="KB49" s="330"/>
      <c r="KC49" s="330"/>
      <c r="KD49" s="330"/>
      <c r="KE49" s="330"/>
      <c r="KF49" s="330"/>
      <c r="KG49" s="330"/>
      <c r="KH49" s="330"/>
      <c r="KI49" s="330"/>
      <c r="KJ49" s="330"/>
      <c r="KK49" s="330"/>
      <c r="KL49" s="330"/>
      <c r="KM49" s="330"/>
      <c r="KN49" s="330"/>
      <c r="KO49" s="330"/>
      <c r="KP49" s="330"/>
      <c r="KQ49" s="330"/>
      <c r="KR49" s="330"/>
      <c r="KS49" s="330"/>
      <c r="KT49" s="330"/>
      <c r="KU49" s="330"/>
      <c r="KV49" s="330"/>
      <c r="KW49" s="330"/>
      <c r="KX49" s="330"/>
      <c r="KY49" s="330"/>
      <c r="KZ49" s="330"/>
      <c r="LA49" s="330"/>
      <c r="LB49" s="330"/>
      <c r="LC49" s="330"/>
      <c r="LD49" s="330"/>
      <c r="LE49" s="330"/>
      <c r="LF49" s="330"/>
      <c r="LG49" s="330"/>
      <c r="LH49" s="330"/>
      <c r="LI49" s="330"/>
      <c r="LJ49" s="330"/>
      <c r="LK49" s="330"/>
      <c r="LL49" s="330"/>
      <c r="LM49" s="330"/>
      <c r="LN49" s="330"/>
      <c r="LO49" s="330"/>
      <c r="LP49" s="330"/>
      <c r="LQ49" s="330"/>
      <c r="LR49" s="330"/>
      <c r="LS49" s="330"/>
      <c r="LT49" s="330"/>
      <c r="LU49" s="330"/>
      <c r="LV49" s="330"/>
      <c r="LW49" s="330"/>
      <c r="LX49" s="330"/>
      <c r="LY49" s="330"/>
      <c r="LZ49" s="330"/>
      <c r="MA49" s="330"/>
      <c r="MB49" s="330"/>
      <c r="MC49" s="330"/>
      <c r="MD49" s="330"/>
      <c r="ME49" s="330"/>
      <c r="MF49" s="330"/>
      <c r="MG49" s="330"/>
      <c r="MH49" s="330"/>
      <c r="MI49" s="330"/>
      <c r="MJ49" s="330"/>
      <c r="MK49" s="330"/>
      <c r="ML49" s="330"/>
      <c r="MM49" s="330"/>
      <c r="MN49" s="330"/>
      <c r="MO49" s="330"/>
      <c r="MP49" s="330"/>
      <c r="MQ49" s="330"/>
      <c r="MR49" s="330"/>
      <c r="MS49" s="330"/>
      <c r="MT49" s="330"/>
      <c r="MU49" s="330"/>
      <c r="MV49" s="330"/>
      <c r="MW49" s="330"/>
      <c r="MX49" s="330"/>
      <c r="MY49" s="330"/>
      <c r="MZ49" s="330"/>
      <c r="NA49" s="330"/>
      <c r="NB49" s="330"/>
      <c r="NC49" s="330"/>
      <c r="ND49" s="330"/>
      <c r="NE49" s="330"/>
      <c r="NF49" s="330"/>
      <c r="NG49" s="330"/>
      <c r="NH49" s="330"/>
      <c r="NI49" s="330"/>
      <c r="NJ49" s="330"/>
      <c r="NK49" s="330"/>
      <c r="NL49" s="330"/>
      <c r="NM49" s="330"/>
      <c r="NN49" s="330"/>
      <c r="NO49" s="330"/>
      <c r="NP49" s="330"/>
      <c r="NQ49" s="330"/>
      <c r="NR49" s="330"/>
      <c r="NS49" s="330"/>
      <c r="NT49" s="330"/>
      <c r="NU49" s="330"/>
      <c r="NV49" s="330"/>
      <c r="NW49" s="330"/>
      <c r="NX49" s="330"/>
      <c r="NY49" s="330"/>
      <c r="NZ49" s="330"/>
      <c r="OA49" s="330"/>
      <c r="OB49" s="330"/>
      <c r="OC49" s="330"/>
      <c r="OD49" s="330"/>
      <c r="OE49" s="330"/>
      <c r="OF49" s="330"/>
      <c r="OG49" s="330"/>
      <c r="OH49" s="330"/>
      <c r="OI49" s="330"/>
      <c r="OJ49" s="330"/>
      <c r="OK49" s="330"/>
      <c r="OL49" s="330"/>
      <c r="OM49" s="330"/>
      <c r="ON49" s="330"/>
      <c r="OO49" s="330"/>
      <c r="OP49" s="330"/>
      <c r="OQ49" s="330"/>
      <c r="OR49" s="330"/>
      <c r="OS49" s="330"/>
    </row>
    <row r="50" spans="1:429" s="74" customFormat="1" ht="27.6" customHeight="1" thickBot="1">
      <c r="B50" s="2444"/>
      <c r="C50" s="2445"/>
      <c r="D50" s="2445"/>
      <c r="E50" s="1697" t="s">
        <v>873</v>
      </c>
      <c r="F50" s="1674"/>
      <c r="G50" s="1674"/>
      <c r="H50" s="1674"/>
      <c r="I50" s="1674"/>
      <c r="J50" s="1674"/>
      <c r="K50" s="1674"/>
      <c r="L50" s="1674"/>
      <c r="M50" s="1674"/>
      <c r="N50" s="1674"/>
      <c r="O50" s="1674"/>
      <c r="P50" s="1674"/>
      <c r="Q50" s="1674"/>
      <c r="R50" s="1674"/>
      <c r="S50" s="1674"/>
      <c r="T50" s="1674"/>
      <c r="U50" s="1674"/>
      <c r="V50" s="1674"/>
      <c r="W50" s="1674"/>
      <c r="X50" s="1674"/>
      <c r="Y50" s="1674"/>
      <c r="Z50" s="1643"/>
      <c r="AA50" s="1638"/>
      <c r="AB50" s="1638"/>
      <c r="AC50" s="1638"/>
      <c r="AD50" s="1638"/>
      <c r="AE50" s="1638"/>
      <c r="AF50" s="1638"/>
      <c r="AG50" s="1638"/>
      <c r="AH50" s="1638"/>
      <c r="AI50" s="1638"/>
      <c r="AJ50" s="1638"/>
      <c r="AK50" s="1633"/>
      <c r="AL50" s="330"/>
      <c r="AM50" s="330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330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330"/>
      <c r="BZ50" s="330"/>
      <c r="CA50" s="330"/>
      <c r="CB50" s="330"/>
      <c r="CC50" s="330"/>
      <c r="CD50" s="330"/>
      <c r="CE50" s="330"/>
      <c r="CF50" s="330"/>
      <c r="CG50" s="330"/>
      <c r="CH50" s="330"/>
      <c r="CI50" s="330"/>
      <c r="CJ50" s="330"/>
      <c r="CK50" s="330"/>
      <c r="CL50" s="330"/>
      <c r="CM50" s="330"/>
      <c r="CN50" s="330"/>
      <c r="CO50" s="330"/>
      <c r="CP50" s="330"/>
      <c r="CQ50" s="330"/>
      <c r="CR50" s="330"/>
      <c r="CS50" s="330"/>
      <c r="CT50" s="330"/>
      <c r="CU50" s="330"/>
      <c r="CV50" s="330"/>
      <c r="CW50" s="330"/>
      <c r="CX50" s="330"/>
      <c r="CY50" s="330"/>
      <c r="CZ50" s="330"/>
      <c r="DA50" s="330"/>
      <c r="DB50" s="330"/>
      <c r="DC50" s="330"/>
      <c r="DD50" s="330"/>
      <c r="DE50" s="330"/>
      <c r="DF50" s="330"/>
      <c r="DG50" s="330"/>
      <c r="DH50" s="330"/>
      <c r="DI50" s="330"/>
      <c r="DJ50" s="330"/>
      <c r="DK50" s="330"/>
      <c r="DL50" s="1608"/>
      <c r="DM50" s="1608"/>
      <c r="DN50" s="1608"/>
      <c r="DO50" s="1608"/>
      <c r="DP50" s="1608">
        <v>1200</v>
      </c>
      <c r="DQ50" s="1608">
        <v>1200</v>
      </c>
      <c r="DR50" s="1608">
        <v>1200</v>
      </c>
      <c r="DS50" s="1608">
        <v>1200</v>
      </c>
      <c r="DT50" s="1608">
        <v>1200</v>
      </c>
      <c r="DU50" s="1608">
        <v>1200</v>
      </c>
      <c r="DV50" s="1608">
        <v>1200</v>
      </c>
      <c r="DW50" s="1608">
        <v>1200</v>
      </c>
      <c r="DX50" s="1608">
        <v>1200</v>
      </c>
      <c r="DY50" s="1608">
        <v>1200</v>
      </c>
      <c r="DZ50" s="1608">
        <v>1200</v>
      </c>
      <c r="EA50" s="1608">
        <v>1200</v>
      </c>
      <c r="EB50" s="330"/>
      <c r="EC50" s="330"/>
      <c r="ED50" s="330"/>
      <c r="EE50" s="330"/>
      <c r="EF50" s="330"/>
      <c r="EG50" s="330"/>
      <c r="EH50" s="330"/>
      <c r="EI50" s="330"/>
      <c r="EJ50" s="330"/>
      <c r="EK50" s="330"/>
      <c r="EL50" s="330"/>
      <c r="EM50" s="330"/>
      <c r="EN50" s="330"/>
      <c r="EO50" s="330"/>
      <c r="EP50" s="330"/>
      <c r="EQ50" s="330"/>
      <c r="ER50" s="330"/>
      <c r="ES50" s="330"/>
      <c r="ET50" s="330"/>
      <c r="EU50" s="330"/>
      <c r="EV50" s="330"/>
      <c r="EW50" s="330"/>
      <c r="EX50" s="330"/>
      <c r="EY50" s="330"/>
      <c r="EZ50" s="330"/>
      <c r="FA50" s="330"/>
      <c r="FB50" s="330"/>
      <c r="FC50" s="330"/>
      <c r="FD50" s="330"/>
      <c r="FE50" s="330"/>
      <c r="FF50" s="330"/>
      <c r="FG50" s="330"/>
      <c r="FH50" s="330"/>
      <c r="FI50" s="330"/>
      <c r="FJ50" s="330"/>
      <c r="FK50" s="330"/>
      <c r="FL50" s="330"/>
      <c r="FM50" s="330"/>
      <c r="FN50" s="330"/>
      <c r="FO50" s="330"/>
      <c r="FP50" s="330"/>
      <c r="FQ50" s="330"/>
      <c r="FR50" s="330"/>
      <c r="FS50" s="330"/>
      <c r="FT50" s="330"/>
      <c r="FU50" s="330"/>
      <c r="FV50" s="330"/>
      <c r="FW50" s="330"/>
      <c r="FX50" s="330"/>
      <c r="FY50" s="330"/>
      <c r="FZ50" s="330"/>
      <c r="GA50" s="330"/>
      <c r="GB50" s="330"/>
      <c r="GC50" s="330"/>
      <c r="GD50" s="330"/>
      <c r="GE50" s="330"/>
      <c r="GF50" s="330"/>
      <c r="GG50" s="330"/>
      <c r="GH50" s="1608"/>
      <c r="GI50" s="1608"/>
      <c r="GJ50" s="1608"/>
      <c r="GK50" s="1608"/>
      <c r="GL50" s="1608">
        <v>1200</v>
      </c>
      <c r="GM50" s="1608">
        <v>1200</v>
      </c>
      <c r="GN50" s="1608">
        <v>1200</v>
      </c>
      <c r="GO50" s="1608">
        <v>1200</v>
      </c>
      <c r="GP50" s="1608">
        <v>1200</v>
      </c>
      <c r="GQ50" s="1608">
        <v>1200</v>
      </c>
      <c r="GR50" s="1608">
        <v>1200</v>
      </c>
      <c r="GS50" s="1608">
        <v>1200</v>
      </c>
      <c r="GT50" s="1608">
        <v>1200</v>
      </c>
      <c r="GU50" s="1608">
        <v>1200</v>
      </c>
      <c r="GV50" s="1608">
        <v>1200</v>
      </c>
      <c r="GW50" s="1608">
        <v>1200</v>
      </c>
      <c r="GX50" s="330"/>
      <c r="GY50" s="330"/>
      <c r="GZ50" s="330"/>
      <c r="HA50" s="330"/>
      <c r="HB50" s="330"/>
      <c r="HC50" s="330"/>
      <c r="HD50" s="330"/>
      <c r="HE50" s="330"/>
      <c r="HF50" s="330"/>
      <c r="HG50" s="330"/>
      <c r="HH50" s="330"/>
      <c r="HI50" s="330"/>
      <c r="HJ50" s="330"/>
      <c r="HK50" s="330"/>
      <c r="HL50" s="330"/>
      <c r="HM50" s="330"/>
      <c r="HN50" s="330"/>
      <c r="HO50" s="330"/>
      <c r="HP50" s="330"/>
      <c r="HQ50" s="330"/>
      <c r="HR50" s="330"/>
      <c r="HS50" s="330"/>
      <c r="HT50" s="330"/>
      <c r="HU50" s="330"/>
      <c r="HV50" s="330"/>
      <c r="HW50" s="330"/>
      <c r="HX50" s="330"/>
      <c r="HY50" s="330"/>
      <c r="HZ50" s="330"/>
      <c r="IA50" s="330"/>
      <c r="IB50" s="330"/>
      <c r="IC50" s="330"/>
      <c r="ID50" s="330"/>
      <c r="IE50" s="330"/>
      <c r="IF50" s="330"/>
      <c r="IG50" s="330"/>
      <c r="IH50" s="330"/>
      <c r="II50" s="330"/>
      <c r="IJ50" s="330"/>
      <c r="IK50" s="1608"/>
      <c r="IL50" s="1608"/>
      <c r="IM50" s="1608"/>
      <c r="IN50" s="1608"/>
      <c r="IO50" s="1608">
        <v>1200</v>
      </c>
      <c r="IP50" s="1608">
        <v>1200</v>
      </c>
      <c r="IQ50" s="1608">
        <v>1200</v>
      </c>
      <c r="IR50" s="1608">
        <v>1200</v>
      </c>
      <c r="IS50" s="1608">
        <v>1200</v>
      </c>
      <c r="IT50" s="1608">
        <v>1200</v>
      </c>
      <c r="IU50" s="1608">
        <v>1200</v>
      </c>
      <c r="IV50" s="1608">
        <v>1200</v>
      </c>
      <c r="IW50" s="1608">
        <v>1200</v>
      </c>
      <c r="IX50" s="1608">
        <v>1200</v>
      </c>
      <c r="IY50" s="1608">
        <v>1200</v>
      </c>
      <c r="IZ50" s="1608">
        <v>1200</v>
      </c>
      <c r="JA50" s="330"/>
      <c r="JB50" s="330"/>
      <c r="JC50" s="330"/>
      <c r="JD50" s="330"/>
      <c r="JE50" s="330"/>
      <c r="JF50" s="330"/>
      <c r="JG50" s="330"/>
      <c r="JH50" s="330"/>
      <c r="JI50" s="330"/>
      <c r="JJ50" s="330"/>
      <c r="JK50" s="330"/>
      <c r="JL50" s="330"/>
      <c r="JM50" s="330"/>
      <c r="JN50" s="330"/>
      <c r="JO50" s="330"/>
      <c r="JP50" s="330"/>
      <c r="JQ50" s="330"/>
      <c r="JR50" s="330"/>
      <c r="JS50" s="330"/>
      <c r="JT50" s="330"/>
      <c r="JU50" s="330"/>
      <c r="JV50" s="330"/>
      <c r="JW50" s="330"/>
      <c r="JX50" s="330"/>
      <c r="JY50" s="330"/>
      <c r="JZ50" s="330"/>
      <c r="KA50" s="330"/>
      <c r="KB50" s="330"/>
      <c r="KC50" s="330"/>
      <c r="KD50" s="330"/>
      <c r="KE50" s="330"/>
      <c r="KF50" s="330"/>
      <c r="KG50" s="330"/>
      <c r="KH50" s="330"/>
      <c r="KI50" s="330"/>
      <c r="KJ50" s="330"/>
      <c r="KK50" s="330"/>
      <c r="KL50" s="330"/>
      <c r="KM50" s="330"/>
      <c r="KN50" s="330"/>
      <c r="KO50" s="330"/>
      <c r="KP50" s="330"/>
      <c r="KQ50" s="330"/>
      <c r="KR50" s="330"/>
      <c r="KS50" s="330"/>
      <c r="KT50" s="330"/>
      <c r="KU50" s="330"/>
      <c r="KV50" s="330"/>
      <c r="KW50" s="330"/>
      <c r="KX50" s="330"/>
      <c r="KY50" s="330"/>
      <c r="KZ50" s="330"/>
      <c r="LA50" s="330"/>
      <c r="LB50" s="330"/>
      <c r="LC50" s="330"/>
      <c r="LD50" s="330"/>
      <c r="LE50" s="330"/>
      <c r="LF50" s="330"/>
      <c r="LG50" s="330"/>
      <c r="LH50" s="330"/>
      <c r="LI50" s="330"/>
      <c r="LJ50" s="330"/>
      <c r="LK50" s="330"/>
      <c r="LL50" s="330"/>
      <c r="LM50" s="330"/>
      <c r="LN50" s="330"/>
      <c r="LO50" s="330"/>
      <c r="LP50" s="330"/>
      <c r="LQ50" s="330"/>
      <c r="LR50" s="330"/>
      <c r="LS50" s="330"/>
      <c r="LT50" s="330"/>
      <c r="LU50" s="330"/>
      <c r="LV50" s="330"/>
      <c r="LW50" s="330"/>
      <c r="LX50" s="330"/>
      <c r="LY50" s="330"/>
      <c r="LZ50" s="330"/>
      <c r="MA50" s="330"/>
      <c r="MB50" s="330"/>
      <c r="MC50" s="330"/>
      <c r="MD50" s="330"/>
      <c r="ME50" s="330"/>
      <c r="MF50" s="330"/>
      <c r="MG50" s="330"/>
      <c r="MH50" s="330"/>
      <c r="MI50" s="330"/>
      <c r="MJ50" s="330"/>
      <c r="MK50" s="330"/>
      <c r="ML50" s="330"/>
      <c r="MM50" s="330"/>
      <c r="MN50" s="330"/>
      <c r="MO50" s="330"/>
      <c r="MP50" s="330"/>
      <c r="MQ50" s="330"/>
      <c r="MR50" s="330"/>
      <c r="MS50" s="330"/>
      <c r="MT50" s="330"/>
      <c r="MU50" s="330"/>
      <c r="MV50" s="330"/>
      <c r="MW50" s="330"/>
      <c r="MX50" s="330"/>
      <c r="MY50" s="330"/>
      <c r="MZ50" s="330"/>
      <c r="NA50" s="330"/>
      <c r="NB50" s="330"/>
      <c r="NC50" s="330"/>
      <c r="ND50" s="330"/>
      <c r="NE50" s="330"/>
      <c r="NF50" s="330"/>
      <c r="NG50" s="330"/>
      <c r="NH50" s="330"/>
      <c r="NI50" s="330"/>
      <c r="NJ50" s="330"/>
      <c r="NK50" s="330"/>
      <c r="NL50" s="330"/>
      <c r="NM50" s="330"/>
      <c r="NN50" s="330"/>
      <c r="NO50" s="330"/>
      <c r="NP50" s="330"/>
      <c r="NQ50" s="330"/>
      <c r="NR50" s="330"/>
      <c r="NS50" s="330"/>
      <c r="NT50" s="330"/>
      <c r="NU50" s="330"/>
      <c r="NV50" s="330"/>
      <c r="NW50" s="330"/>
      <c r="NX50" s="330"/>
      <c r="NY50" s="330"/>
      <c r="NZ50" s="330"/>
      <c r="OA50" s="330"/>
      <c r="OB50" s="330"/>
      <c r="OC50" s="330"/>
      <c r="OD50" s="330"/>
      <c r="OE50" s="330"/>
      <c r="OF50" s="330"/>
      <c r="OG50" s="330"/>
      <c r="OH50" s="330"/>
      <c r="OI50" s="330"/>
      <c r="OJ50" s="330"/>
      <c r="OK50" s="330"/>
      <c r="OL50" s="330"/>
      <c r="OM50" s="330"/>
      <c r="ON50" s="330"/>
      <c r="OO50" s="330"/>
      <c r="OP50" s="330"/>
      <c r="OQ50" s="330"/>
      <c r="OR50" s="330"/>
      <c r="OS50" s="330"/>
    </row>
    <row r="51" spans="1:429" s="74" customFormat="1" ht="27.6" customHeight="1" thickBot="1">
      <c r="B51" s="2426"/>
      <c r="C51" s="2427"/>
      <c r="D51" s="2427"/>
      <c r="E51" s="1694"/>
      <c r="F51" s="1674"/>
      <c r="G51" s="1674"/>
      <c r="H51" s="1674"/>
      <c r="I51" s="1674"/>
      <c r="J51" s="1674"/>
      <c r="K51" s="1674"/>
      <c r="L51" s="1674"/>
      <c r="M51" s="1674"/>
      <c r="N51" s="1674"/>
      <c r="O51" s="1674"/>
      <c r="P51" s="1674"/>
      <c r="Q51" s="1674"/>
      <c r="R51" s="1674"/>
      <c r="S51" s="1674"/>
      <c r="T51" s="1674"/>
      <c r="U51" s="1674"/>
      <c r="V51" s="1674"/>
      <c r="W51" s="1674"/>
      <c r="X51" s="1674"/>
      <c r="Y51" s="1674"/>
      <c r="Z51" s="1643"/>
      <c r="AA51" s="1638"/>
      <c r="AB51" s="1638"/>
      <c r="AC51" s="1638"/>
      <c r="AD51" s="1638"/>
      <c r="AE51" s="1638"/>
      <c r="AF51" s="1638"/>
      <c r="AG51" s="1638"/>
      <c r="AH51" s="1638"/>
      <c r="AI51" s="1638"/>
      <c r="AJ51" s="1638"/>
      <c r="AK51" s="1633"/>
      <c r="AL51" s="330"/>
      <c r="AM51" s="330"/>
      <c r="AN51" s="330"/>
      <c r="AO51" s="330"/>
      <c r="AP51" s="330"/>
      <c r="AQ51" s="330"/>
      <c r="AR51" s="330"/>
      <c r="AS51" s="330"/>
      <c r="AT51" s="330"/>
      <c r="AU51" s="330"/>
      <c r="AV51" s="330"/>
      <c r="AW51" s="330"/>
      <c r="AX51" s="330"/>
      <c r="AY51" s="330"/>
      <c r="AZ51" s="330"/>
      <c r="BA51" s="330"/>
      <c r="BB51" s="330"/>
      <c r="BC51" s="330"/>
      <c r="BD51" s="330"/>
      <c r="BE51" s="330"/>
      <c r="BF51" s="330"/>
      <c r="BG51" s="330"/>
      <c r="BH51" s="330"/>
      <c r="BI51" s="330"/>
      <c r="BJ51" s="330"/>
      <c r="BK51" s="330"/>
      <c r="BL51" s="330"/>
      <c r="BM51" s="330"/>
      <c r="BN51" s="330"/>
      <c r="BO51" s="330"/>
      <c r="BP51" s="330"/>
      <c r="BQ51" s="330"/>
      <c r="BR51" s="330"/>
      <c r="BS51" s="330"/>
      <c r="BT51" s="330"/>
      <c r="BU51" s="330"/>
      <c r="BV51" s="330"/>
      <c r="BW51" s="330"/>
      <c r="BX51" s="330"/>
      <c r="BY51" s="330"/>
      <c r="BZ51" s="330"/>
      <c r="CA51" s="330"/>
      <c r="CB51" s="330"/>
      <c r="CC51" s="330"/>
      <c r="CD51" s="330"/>
      <c r="CE51" s="330"/>
      <c r="CF51" s="330"/>
      <c r="CG51" s="330"/>
      <c r="CH51" s="330"/>
      <c r="CI51" s="330"/>
      <c r="CJ51" s="330"/>
      <c r="CK51" s="330"/>
      <c r="CL51" s="330"/>
      <c r="CM51" s="330"/>
      <c r="CN51" s="330"/>
      <c r="CO51" s="330"/>
      <c r="CP51" s="330"/>
      <c r="CQ51" s="330"/>
      <c r="CR51" s="330"/>
      <c r="CS51" s="330"/>
      <c r="CT51" s="330"/>
      <c r="CU51" s="330"/>
      <c r="CV51" s="330"/>
      <c r="CW51" s="330"/>
      <c r="CX51" s="330"/>
      <c r="CY51" s="330"/>
      <c r="CZ51" s="330"/>
      <c r="DA51" s="330"/>
      <c r="DB51" s="330"/>
      <c r="DC51" s="330"/>
      <c r="DD51" s="330"/>
      <c r="DE51" s="330"/>
      <c r="DF51" s="330"/>
      <c r="DG51" s="330"/>
      <c r="DH51" s="330"/>
      <c r="DI51" s="330"/>
      <c r="DJ51" s="330"/>
      <c r="DK51" s="330"/>
      <c r="DL51" s="330"/>
      <c r="DM51" s="330"/>
      <c r="DN51" s="330"/>
      <c r="DO51" s="330"/>
      <c r="DP51" s="330"/>
      <c r="DQ51" s="330"/>
      <c r="DR51" s="330"/>
      <c r="DS51" s="330"/>
      <c r="DT51" s="330"/>
      <c r="DU51" s="330"/>
      <c r="DV51" s="330"/>
      <c r="DW51" s="2141" t="s">
        <v>1006</v>
      </c>
      <c r="DX51" s="2142"/>
      <c r="DY51" s="2142"/>
      <c r="DZ51" s="2143"/>
      <c r="EA51" s="2144" t="s">
        <v>849</v>
      </c>
      <c r="EB51" s="2145"/>
      <c r="EC51" s="2145"/>
      <c r="ED51" s="2145"/>
      <c r="EE51" s="2145"/>
      <c r="EF51" s="2145"/>
      <c r="EG51" s="2145"/>
      <c r="EH51" s="2145"/>
      <c r="EI51" s="2145"/>
      <c r="EJ51" s="2145"/>
      <c r="EK51" s="2145"/>
      <c r="EL51" s="2145"/>
      <c r="EM51" s="2145"/>
      <c r="EN51" s="2145"/>
      <c r="EO51" s="2145"/>
      <c r="EP51" s="2145"/>
      <c r="EQ51" s="2145"/>
      <c r="ER51" s="2145"/>
      <c r="ES51" s="2145"/>
      <c r="ET51" s="2145"/>
      <c r="EU51" s="2145"/>
      <c r="EV51" s="2145"/>
      <c r="EW51" s="2145"/>
      <c r="EX51" s="2145"/>
      <c r="EY51" s="2145"/>
      <c r="EZ51" s="2145"/>
      <c r="FA51" s="2145"/>
      <c r="FB51" s="2145"/>
      <c r="FC51" s="2145"/>
      <c r="FD51" s="2145"/>
      <c r="FE51" s="2145"/>
      <c r="FF51" s="2145"/>
      <c r="FG51" s="2145"/>
      <c r="FH51" s="2145"/>
      <c r="FI51" s="2145"/>
      <c r="FJ51" s="2146"/>
      <c r="FK51" s="330"/>
      <c r="FL51" s="330"/>
      <c r="FM51" s="330"/>
      <c r="FN51" s="330"/>
      <c r="FO51" s="330"/>
      <c r="FP51" s="330"/>
      <c r="FQ51" s="330"/>
      <c r="FR51" s="330"/>
      <c r="FS51" s="330"/>
      <c r="FT51" s="330"/>
      <c r="FU51" s="330"/>
      <c r="FV51" s="330"/>
      <c r="FW51" s="330"/>
      <c r="FX51" s="330"/>
      <c r="FY51" s="330"/>
      <c r="FZ51" s="330"/>
      <c r="GA51" s="330"/>
      <c r="GB51" s="330"/>
      <c r="GC51" s="330"/>
      <c r="GD51" s="330"/>
      <c r="GE51" s="330"/>
      <c r="GF51" s="330"/>
      <c r="GG51" s="330"/>
      <c r="GH51" s="330"/>
      <c r="GI51" s="330"/>
      <c r="GJ51" s="330"/>
      <c r="GK51" s="330"/>
      <c r="GL51" s="330"/>
      <c r="GM51" s="330"/>
      <c r="GN51" s="330"/>
      <c r="GO51" s="330"/>
      <c r="GP51" s="330"/>
      <c r="GQ51" s="330"/>
      <c r="GR51" s="330"/>
      <c r="GS51" s="2141" t="s">
        <v>1024</v>
      </c>
      <c r="GT51" s="2142"/>
      <c r="GU51" s="2142"/>
      <c r="GV51" s="2143"/>
      <c r="GW51" s="2182" t="s">
        <v>1022</v>
      </c>
      <c r="GX51" s="2183"/>
      <c r="GY51" s="2183"/>
      <c r="GZ51" s="2183"/>
      <c r="HA51" s="2183"/>
      <c r="HB51" s="2183"/>
      <c r="HC51" s="2183"/>
      <c r="HD51" s="2183"/>
      <c r="HE51" s="2183"/>
      <c r="HF51" s="2183"/>
      <c r="HG51" s="2183"/>
      <c r="HH51" s="2183"/>
      <c r="HI51" s="2183"/>
      <c r="HJ51" s="2183"/>
      <c r="HK51" s="2183"/>
      <c r="HL51" s="2183"/>
      <c r="HM51" s="2183"/>
      <c r="HN51" s="2183"/>
      <c r="HO51" s="2183"/>
      <c r="HP51" s="2183"/>
      <c r="HQ51" s="2183"/>
      <c r="HR51" s="2183"/>
      <c r="HS51" s="2183"/>
      <c r="HT51" s="2183"/>
      <c r="HU51" s="2183"/>
      <c r="HV51" s="2183"/>
      <c r="HW51" s="2183"/>
      <c r="HX51" s="2183"/>
      <c r="HY51" s="2183"/>
      <c r="HZ51" s="2184"/>
      <c r="IA51" s="330"/>
      <c r="IB51" s="330"/>
      <c r="IC51" s="330"/>
      <c r="ID51" s="330"/>
      <c r="IE51" s="330"/>
      <c r="IF51" s="330"/>
      <c r="IG51" s="330"/>
      <c r="IH51" s="330"/>
      <c r="II51" s="330"/>
      <c r="IJ51" s="330"/>
      <c r="IK51" s="330"/>
      <c r="IL51" s="330"/>
      <c r="IM51" s="330"/>
      <c r="IN51" s="330"/>
      <c r="IO51" s="330"/>
      <c r="IP51" s="330"/>
      <c r="IQ51" s="330"/>
      <c r="IR51" s="330"/>
      <c r="IS51" s="330"/>
      <c r="IT51" s="330"/>
      <c r="IU51" s="330"/>
      <c r="IV51" s="330"/>
      <c r="IW51" s="2141" t="s">
        <v>1038</v>
      </c>
      <c r="IX51" s="2142"/>
      <c r="IY51" s="2142"/>
      <c r="IZ51" s="2143"/>
      <c r="JA51" s="2144" t="s">
        <v>1037</v>
      </c>
      <c r="JB51" s="2145"/>
      <c r="JC51" s="2145"/>
      <c r="JD51" s="2145"/>
      <c r="JE51" s="2145"/>
      <c r="JF51" s="2145"/>
      <c r="JG51" s="2145"/>
      <c r="JH51" s="2145"/>
      <c r="JI51" s="2145"/>
      <c r="JJ51" s="2145"/>
      <c r="JK51" s="2145"/>
      <c r="JL51" s="2145"/>
      <c r="JM51" s="2145"/>
      <c r="JN51" s="2145"/>
      <c r="JO51" s="2145"/>
      <c r="JP51" s="2145"/>
      <c r="JQ51" s="2145"/>
      <c r="JR51" s="2145"/>
      <c r="JS51" s="2145"/>
      <c r="JT51" s="2145"/>
      <c r="JU51" s="2145"/>
      <c r="JV51" s="2145"/>
      <c r="JW51" s="2145"/>
      <c r="JX51" s="2145"/>
      <c r="JY51" s="2145"/>
      <c r="JZ51" s="2145"/>
      <c r="KA51" s="2145"/>
      <c r="KB51" s="2145"/>
      <c r="KC51" s="2145"/>
      <c r="KD51" s="2145"/>
      <c r="KE51" s="2145"/>
      <c r="KF51" s="2145"/>
      <c r="KG51" s="2145"/>
      <c r="KH51" s="2145"/>
      <c r="KI51" s="2145"/>
      <c r="KJ51" s="2146"/>
      <c r="KK51" s="330"/>
      <c r="KL51" s="330"/>
      <c r="KM51" s="330"/>
      <c r="KN51" s="330"/>
      <c r="KO51" s="330"/>
      <c r="KP51" s="330"/>
      <c r="KQ51" s="330"/>
      <c r="KR51" s="330"/>
      <c r="KS51" s="330"/>
      <c r="KT51" s="330"/>
      <c r="KU51" s="330"/>
      <c r="KV51" s="330"/>
      <c r="KW51" s="330"/>
      <c r="KX51" s="330"/>
      <c r="KY51" s="330"/>
      <c r="KZ51" s="330"/>
      <c r="LA51" s="330"/>
      <c r="LB51" s="330"/>
      <c r="LC51" s="330"/>
      <c r="LD51" s="330"/>
      <c r="LE51" s="330"/>
      <c r="LF51" s="330"/>
      <c r="LG51" s="330"/>
      <c r="LH51" s="330"/>
      <c r="LI51" s="330"/>
      <c r="LJ51" s="330"/>
      <c r="LK51" s="330"/>
      <c r="LL51" s="330"/>
      <c r="LM51" s="330"/>
      <c r="LN51" s="330"/>
      <c r="LO51" s="330"/>
      <c r="LP51" s="330"/>
      <c r="LQ51" s="330"/>
      <c r="LR51" s="330"/>
      <c r="LS51" s="330"/>
      <c r="LT51" s="330"/>
      <c r="LU51" s="330"/>
      <c r="LV51" s="330"/>
      <c r="LW51" s="330"/>
      <c r="LX51" s="330"/>
      <c r="LY51" s="330"/>
      <c r="LZ51" s="330"/>
      <c r="MA51" s="330"/>
      <c r="MB51" s="330"/>
      <c r="MC51" s="330"/>
      <c r="MD51" s="330"/>
      <c r="ME51" s="330"/>
      <c r="MF51" s="330"/>
      <c r="MG51" s="330"/>
      <c r="MH51" s="330"/>
      <c r="MI51" s="330"/>
      <c r="MJ51" s="330"/>
      <c r="MK51" s="330"/>
      <c r="ML51" s="330"/>
      <c r="MM51" s="330"/>
      <c r="MN51" s="330"/>
      <c r="MO51" s="330"/>
      <c r="MP51" s="330"/>
      <c r="MQ51" s="330"/>
      <c r="MR51" s="330"/>
      <c r="MS51" s="330"/>
      <c r="MT51" s="330"/>
      <c r="MU51" s="330"/>
      <c r="MV51" s="330"/>
      <c r="MW51" s="330"/>
      <c r="MX51" s="330"/>
      <c r="MY51" s="330"/>
      <c r="MZ51" s="330"/>
      <c r="NA51" s="330"/>
      <c r="NB51" s="330"/>
      <c r="NC51" s="330"/>
      <c r="ND51" s="330"/>
      <c r="NE51" s="330"/>
      <c r="NF51" s="330"/>
      <c r="NG51" s="330"/>
      <c r="NH51" s="330"/>
      <c r="NI51" s="330"/>
      <c r="NJ51" s="330"/>
      <c r="NK51" s="330"/>
      <c r="NL51" s="330"/>
      <c r="NM51" s="330"/>
      <c r="NN51" s="330"/>
      <c r="NO51" s="330"/>
      <c r="NP51" s="330"/>
      <c r="NQ51" s="330"/>
      <c r="NR51" s="330"/>
      <c r="NS51" s="330"/>
      <c r="NT51" s="330"/>
      <c r="NU51" s="330"/>
      <c r="NV51" s="330"/>
      <c r="NW51" s="330"/>
      <c r="NX51" s="330"/>
      <c r="NY51" s="330"/>
      <c r="NZ51" s="330"/>
      <c r="OA51" s="330"/>
      <c r="OB51" s="330"/>
      <c r="OC51" s="330"/>
      <c r="OD51" s="330"/>
      <c r="OE51" s="330"/>
      <c r="OF51" s="330"/>
      <c r="OG51" s="330"/>
      <c r="OH51" s="330"/>
      <c r="OI51" s="330"/>
      <c r="OJ51" s="330"/>
      <c r="OK51" s="330"/>
      <c r="OL51" s="330"/>
      <c r="OM51" s="330"/>
      <c r="ON51" s="330"/>
      <c r="OO51" s="330"/>
    </row>
    <row r="52" spans="1:429" s="74" customFormat="1" ht="27.6" customHeight="1" thickBot="1">
      <c r="B52" s="1601"/>
      <c r="C52" s="1602"/>
      <c r="D52" s="1602"/>
      <c r="E52" s="1694"/>
      <c r="F52" s="1674"/>
      <c r="G52" s="1674"/>
      <c r="H52" s="1674"/>
      <c r="I52" s="1674"/>
      <c r="J52" s="1674"/>
      <c r="K52" s="1674"/>
      <c r="L52" s="1674"/>
      <c r="M52" s="1674"/>
      <c r="N52" s="1674"/>
      <c r="O52" s="1674"/>
      <c r="P52" s="1674"/>
      <c r="Q52" s="1674"/>
      <c r="R52" s="1674"/>
      <c r="S52" s="1674"/>
      <c r="T52" s="1674"/>
      <c r="U52" s="1674"/>
      <c r="V52" s="1674"/>
      <c r="W52" s="1674"/>
      <c r="X52" s="1674"/>
      <c r="Y52" s="1674"/>
      <c r="Z52" s="1643"/>
      <c r="AA52" s="1638"/>
      <c r="AB52" s="1638"/>
      <c r="AC52" s="1638"/>
      <c r="AD52" s="1638"/>
      <c r="AE52" s="1638"/>
      <c r="AF52" s="1638"/>
      <c r="AG52" s="1638"/>
      <c r="AH52" s="1638"/>
      <c r="AI52" s="1638"/>
      <c r="AJ52" s="1638"/>
      <c r="AK52" s="1633"/>
      <c r="AL52" s="330"/>
      <c r="AM52" s="330"/>
      <c r="AN52" s="330"/>
      <c r="AO52" s="330"/>
      <c r="AP52" s="330"/>
      <c r="AQ52" s="330"/>
      <c r="AR52" s="330"/>
      <c r="AS52" s="330"/>
      <c r="AT52" s="330"/>
      <c r="AU52" s="330"/>
      <c r="AV52" s="330"/>
      <c r="AW52" s="330"/>
      <c r="AX52" s="330"/>
      <c r="AY52" s="330"/>
      <c r="AZ52" s="330"/>
      <c r="BA52" s="330"/>
      <c r="BB52" s="330"/>
      <c r="BC52" s="330"/>
      <c r="BD52" s="330"/>
      <c r="BE52" s="330"/>
      <c r="BF52" s="330"/>
      <c r="BG52" s="330"/>
      <c r="BH52" s="330"/>
      <c r="BI52" s="330"/>
      <c r="BJ52" s="330"/>
      <c r="BK52" s="330"/>
      <c r="BL52" s="330"/>
      <c r="BM52" s="330"/>
      <c r="BN52" s="330"/>
      <c r="BO52" s="330"/>
      <c r="BP52" s="330"/>
      <c r="BQ52" s="330"/>
      <c r="BR52" s="330"/>
      <c r="BS52" s="330"/>
      <c r="BT52" s="330"/>
      <c r="BU52" s="330"/>
      <c r="BV52" s="330"/>
      <c r="BW52" s="330"/>
      <c r="BX52" s="330"/>
      <c r="BY52" s="330"/>
      <c r="BZ52" s="330"/>
      <c r="CA52" s="330"/>
      <c r="CB52" s="330"/>
      <c r="CC52" s="330"/>
      <c r="CD52" s="330"/>
      <c r="CE52" s="330"/>
      <c r="CF52" s="330"/>
      <c r="CG52" s="330"/>
      <c r="CH52" s="330"/>
      <c r="CI52" s="330"/>
      <c r="CJ52" s="330"/>
      <c r="CK52" s="330"/>
      <c r="CL52" s="330"/>
      <c r="CM52" s="330"/>
      <c r="CN52" s="330"/>
      <c r="CO52" s="330"/>
      <c r="CP52" s="330"/>
      <c r="CQ52" s="330"/>
      <c r="CR52" s="330"/>
      <c r="CS52" s="330"/>
      <c r="CT52" s="330"/>
      <c r="CU52" s="330"/>
      <c r="CV52" s="330"/>
      <c r="CW52" s="330"/>
      <c r="CX52" s="330"/>
      <c r="CY52" s="330"/>
      <c r="CZ52" s="330"/>
      <c r="DA52" s="330"/>
      <c r="DB52" s="330"/>
      <c r="DC52" s="330"/>
      <c r="DD52" s="330"/>
      <c r="DE52" s="330"/>
      <c r="DF52" s="330"/>
      <c r="DG52" s="330"/>
      <c r="DH52" s="330"/>
      <c r="DI52" s="330"/>
      <c r="DJ52" s="330"/>
      <c r="DK52" s="330"/>
      <c r="DL52" s="330"/>
      <c r="DM52" s="330"/>
      <c r="DN52" s="330"/>
      <c r="DO52" s="330"/>
      <c r="DP52" s="330"/>
      <c r="DQ52" s="330"/>
      <c r="DR52" s="330"/>
      <c r="DS52" s="330"/>
      <c r="DT52" s="330"/>
      <c r="DU52" s="330"/>
      <c r="DV52" s="330"/>
      <c r="DW52" s="2147" t="s">
        <v>783</v>
      </c>
      <c r="DX52" s="2148"/>
      <c r="DY52" s="2148"/>
      <c r="DZ52" s="2148"/>
      <c r="EA52" s="2148"/>
      <c r="EB52" s="2149"/>
      <c r="EC52" s="2150" t="s">
        <v>810</v>
      </c>
      <c r="ED52" s="2151"/>
      <c r="EE52" s="2151"/>
      <c r="EF52" s="2151"/>
      <c r="EG52" s="2151"/>
      <c r="EH52" s="2151"/>
      <c r="EI52" s="2151"/>
      <c r="EJ52" s="2151"/>
      <c r="EK52" s="2151"/>
      <c r="EL52" s="2152"/>
      <c r="EM52" s="2153" t="s">
        <v>811</v>
      </c>
      <c r="EN52" s="2154"/>
      <c r="EO52" s="2154"/>
      <c r="EP52" s="2154"/>
      <c r="EQ52" s="2154"/>
      <c r="ER52" s="2154"/>
      <c r="ES52" s="2154"/>
      <c r="ET52" s="2154"/>
      <c r="EU52" s="2154"/>
      <c r="EV52" s="2154"/>
      <c r="EW52" s="2154"/>
      <c r="EX52" s="2154"/>
      <c r="EY52" s="2154"/>
      <c r="EZ52" s="2154"/>
      <c r="FA52" s="2154"/>
      <c r="FB52" s="2154"/>
      <c r="FC52" s="2154"/>
      <c r="FD52" s="2154"/>
      <c r="FE52" s="2154"/>
      <c r="FF52" s="2154"/>
      <c r="FG52" s="2154"/>
      <c r="FH52" s="2154"/>
      <c r="FI52" s="2154"/>
      <c r="FJ52" s="2155"/>
      <c r="FK52" s="330"/>
      <c r="FL52" s="330"/>
      <c r="FM52" s="330"/>
      <c r="FN52" s="330"/>
      <c r="FO52" s="330"/>
      <c r="FP52" s="330"/>
      <c r="FQ52" s="330"/>
      <c r="FR52" s="330"/>
      <c r="FS52" s="330"/>
      <c r="FT52" s="330"/>
      <c r="FU52" s="330"/>
      <c r="FV52" s="330"/>
      <c r="FW52" s="330"/>
      <c r="FX52" s="330"/>
      <c r="FY52" s="330"/>
      <c r="FZ52" s="330"/>
      <c r="GA52" s="330"/>
      <c r="GB52" s="330"/>
      <c r="GC52" s="330"/>
      <c r="GD52" s="330"/>
      <c r="GE52" s="330"/>
      <c r="GF52" s="330"/>
      <c r="GG52" s="330"/>
      <c r="GH52" s="330"/>
      <c r="GI52" s="330"/>
      <c r="GJ52" s="330"/>
      <c r="GK52" s="330"/>
      <c r="GL52" s="330"/>
      <c r="GM52" s="330"/>
      <c r="GN52" s="330"/>
      <c r="GO52" s="330"/>
      <c r="GP52" s="330"/>
      <c r="GQ52" s="330"/>
      <c r="GR52" s="330"/>
      <c r="GS52" s="2147" t="s">
        <v>783</v>
      </c>
      <c r="GT52" s="2148"/>
      <c r="GU52" s="2148"/>
      <c r="GV52" s="2148"/>
      <c r="GW52" s="2148"/>
      <c r="GX52" s="2149"/>
      <c r="GY52" s="2150" t="s">
        <v>810</v>
      </c>
      <c r="GZ52" s="2151"/>
      <c r="HA52" s="2151"/>
      <c r="HB52" s="2151"/>
      <c r="HC52" s="2151"/>
      <c r="HD52" s="2151"/>
      <c r="HE52" s="2151"/>
      <c r="HF52" s="2151"/>
      <c r="HG52" s="2151"/>
      <c r="HH52" s="2152"/>
      <c r="HI52" s="2153" t="s">
        <v>811</v>
      </c>
      <c r="HJ52" s="2154"/>
      <c r="HK52" s="2154"/>
      <c r="HL52" s="2154"/>
      <c r="HM52" s="2154"/>
      <c r="HN52" s="2154"/>
      <c r="HO52" s="2154"/>
      <c r="HP52" s="2154"/>
      <c r="HQ52" s="2154"/>
      <c r="HR52" s="2154"/>
      <c r="HS52" s="2154"/>
      <c r="HT52" s="2154"/>
      <c r="HU52" s="2154"/>
      <c r="HV52" s="2154"/>
      <c r="HW52" s="2154"/>
      <c r="HX52" s="2154"/>
      <c r="HY52" s="2154"/>
      <c r="HZ52" s="2155"/>
      <c r="IA52" s="330"/>
      <c r="IB52" s="330"/>
      <c r="IC52" s="330"/>
      <c r="ID52" s="330"/>
      <c r="IE52" s="330"/>
      <c r="IF52" s="330"/>
      <c r="IG52" s="330"/>
      <c r="IH52" s="330"/>
      <c r="II52" s="330"/>
      <c r="IJ52" s="330"/>
      <c r="IK52" s="330"/>
      <c r="IL52" s="330"/>
      <c r="IM52" s="330"/>
      <c r="IN52" s="330"/>
      <c r="IO52" s="330"/>
      <c r="IP52" s="330"/>
      <c r="IQ52" s="330"/>
      <c r="IR52" s="330"/>
      <c r="IS52" s="330"/>
      <c r="IT52" s="330"/>
      <c r="IU52" s="330"/>
      <c r="IV52" s="330"/>
      <c r="IW52" s="2147" t="s">
        <v>783</v>
      </c>
      <c r="IX52" s="2148"/>
      <c r="IY52" s="2148"/>
      <c r="IZ52" s="2148"/>
      <c r="JA52" s="2148"/>
      <c r="JB52" s="2149"/>
      <c r="JC52" s="2150" t="s">
        <v>810</v>
      </c>
      <c r="JD52" s="2151"/>
      <c r="JE52" s="2151"/>
      <c r="JF52" s="2151"/>
      <c r="JG52" s="2151"/>
      <c r="JH52" s="2151"/>
      <c r="JI52" s="2151"/>
      <c r="JJ52" s="2151"/>
      <c r="JK52" s="2151"/>
      <c r="JL52" s="2152"/>
      <c r="JM52" s="2153" t="s">
        <v>811</v>
      </c>
      <c r="JN52" s="2154"/>
      <c r="JO52" s="2154"/>
      <c r="JP52" s="2154"/>
      <c r="JQ52" s="2154"/>
      <c r="JR52" s="2154"/>
      <c r="JS52" s="2154"/>
      <c r="JT52" s="2154"/>
      <c r="JU52" s="2154"/>
      <c r="JV52" s="2154"/>
      <c r="JW52" s="2154"/>
      <c r="JX52" s="2154"/>
      <c r="JY52" s="2154"/>
      <c r="JZ52" s="2154"/>
      <c r="KA52" s="2154"/>
      <c r="KB52" s="2154"/>
      <c r="KC52" s="2154"/>
      <c r="KD52" s="2154"/>
      <c r="KE52" s="2154"/>
      <c r="KF52" s="2154"/>
      <c r="KG52" s="2154"/>
      <c r="KH52" s="2154"/>
      <c r="KI52" s="2154"/>
      <c r="KJ52" s="2155"/>
      <c r="KK52" s="330"/>
      <c r="KL52" s="330"/>
      <c r="KM52" s="330"/>
      <c r="KN52" s="330"/>
      <c r="KO52" s="330"/>
      <c r="KP52" s="330"/>
      <c r="KQ52" s="330"/>
      <c r="KR52" s="330"/>
      <c r="KS52" s="330"/>
      <c r="KT52" s="330"/>
      <c r="KU52" s="330"/>
      <c r="KV52" s="330"/>
      <c r="KW52" s="330"/>
      <c r="KX52" s="330"/>
      <c r="KY52" s="330"/>
      <c r="KZ52" s="330"/>
      <c r="LA52" s="330"/>
      <c r="LB52" s="330"/>
      <c r="LC52" s="330"/>
      <c r="LD52" s="330"/>
      <c r="LE52" s="330"/>
      <c r="LF52" s="330"/>
      <c r="LG52" s="330"/>
      <c r="LH52" s="330"/>
      <c r="LI52" s="330"/>
      <c r="LJ52" s="330"/>
      <c r="LK52" s="330"/>
      <c r="LL52" s="330"/>
      <c r="LM52" s="330"/>
      <c r="LN52" s="330"/>
      <c r="LO52" s="330"/>
      <c r="LP52" s="330"/>
      <c r="LQ52" s="330"/>
      <c r="LR52" s="330"/>
      <c r="LS52" s="330"/>
      <c r="LT52" s="330"/>
      <c r="LU52" s="330"/>
      <c r="LV52" s="330"/>
      <c r="LW52" s="330"/>
      <c r="LX52" s="330"/>
      <c r="LY52" s="330"/>
      <c r="LZ52" s="330"/>
      <c r="MA52" s="330"/>
      <c r="MB52" s="330"/>
      <c r="MC52" s="330"/>
      <c r="MD52" s="330"/>
      <c r="ME52" s="330"/>
      <c r="MF52" s="330"/>
      <c r="MG52" s="330"/>
      <c r="MH52" s="330"/>
      <c r="MI52" s="330"/>
      <c r="MJ52" s="330"/>
      <c r="MK52" s="330"/>
      <c r="ML52" s="330"/>
      <c r="MM52" s="330"/>
      <c r="MN52" s="330"/>
      <c r="MO52" s="330"/>
      <c r="MP52" s="330"/>
      <c r="MQ52" s="330"/>
      <c r="MR52" s="330"/>
      <c r="MS52" s="330"/>
      <c r="MT52" s="330"/>
      <c r="MU52" s="330"/>
      <c r="MV52" s="330"/>
      <c r="MW52" s="330"/>
      <c r="MX52" s="330"/>
      <c r="MY52" s="330"/>
      <c r="MZ52" s="330"/>
      <c r="NA52" s="330"/>
      <c r="NB52" s="330"/>
      <c r="NC52" s="330"/>
      <c r="ND52" s="330"/>
      <c r="NE52" s="330"/>
      <c r="NF52" s="330"/>
      <c r="NG52" s="330"/>
      <c r="NH52" s="330"/>
      <c r="NI52" s="330"/>
      <c r="NJ52" s="330"/>
      <c r="NK52" s="330"/>
      <c r="NL52" s="330"/>
      <c r="NM52" s="330"/>
      <c r="NN52" s="330"/>
      <c r="NO52" s="330"/>
      <c r="NP52" s="330"/>
      <c r="NQ52" s="330"/>
      <c r="NR52" s="330"/>
      <c r="NS52" s="330"/>
      <c r="NT52" s="330"/>
      <c r="NU52" s="330"/>
      <c r="NV52" s="330"/>
      <c r="NW52" s="330"/>
      <c r="NX52" s="330"/>
      <c r="NY52" s="330"/>
      <c r="NZ52" s="330"/>
      <c r="OA52" s="330"/>
      <c r="OB52" s="330"/>
      <c r="OC52" s="330"/>
      <c r="OD52" s="330"/>
      <c r="OE52" s="330"/>
      <c r="OF52" s="330"/>
      <c r="OG52" s="330"/>
      <c r="OH52" s="330"/>
      <c r="OI52" s="330"/>
      <c r="OJ52" s="330"/>
      <c r="OK52" s="330"/>
      <c r="OL52" s="330"/>
      <c r="OM52" s="330"/>
      <c r="ON52" s="330"/>
    </row>
    <row r="53" spans="1:429" s="74" customFormat="1" ht="27.6" customHeight="1">
      <c r="D53" s="134"/>
      <c r="E53" s="1694"/>
      <c r="F53" s="1674"/>
      <c r="G53" s="1674"/>
      <c r="H53" s="1674"/>
      <c r="I53" s="1674"/>
      <c r="J53" s="1674"/>
      <c r="K53" s="1674"/>
      <c r="L53" s="1674"/>
      <c r="M53" s="1674"/>
      <c r="N53" s="1674"/>
      <c r="O53" s="1674"/>
      <c r="P53" s="1674"/>
      <c r="Q53" s="1674"/>
      <c r="R53" s="1674"/>
      <c r="S53" s="1674"/>
      <c r="T53" s="1674"/>
      <c r="U53" s="1674"/>
      <c r="V53" s="1674"/>
      <c r="W53" s="1674"/>
      <c r="X53" s="1674"/>
      <c r="Y53" s="1674"/>
      <c r="Z53" s="1634"/>
      <c r="AK53" s="1633"/>
      <c r="AL53" s="330"/>
      <c r="AM53" s="330"/>
      <c r="AN53" s="330"/>
      <c r="AO53" s="330"/>
      <c r="AP53" s="330"/>
      <c r="AQ53" s="330"/>
      <c r="AR53" s="330"/>
      <c r="AS53" s="330"/>
      <c r="AT53" s="330"/>
      <c r="AU53" s="330"/>
      <c r="AV53" s="330"/>
      <c r="AW53" s="330"/>
      <c r="AX53" s="330"/>
      <c r="AY53" s="330"/>
      <c r="AZ53" s="330"/>
      <c r="BA53" s="330"/>
      <c r="BB53" s="330"/>
      <c r="BC53" s="330"/>
      <c r="BD53" s="330"/>
      <c r="BE53" s="330"/>
      <c r="BF53" s="330"/>
      <c r="BG53" s="330"/>
      <c r="BH53" s="330"/>
      <c r="BI53" s="330"/>
      <c r="BJ53" s="330"/>
      <c r="BK53" s="330"/>
      <c r="BL53" s="330"/>
      <c r="BM53" s="330"/>
      <c r="BN53" s="330"/>
      <c r="BO53" s="330"/>
      <c r="BP53" s="330"/>
      <c r="BQ53" s="330"/>
      <c r="BR53" s="330"/>
      <c r="BS53" s="330"/>
      <c r="BT53" s="330"/>
      <c r="BU53" s="330"/>
      <c r="BV53" s="330"/>
      <c r="BW53" s="330"/>
      <c r="BX53" s="330"/>
      <c r="BY53" s="330"/>
      <c r="BZ53" s="330"/>
      <c r="CA53" s="330"/>
      <c r="CB53" s="330"/>
      <c r="CC53" s="330"/>
      <c r="CD53" s="330"/>
      <c r="CE53" s="330"/>
      <c r="CF53" s="330"/>
      <c r="CG53" s="330"/>
      <c r="CH53" s="330"/>
      <c r="CI53" s="330"/>
      <c r="CJ53" s="330"/>
      <c r="CK53" s="330"/>
      <c r="CL53" s="330"/>
      <c r="CM53" s="330"/>
      <c r="CN53" s="330"/>
      <c r="CO53" s="330"/>
      <c r="CP53" s="330"/>
      <c r="CQ53" s="330"/>
      <c r="CR53" s="330"/>
      <c r="CS53" s="330"/>
      <c r="CT53" s="330"/>
      <c r="CU53" s="330"/>
      <c r="CV53" s="330"/>
      <c r="CW53" s="330"/>
      <c r="CX53" s="330"/>
      <c r="CY53" s="330"/>
      <c r="CZ53" s="330"/>
      <c r="DA53" s="330"/>
      <c r="DB53" s="330"/>
      <c r="DC53" s="330"/>
      <c r="DD53" s="330"/>
      <c r="DE53" s="330"/>
      <c r="DF53" s="330"/>
      <c r="DG53" s="330"/>
      <c r="DH53" s="330"/>
      <c r="DI53" s="330"/>
      <c r="DJ53" s="330"/>
      <c r="DK53" s="330"/>
      <c r="DL53" s="330"/>
      <c r="DM53" s="330"/>
      <c r="DN53" s="330"/>
      <c r="DO53" s="330"/>
      <c r="DP53" s="330"/>
      <c r="DQ53" s="330"/>
      <c r="DR53" s="330"/>
      <c r="DS53" s="330"/>
      <c r="DT53" s="330"/>
      <c r="DU53" s="330"/>
      <c r="DV53" s="330"/>
      <c r="DW53" s="330"/>
      <c r="DX53" s="330"/>
      <c r="DY53" s="330"/>
      <c r="DZ53" s="330"/>
      <c r="EA53" s="1808"/>
      <c r="EB53" s="1808"/>
      <c r="EC53" s="2156" t="s">
        <v>811</v>
      </c>
      <c r="ED53" s="2157"/>
      <c r="EE53" s="2157"/>
      <c r="EF53" s="2157"/>
      <c r="EG53" s="2157"/>
      <c r="EH53" s="2157"/>
      <c r="EI53" s="2157"/>
      <c r="EJ53" s="2157"/>
      <c r="EK53" s="2157"/>
      <c r="EL53" s="2157"/>
      <c r="EM53" s="2157"/>
      <c r="EN53" s="2157"/>
      <c r="EO53" s="2157"/>
      <c r="EP53" s="2157"/>
      <c r="EQ53" s="2157"/>
      <c r="ER53" s="2157"/>
      <c r="ES53" s="2157"/>
      <c r="ET53" s="2157"/>
      <c r="EU53" s="2157"/>
      <c r="EV53" s="2157"/>
      <c r="EW53" s="2157"/>
      <c r="EX53" s="2157"/>
      <c r="EY53" s="2157"/>
      <c r="EZ53" s="2158"/>
      <c r="FA53" s="330"/>
      <c r="FB53" s="330"/>
      <c r="FC53" s="330"/>
      <c r="FD53" s="330"/>
      <c r="FK53" s="330"/>
      <c r="FL53" s="330"/>
      <c r="FM53" s="330"/>
      <c r="FN53" s="330"/>
      <c r="FO53" s="330"/>
      <c r="FP53" s="330"/>
      <c r="FQ53" s="330"/>
      <c r="FR53" s="330"/>
      <c r="FS53" s="330"/>
      <c r="FT53" s="330"/>
      <c r="FU53" s="330"/>
      <c r="FV53" s="330"/>
      <c r="FW53" s="330"/>
      <c r="FX53" s="330"/>
      <c r="FY53" s="330"/>
      <c r="FZ53" s="330"/>
      <c r="GA53" s="330"/>
      <c r="GB53" s="330"/>
      <c r="GC53" s="330"/>
      <c r="GD53" s="330"/>
      <c r="GE53" s="330"/>
      <c r="GF53" s="330"/>
      <c r="GG53" s="330"/>
      <c r="GH53" s="330"/>
      <c r="GI53" s="330"/>
      <c r="GJ53" s="330"/>
      <c r="GK53" s="330"/>
      <c r="GL53" s="330"/>
      <c r="GM53" s="330"/>
      <c r="GN53" s="330"/>
      <c r="GO53" s="330"/>
      <c r="GP53" s="330"/>
      <c r="GQ53" s="330"/>
      <c r="GR53" s="330"/>
      <c r="GS53" s="330"/>
      <c r="GT53" s="330"/>
      <c r="GU53" s="330"/>
      <c r="GV53" s="330"/>
      <c r="GW53" s="1808"/>
      <c r="GX53" s="1808"/>
      <c r="GY53" s="2156" t="s">
        <v>811</v>
      </c>
      <c r="GZ53" s="2157"/>
      <c r="HA53" s="2157"/>
      <c r="HB53" s="2157"/>
      <c r="HC53" s="2157"/>
      <c r="HD53" s="2157"/>
      <c r="HE53" s="2157"/>
      <c r="HF53" s="2157"/>
      <c r="HG53" s="2157"/>
      <c r="HH53" s="2157"/>
      <c r="HI53" s="2157"/>
      <c r="HJ53" s="2157"/>
      <c r="HK53" s="2157"/>
      <c r="HL53" s="2157"/>
      <c r="HM53" s="2157"/>
      <c r="HN53" s="2157"/>
      <c r="HO53" s="2157"/>
      <c r="HP53" s="2158"/>
      <c r="HQ53" s="330"/>
      <c r="HR53" s="330"/>
      <c r="HS53" s="330"/>
      <c r="HT53" s="330"/>
      <c r="HU53" s="330"/>
      <c r="HV53" s="330"/>
      <c r="HW53" s="330"/>
      <c r="HX53" s="330"/>
      <c r="HY53" s="330"/>
      <c r="HZ53" s="330"/>
      <c r="IA53" s="330"/>
      <c r="IB53" s="330"/>
      <c r="IC53" s="330"/>
      <c r="ID53" s="330"/>
      <c r="IE53" s="330"/>
      <c r="IF53" s="330"/>
      <c r="IG53" s="330"/>
      <c r="IH53" s="330"/>
      <c r="II53" s="330"/>
      <c r="IJ53" s="330"/>
      <c r="IK53" s="330"/>
      <c r="IL53" s="330"/>
      <c r="IM53" s="330"/>
      <c r="IN53" s="330"/>
      <c r="IO53" s="330"/>
      <c r="IP53" s="330"/>
      <c r="IQ53" s="330"/>
      <c r="IR53" s="330"/>
      <c r="IS53" s="330"/>
      <c r="IT53" s="330"/>
      <c r="IU53" s="330"/>
      <c r="IV53" s="330"/>
      <c r="IW53" s="330"/>
      <c r="IX53" s="330"/>
      <c r="IY53" s="330"/>
      <c r="IZ53" s="330"/>
      <c r="JA53" s="1808"/>
      <c r="JB53" s="1808"/>
      <c r="JC53" s="2156" t="s">
        <v>811</v>
      </c>
      <c r="JD53" s="2157"/>
      <c r="JE53" s="2157"/>
      <c r="JF53" s="2157"/>
      <c r="JG53" s="2157"/>
      <c r="JH53" s="2157"/>
      <c r="JI53" s="2157"/>
      <c r="JJ53" s="2157"/>
      <c r="JK53" s="2157"/>
      <c r="JL53" s="2157"/>
      <c r="JM53" s="2157"/>
      <c r="JN53" s="2157"/>
      <c r="JO53" s="2157"/>
      <c r="JP53" s="2157"/>
      <c r="JQ53" s="2157"/>
      <c r="JR53" s="2157"/>
      <c r="JS53" s="2157"/>
      <c r="JT53" s="2157"/>
      <c r="JU53" s="2157"/>
      <c r="JV53" s="2157"/>
      <c r="JW53" s="2157"/>
      <c r="JX53" s="2157"/>
      <c r="JY53" s="2157"/>
      <c r="JZ53" s="2158"/>
      <c r="KA53" s="330"/>
      <c r="KB53" s="330"/>
      <c r="KC53" s="330"/>
      <c r="KD53" s="330"/>
      <c r="KK53" s="330"/>
      <c r="KL53" s="330"/>
      <c r="KM53" s="330"/>
      <c r="KN53" s="330"/>
      <c r="KO53" s="330"/>
      <c r="KP53" s="330"/>
      <c r="KQ53" s="330"/>
      <c r="KR53" s="330"/>
      <c r="KS53" s="330"/>
      <c r="KT53" s="330"/>
      <c r="KU53" s="330"/>
      <c r="KV53" s="330"/>
      <c r="KW53" s="330"/>
      <c r="KX53" s="330"/>
      <c r="KY53" s="330"/>
      <c r="KZ53" s="330"/>
      <c r="LA53" s="330"/>
      <c r="LB53" s="330"/>
      <c r="LC53" s="330"/>
      <c r="LD53" s="330"/>
      <c r="LE53" s="330"/>
      <c r="LF53" s="330"/>
      <c r="LG53" s="330"/>
      <c r="LH53" s="330"/>
      <c r="LI53" s="330"/>
      <c r="LJ53" s="330"/>
      <c r="LK53" s="330"/>
      <c r="LL53" s="330"/>
      <c r="LM53" s="330"/>
      <c r="LN53" s="330"/>
      <c r="LO53" s="330"/>
      <c r="LP53" s="330"/>
      <c r="LQ53" s="330"/>
      <c r="LR53" s="330"/>
      <c r="LS53" s="330"/>
      <c r="LT53" s="330"/>
      <c r="LU53" s="330"/>
      <c r="LV53" s="330"/>
      <c r="LW53" s="330"/>
      <c r="LX53" s="330"/>
      <c r="LY53" s="330"/>
      <c r="LZ53" s="330"/>
      <c r="MA53" s="330"/>
      <c r="MB53" s="330"/>
      <c r="MC53" s="330"/>
      <c r="MD53" s="330"/>
      <c r="ME53" s="330"/>
      <c r="MF53" s="330"/>
      <c r="MG53" s="330"/>
      <c r="MH53" s="330"/>
      <c r="MI53" s="330"/>
      <c r="MJ53" s="330"/>
      <c r="MK53" s="330"/>
      <c r="ML53" s="330"/>
      <c r="MM53" s="330"/>
      <c r="MN53" s="330"/>
      <c r="MO53" s="330"/>
      <c r="MP53" s="330"/>
      <c r="MQ53" s="330"/>
      <c r="MR53" s="330"/>
      <c r="MS53" s="330"/>
      <c r="MT53" s="330"/>
      <c r="MU53" s="330"/>
      <c r="MV53" s="330"/>
      <c r="MW53" s="330"/>
      <c r="MX53" s="330"/>
      <c r="MY53" s="330"/>
      <c r="MZ53" s="330"/>
      <c r="NA53" s="330"/>
      <c r="NB53" s="330"/>
      <c r="NC53" s="330"/>
      <c r="ND53" s="330"/>
      <c r="NE53" s="330"/>
      <c r="NF53" s="330"/>
      <c r="NG53" s="330"/>
      <c r="NH53" s="330"/>
      <c r="NI53" s="330"/>
      <c r="NJ53" s="330"/>
      <c r="NK53" s="330"/>
      <c r="NL53" s="330"/>
      <c r="NM53" s="330"/>
      <c r="NN53" s="330"/>
      <c r="NO53" s="330"/>
      <c r="NP53" s="330"/>
      <c r="NQ53" s="330"/>
      <c r="NR53" s="330"/>
      <c r="NS53" s="330"/>
      <c r="NT53" s="330"/>
      <c r="NU53" s="330"/>
      <c r="NV53" s="330"/>
      <c r="NW53" s="330"/>
      <c r="NX53" s="330"/>
      <c r="NY53" s="330"/>
      <c r="NZ53" s="330"/>
      <c r="OA53" s="330"/>
      <c r="OB53" s="330"/>
      <c r="OC53" s="330"/>
      <c r="OD53" s="330"/>
      <c r="OE53" s="330"/>
      <c r="OF53" s="330"/>
      <c r="OG53" s="330"/>
      <c r="OH53" s="330"/>
      <c r="OI53" s="330"/>
      <c r="OJ53" s="330"/>
      <c r="OK53" s="330"/>
      <c r="OL53" s="330"/>
      <c r="OM53" s="330"/>
      <c r="ON53" s="330"/>
    </row>
    <row r="54" spans="1:429" s="74" customFormat="1" ht="27.6" customHeight="1" thickBot="1">
      <c r="D54" s="134"/>
      <c r="E54" s="1697" t="s">
        <v>873</v>
      </c>
      <c r="F54" s="1674"/>
      <c r="G54" s="1674"/>
      <c r="H54" s="1674"/>
      <c r="I54" s="1674"/>
      <c r="J54" s="1674"/>
      <c r="K54" s="1674"/>
      <c r="L54" s="1674"/>
      <c r="M54" s="1674"/>
      <c r="N54" s="1674"/>
      <c r="O54" s="1674"/>
      <c r="P54" s="1674"/>
      <c r="Q54" s="1674"/>
      <c r="R54" s="1674"/>
      <c r="S54" s="1674"/>
      <c r="T54" s="1674"/>
      <c r="U54" s="1674"/>
      <c r="V54" s="1674"/>
      <c r="W54" s="1674"/>
      <c r="X54" s="1674"/>
      <c r="Y54" s="1674"/>
      <c r="Z54" s="1634"/>
      <c r="AK54" s="1633"/>
      <c r="AL54" s="330"/>
      <c r="AM54" s="330"/>
      <c r="AN54" s="330"/>
      <c r="AO54" s="330"/>
      <c r="AP54" s="330"/>
      <c r="AQ54" s="330"/>
      <c r="AR54" s="330"/>
      <c r="AS54" s="330"/>
      <c r="AT54" s="330"/>
      <c r="AU54" s="330"/>
      <c r="AV54" s="330"/>
      <c r="AW54" s="330"/>
      <c r="AX54" s="330"/>
      <c r="AY54" s="330"/>
      <c r="AZ54" s="330"/>
      <c r="BA54" s="330"/>
      <c r="BB54" s="330"/>
      <c r="BC54" s="330"/>
      <c r="BD54" s="330"/>
      <c r="BE54" s="330"/>
      <c r="BF54" s="330"/>
      <c r="BG54" s="330"/>
      <c r="BH54" s="330"/>
      <c r="BI54" s="330"/>
      <c r="BJ54" s="330"/>
      <c r="BK54" s="330"/>
      <c r="BL54" s="330"/>
      <c r="BM54" s="330"/>
      <c r="BN54" s="330"/>
      <c r="BO54" s="330"/>
      <c r="BP54" s="330"/>
      <c r="BQ54" s="330"/>
      <c r="BR54" s="330"/>
      <c r="BS54" s="330"/>
      <c r="BT54" s="330"/>
      <c r="BU54" s="330"/>
      <c r="BV54" s="330"/>
      <c r="BW54" s="330"/>
      <c r="BX54" s="330"/>
      <c r="BY54" s="330"/>
      <c r="BZ54" s="330"/>
      <c r="CA54" s="330"/>
      <c r="CB54" s="330"/>
      <c r="CC54" s="330"/>
      <c r="CD54" s="330"/>
      <c r="CE54" s="330"/>
      <c r="CF54" s="330"/>
      <c r="CG54" s="330"/>
      <c r="CH54" s="330"/>
      <c r="CI54" s="330"/>
      <c r="CJ54" s="330"/>
      <c r="CK54" s="330"/>
      <c r="CL54" s="330"/>
      <c r="CM54" s="330"/>
      <c r="CN54" s="330"/>
      <c r="CO54" s="330"/>
      <c r="CP54" s="330"/>
      <c r="CQ54" s="330"/>
      <c r="CR54" s="330"/>
      <c r="CS54" s="330"/>
      <c r="CT54" s="330"/>
      <c r="CU54" s="330"/>
      <c r="CV54" s="330"/>
      <c r="CW54" s="330"/>
      <c r="CX54" s="330"/>
      <c r="CY54" s="330"/>
      <c r="CZ54" s="330"/>
      <c r="DA54" s="330"/>
      <c r="DB54" s="330"/>
      <c r="DC54" s="330"/>
      <c r="DD54" s="330"/>
      <c r="DE54" s="330"/>
      <c r="DF54" s="330"/>
      <c r="DG54" s="330"/>
      <c r="DH54" s="330"/>
      <c r="DI54" s="330"/>
      <c r="DJ54" s="330"/>
      <c r="DK54" s="330"/>
      <c r="DL54" s="330"/>
      <c r="DM54" s="330"/>
      <c r="DN54" s="330"/>
      <c r="DO54" s="330"/>
      <c r="DP54" s="330"/>
      <c r="DQ54" s="330"/>
      <c r="DR54" s="330"/>
      <c r="DS54" s="330"/>
      <c r="DT54" s="330"/>
      <c r="DU54" s="330"/>
      <c r="DV54" s="330"/>
      <c r="DW54" s="1608"/>
      <c r="DX54" s="1608"/>
      <c r="DY54" s="1608"/>
      <c r="DZ54" s="1608"/>
      <c r="EA54" s="1608">
        <v>1200</v>
      </c>
      <c r="EB54" s="1608">
        <v>1200</v>
      </c>
      <c r="EC54" s="1608">
        <v>1200</v>
      </c>
      <c r="ED54" s="1608">
        <v>1200</v>
      </c>
      <c r="EE54" s="1608">
        <v>1200</v>
      </c>
      <c r="EF54" s="1608">
        <v>1200</v>
      </c>
      <c r="EG54" s="1608">
        <v>1200</v>
      </c>
      <c r="EH54" s="1608">
        <v>1200</v>
      </c>
      <c r="EI54" s="1608">
        <v>1200</v>
      </c>
      <c r="EJ54" s="1608">
        <v>1200</v>
      </c>
      <c r="EK54" s="1608">
        <v>1200</v>
      </c>
      <c r="EL54" s="1608">
        <v>1200</v>
      </c>
      <c r="EM54" s="330"/>
      <c r="EN54" s="330"/>
      <c r="EO54" s="330"/>
      <c r="EP54" s="330"/>
      <c r="EQ54" s="330"/>
      <c r="ER54" s="330"/>
      <c r="ES54" s="330"/>
      <c r="ET54" s="330"/>
      <c r="EU54" s="330"/>
      <c r="EV54" s="330"/>
      <c r="EW54" s="330"/>
      <c r="EX54" s="330"/>
      <c r="EY54" s="330"/>
      <c r="EZ54" s="330"/>
      <c r="FA54" s="330"/>
      <c r="FB54" s="330"/>
      <c r="FC54" s="330"/>
      <c r="FD54" s="330"/>
      <c r="FE54" s="330"/>
      <c r="FF54" s="330"/>
      <c r="FG54" s="330"/>
      <c r="FH54" s="330"/>
      <c r="FI54" s="330"/>
      <c r="FJ54" s="330"/>
      <c r="FK54" s="330"/>
      <c r="FL54" s="330"/>
      <c r="FM54" s="330"/>
      <c r="FN54" s="330"/>
      <c r="FO54" s="330"/>
      <c r="FP54" s="330"/>
      <c r="FQ54" s="330"/>
      <c r="FR54" s="330"/>
      <c r="FS54" s="330"/>
      <c r="FT54" s="330"/>
      <c r="FU54" s="330"/>
      <c r="FV54" s="330"/>
      <c r="FW54" s="330"/>
      <c r="FX54" s="330"/>
      <c r="FY54" s="330"/>
      <c r="FZ54" s="330"/>
      <c r="GA54" s="330"/>
      <c r="GB54" s="330"/>
      <c r="GC54" s="330"/>
      <c r="GD54" s="330"/>
      <c r="GE54" s="330"/>
      <c r="GF54" s="330"/>
      <c r="GG54" s="330"/>
      <c r="GH54" s="330"/>
      <c r="GI54" s="330"/>
      <c r="GJ54" s="330"/>
      <c r="GK54" s="330"/>
      <c r="GL54" s="330"/>
      <c r="GM54" s="330"/>
      <c r="GN54" s="330"/>
      <c r="GO54" s="330"/>
      <c r="GP54" s="330"/>
      <c r="GQ54" s="330"/>
      <c r="GR54" s="330"/>
      <c r="GS54" s="1608"/>
      <c r="GT54" s="1608"/>
      <c r="GU54" s="1608"/>
      <c r="GV54" s="1608"/>
      <c r="GW54" s="1608">
        <v>1200</v>
      </c>
      <c r="GX54" s="1608">
        <v>1200</v>
      </c>
      <c r="GY54" s="1608">
        <v>1200</v>
      </c>
      <c r="GZ54" s="1608">
        <v>1200</v>
      </c>
      <c r="HA54" s="1608">
        <v>1200</v>
      </c>
      <c r="HB54" s="1608">
        <v>1200</v>
      </c>
      <c r="HC54" s="1608">
        <v>1200</v>
      </c>
      <c r="HD54" s="1608">
        <v>1200</v>
      </c>
      <c r="HE54" s="1608">
        <v>1200</v>
      </c>
      <c r="HF54" s="1608">
        <v>1200</v>
      </c>
      <c r="HG54" s="1608">
        <v>1200</v>
      </c>
      <c r="HH54" s="1608">
        <v>1200</v>
      </c>
      <c r="HI54" s="330"/>
      <c r="HJ54" s="330"/>
      <c r="HK54" s="330"/>
      <c r="HL54" s="330"/>
      <c r="HM54" s="330"/>
      <c r="HN54" s="330"/>
      <c r="HO54" s="330"/>
      <c r="HP54" s="330"/>
      <c r="HQ54" s="330"/>
      <c r="HR54" s="330"/>
      <c r="HS54" s="330"/>
      <c r="HT54" s="330"/>
      <c r="HU54" s="330"/>
      <c r="HV54" s="330"/>
      <c r="HW54" s="330"/>
      <c r="HX54" s="330"/>
      <c r="HY54" s="330"/>
      <c r="HZ54" s="330"/>
      <c r="IA54" s="330"/>
      <c r="IB54" s="330"/>
      <c r="IC54" s="330"/>
      <c r="ID54" s="330"/>
      <c r="IE54" s="330"/>
      <c r="IF54" s="330"/>
      <c r="IG54" s="330"/>
      <c r="IH54" s="330"/>
      <c r="II54" s="330"/>
      <c r="IJ54" s="330"/>
      <c r="IK54" s="330"/>
      <c r="IL54" s="330"/>
      <c r="IM54" s="330"/>
      <c r="IN54" s="330"/>
      <c r="IO54" s="330"/>
      <c r="IP54" s="330"/>
      <c r="IQ54" s="330"/>
      <c r="IR54" s="330"/>
      <c r="IS54" s="330"/>
      <c r="IT54" s="330"/>
      <c r="IU54" s="330"/>
      <c r="IV54" s="330"/>
      <c r="IW54" s="1608"/>
      <c r="IX54" s="1608"/>
      <c r="IY54" s="1608"/>
      <c r="IZ54" s="1608"/>
      <c r="JA54" s="1608">
        <v>1200</v>
      </c>
      <c r="JB54" s="1608">
        <v>1200</v>
      </c>
      <c r="JC54" s="1608">
        <v>1200</v>
      </c>
      <c r="JD54" s="1608">
        <v>1200</v>
      </c>
      <c r="JE54" s="1608">
        <v>1200</v>
      </c>
      <c r="JF54" s="1608">
        <v>1200</v>
      </c>
      <c r="JG54" s="1608">
        <v>1200</v>
      </c>
      <c r="JH54" s="1608">
        <v>1200</v>
      </c>
      <c r="JI54" s="1608">
        <v>1200</v>
      </c>
      <c r="JJ54" s="1608">
        <v>1200</v>
      </c>
      <c r="JK54" s="1608">
        <v>1200</v>
      </c>
      <c r="JL54" s="1608">
        <v>1200</v>
      </c>
      <c r="JM54" s="330"/>
      <c r="JN54" s="330"/>
      <c r="JO54" s="330"/>
      <c r="JP54" s="330"/>
      <c r="JQ54" s="330"/>
      <c r="JR54" s="330"/>
      <c r="JS54" s="330"/>
      <c r="JT54" s="330"/>
      <c r="JU54" s="330"/>
      <c r="JV54" s="330"/>
      <c r="JW54" s="330"/>
      <c r="JX54" s="330"/>
      <c r="JY54" s="330"/>
      <c r="JZ54" s="330"/>
      <c r="KA54" s="330"/>
      <c r="KB54" s="330"/>
      <c r="KC54" s="330"/>
      <c r="KD54" s="330"/>
      <c r="KE54" s="330"/>
      <c r="KF54" s="330"/>
      <c r="KG54" s="330"/>
      <c r="KH54" s="330"/>
      <c r="KI54" s="330"/>
      <c r="KJ54" s="330"/>
      <c r="KK54" s="330"/>
      <c r="KL54" s="330"/>
      <c r="KM54" s="330"/>
      <c r="KN54" s="330"/>
      <c r="KO54" s="330"/>
      <c r="KP54" s="330"/>
      <c r="KQ54" s="330"/>
      <c r="KR54" s="330"/>
      <c r="KS54" s="330"/>
      <c r="KT54" s="330"/>
      <c r="KU54" s="330"/>
      <c r="KV54" s="330"/>
      <c r="KW54" s="330"/>
      <c r="KX54" s="330"/>
      <c r="KY54" s="330"/>
      <c r="KZ54" s="330"/>
      <c r="LA54" s="330"/>
      <c r="LB54" s="330"/>
      <c r="LC54" s="330"/>
      <c r="LD54" s="330"/>
      <c r="LE54" s="330"/>
      <c r="LF54" s="330"/>
      <c r="LG54" s="330"/>
      <c r="LH54" s="330"/>
      <c r="LI54" s="330"/>
      <c r="LJ54" s="330"/>
      <c r="LK54" s="330"/>
      <c r="LL54" s="330"/>
      <c r="LM54" s="330"/>
      <c r="LN54" s="330"/>
      <c r="LO54" s="330"/>
      <c r="LP54" s="330"/>
      <c r="LQ54" s="330"/>
      <c r="LR54" s="330"/>
      <c r="LS54" s="330"/>
      <c r="LT54" s="330"/>
      <c r="LU54" s="330"/>
      <c r="LV54" s="330"/>
      <c r="LW54" s="330"/>
      <c r="LX54" s="330"/>
      <c r="LY54" s="330"/>
      <c r="LZ54" s="330"/>
      <c r="MA54" s="330"/>
      <c r="MB54" s="330"/>
      <c r="MC54" s="330"/>
      <c r="MD54" s="330"/>
      <c r="ME54" s="330"/>
      <c r="MF54" s="330"/>
      <c r="MG54" s="330"/>
      <c r="MH54" s="330"/>
      <c r="MI54" s="330"/>
      <c r="MJ54" s="330"/>
      <c r="MK54" s="330"/>
      <c r="ML54" s="330"/>
      <c r="MM54" s="330"/>
      <c r="MN54" s="330"/>
      <c r="MO54" s="330"/>
      <c r="MP54" s="330"/>
      <c r="MQ54" s="330"/>
      <c r="MR54" s="330"/>
      <c r="MS54" s="330"/>
      <c r="MT54" s="330"/>
      <c r="MU54" s="330"/>
      <c r="MV54" s="330"/>
      <c r="MW54" s="330"/>
      <c r="MX54" s="330"/>
      <c r="MY54" s="330"/>
      <c r="MZ54" s="330"/>
      <c r="NA54" s="330"/>
      <c r="NB54" s="330"/>
      <c r="NC54" s="330"/>
      <c r="ND54" s="330"/>
      <c r="NE54" s="330"/>
      <c r="NF54" s="330"/>
      <c r="NG54" s="330"/>
      <c r="NH54" s="330"/>
      <c r="NI54" s="330"/>
      <c r="NJ54" s="330"/>
      <c r="NK54" s="330"/>
      <c r="NL54" s="330"/>
      <c r="NM54" s="330"/>
      <c r="NN54" s="330"/>
      <c r="NO54" s="330"/>
      <c r="NP54" s="330"/>
      <c r="NQ54" s="330"/>
      <c r="NR54" s="330"/>
      <c r="NS54" s="330"/>
      <c r="NT54" s="330"/>
      <c r="NU54" s="330"/>
      <c r="NV54" s="330"/>
      <c r="NW54" s="330"/>
      <c r="NX54" s="330"/>
      <c r="NY54" s="330"/>
      <c r="NZ54" s="330"/>
      <c r="OA54" s="330"/>
      <c r="OB54" s="330"/>
      <c r="OC54" s="330"/>
      <c r="OD54" s="330"/>
      <c r="OE54" s="330"/>
      <c r="OF54" s="330"/>
      <c r="OG54" s="330"/>
      <c r="OH54" s="330"/>
      <c r="OI54" s="330"/>
      <c r="OJ54" s="330"/>
      <c r="OK54" s="330"/>
      <c r="OL54" s="330"/>
      <c r="OM54" s="330"/>
      <c r="ON54" s="330"/>
    </row>
    <row r="55" spans="1:429" s="74" customFormat="1" ht="27.6" customHeight="1" thickBot="1">
      <c r="D55" s="134"/>
      <c r="E55" s="1694"/>
      <c r="F55" s="1674"/>
      <c r="G55" s="1674"/>
      <c r="H55" s="1674"/>
      <c r="I55" s="1674"/>
      <c r="J55" s="1674"/>
      <c r="K55" s="1674"/>
      <c r="L55" s="1674"/>
      <c r="M55" s="1674"/>
      <c r="N55" s="1674"/>
      <c r="O55" s="1674"/>
      <c r="P55" s="1674"/>
      <c r="Q55" s="1674"/>
      <c r="R55" s="1674"/>
      <c r="S55" s="1674"/>
      <c r="T55" s="1674"/>
      <c r="U55" s="1674"/>
      <c r="V55" s="1674"/>
      <c r="W55" s="1674"/>
      <c r="X55" s="1674"/>
      <c r="Y55" s="1674"/>
      <c r="Z55" s="1634"/>
      <c r="AK55" s="1633"/>
      <c r="AL55" s="330"/>
      <c r="AM55" s="330"/>
      <c r="AN55" s="330"/>
      <c r="AO55" s="330"/>
      <c r="AP55" s="330"/>
      <c r="AQ55" s="330"/>
      <c r="AR55" s="330"/>
      <c r="AS55" s="330"/>
      <c r="AT55" s="330"/>
      <c r="AU55" s="330"/>
      <c r="AV55" s="330"/>
      <c r="AW55" s="330"/>
      <c r="AX55" s="330"/>
      <c r="AY55" s="330"/>
      <c r="AZ55" s="330"/>
      <c r="BA55" s="330"/>
      <c r="BB55" s="330"/>
      <c r="BC55" s="330"/>
      <c r="BD55" s="330"/>
      <c r="BE55" s="330"/>
      <c r="BF55" s="330"/>
      <c r="BG55" s="330"/>
      <c r="BH55" s="330"/>
      <c r="BI55" s="330"/>
      <c r="BJ55" s="330"/>
      <c r="BK55" s="330"/>
      <c r="BL55" s="330"/>
      <c r="BM55" s="330"/>
      <c r="BN55" s="330"/>
      <c r="BO55" s="330"/>
      <c r="BP55" s="330"/>
      <c r="BQ55" s="330"/>
      <c r="BR55" s="330"/>
      <c r="BS55" s="330"/>
      <c r="BT55" s="330"/>
      <c r="BU55" s="330"/>
      <c r="BV55" s="330"/>
      <c r="BW55" s="330"/>
      <c r="BX55" s="330"/>
      <c r="BY55" s="330"/>
      <c r="BZ55" s="330"/>
      <c r="CA55" s="330"/>
      <c r="CB55" s="330"/>
      <c r="CC55" s="330"/>
      <c r="CD55" s="330"/>
      <c r="CE55" s="330"/>
      <c r="CF55" s="330"/>
      <c r="CG55" s="330"/>
      <c r="CH55" s="330"/>
      <c r="CI55" s="330"/>
      <c r="CJ55" s="330"/>
      <c r="CK55" s="330"/>
      <c r="CL55" s="330"/>
      <c r="CM55" s="330"/>
      <c r="CN55" s="330"/>
      <c r="CO55" s="330"/>
      <c r="CP55" s="330"/>
      <c r="CQ55" s="330"/>
      <c r="CR55" s="330"/>
      <c r="CS55" s="330"/>
      <c r="CT55" s="330"/>
      <c r="CU55" s="330"/>
      <c r="CV55" s="330"/>
      <c r="CW55" s="330"/>
      <c r="CX55" s="330"/>
      <c r="CY55" s="330"/>
      <c r="CZ55" s="330"/>
      <c r="DA55" s="330"/>
      <c r="DB55" s="330"/>
      <c r="DC55" s="330"/>
      <c r="DD55" s="330"/>
      <c r="DE55" s="330"/>
      <c r="DF55" s="330"/>
      <c r="DG55" s="330"/>
      <c r="DH55" s="330"/>
      <c r="DI55" s="330"/>
      <c r="DJ55" s="330"/>
      <c r="DK55" s="330"/>
      <c r="DL55" s="330"/>
      <c r="DM55" s="330"/>
      <c r="DN55" s="330"/>
      <c r="DO55" s="330"/>
      <c r="DP55" s="330"/>
      <c r="DQ55" s="330"/>
      <c r="DR55" s="330"/>
      <c r="DS55" s="330"/>
      <c r="DT55" s="330"/>
      <c r="DU55" s="330"/>
      <c r="DV55" s="330"/>
      <c r="DW55" s="330"/>
      <c r="DX55" s="330"/>
      <c r="DY55" s="330"/>
      <c r="DZ55" s="330"/>
      <c r="EA55" s="330"/>
      <c r="EB55" s="330"/>
      <c r="EC55" s="330"/>
      <c r="ED55" s="330"/>
      <c r="EE55" s="330"/>
      <c r="EF55" s="330"/>
      <c r="EG55" s="330"/>
      <c r="EH55" s="330"/>
      <c r="EI55" s="330"/>
      <c r="EJ55" s="330"/>
      <c r="EK55" s="2141" t="s">
        <v>1010</v>
      </c>
      <c r="EL55" s="2142"/>
      <c r="EM55" s="2142"/>
      <c r="EN55" s="2143"/>
      <c r="EO55" s="2144" t="s">
        <v>849</v>
      </c>
      <c r="EP55" s="2145"/>
      <c r="EQ55" s="2145"/>
      <c r="ER55" s="2145"/>
      <c r="ES55" s="2145"/>
      <c r="ET55" s="2145"/>
      <c r="EU55" s="2145"/>
      <c r="EV55" s="2145"/>
      <c r="EW55" s="2145"/>
      <c r="EX55" s="2145"/>
      <c r="EY55" s="2145"/>
      <c r="EZ55" s="2145"/>
      <c r="FA55" s="2145"/>
      <c r="FB55" s="2145"/>
      <c r="FC55" s="2145"/>
      <c r="FD55" s="2145"/>
      <c r="FE55" s="2145"/>
      <c r="FF55" s="2145"/>
      <c r="FG55" s="2145"/>
      <c r="FH55" s="2145"/>
      <c r="FI55" s="2145"/>
      <c r="FJ55" s="2145"/>
      <c r="FK55" s="2145"/>
      <c r="FL55" s="2145"/>
      <c r="FM55" s="2145"/>
      <c r="FN55" s="2145"/>
      <c r="FO55" s="2145"/>
      <c r="FP55" s="2145"/>
      <c r="FQ55" s="2145"/>
      <c r="FR55" s="2145"/>
      <c r="FS55" s="2145"/>
      <c r="FT55" s="2145"/>
      <c r="FU55" s="2145"/>
      <c r="FV55" s="2145"/>
      <c r="FW55" s="2145"/>
      <c r="FX55" s="2146"/>
      <c r="FY55" s="330"/>
      <c r="FZ55" s="330"/>
      <c r="GA55" s="330"/>
      <c r="GB55" s="330"/>
      <c r="GC55" s="330"/>
      <c r="GD55" s="330"/>
      <c r="GE55" s="330"/>
      <c r="GF55" s="330"/>
      <c r="GG55" s="330"/>
      <c r="GH55" s="330"/>
      <c r="GI55" s="330"/>
      <c r="GJ55" s="330"/>
      <c r="GK55" s="330"/>
      <c r="GL55" s="330"/>
      <c r="GM55" s="330"/>
      <c r="GN55" s="330"/>
      <c r="GO55" s="330"/>
      <c r="GP55" s="330"/>
      <c r="GQ55" s="330"/>
      <c r="GR55" s="330"/>
      <c r="GS55" s="330"/>
      <c r="GT55" s="330"/>
      <c r="GU55" s="330"/>
      <c r="GV55" s="330"/>
      <c r="GW55" s="330"/>
      <c r="GX55" s="330"/>
      <c r="GY55" s="330"/>
      <c r="GZ55" s="330"/>
      <c r="HA55" s="330"/>
      <c r="HB55" s="330"/>
      <c r="HC55" s="330"/>
      <c r="HD55" s="2141" t="s">
        <v>1026</v>
      </c>
      <c r="HE55" s="2142"/>
      <c r="HF55" s="2142"/>
      <c r="HG55" s="2143"/>
      <c r="HH55" s="2182" t="s">
        <v>1022</v>
      </c>
      <c r="HI55" s="2183"/>
      <c r="HJ55" s="2183"/>
      <c r="HK55" s="2183"/>
      <c r="HL55" s="2183"/>
      <c r="HM55" s="2183"/>
      <c r="HN55" s="2183"/>
      <c r="HO55" s="2183"/>
      <c r="HP55" s="2183"/>
      <c r="HQ55" s="2183"/>
      <c r="HR55" s="2183"/>
      <c r="HS55" s="2183"/>
      <c r="HT55" s="2183"/>
      <c r="HU55" s="2183"/>
      <c r="HV55" s="2183"/>
      <c r="HW55" s="2183"/>
      <c r="HX55" s="2183"/>
      <c r="HY55" s="2183"/>
      <c r="HZ55" s="2183"/>
      <c r="IA55" s="2183"/>
      <c r="IB55" s="2183"/>
      <c r="IC55" s="2183"/>
      <c r="ID55" s="2183"/>
      <c r="IE55" s="2183"/>
      <c r="IF55" s="2183"/>
      <c r="IG55" s="2183"/>
      <c r="IH55" s="2183"/>
      <c r="II55" s="2183"/>
      <c r="IJ55" s="2183"/>
      <c r="IK55" s="2184"/>
      <c r="IL55" s="330"/>
      <c r="IM55" s="330"/>
      <c r="IN55" s="330"/>
      <c r="IO55" s="330"/>
      <c r="IP55" s="330"/>
      <c r="IQ55" s="330"/>
      <c r="IR55" s="330"/>
      <c r="IS55" s="330"/>
      <c r="IT55" s="330"/>
      <c r="IU55" s="330"/>
      <c r="IV55" s="330"/>
      <c r="IW55" s="330"/>
      <c r="IX55" s="330"/>
      <c r="IY55" s="330"/>
      <c r="IZ55" s="330"/>
      <c r="JA55" s="330"/>
      <c r="JB55" s="330"/>
      <c r="JC55" s="330"/>
      <c r="JD55" s="330"/>
      <c r="JE55" s="330"/>
      <c r="JF55" s="330"/>
      <c r="JG55" s="330"/>
      <c r="JH55" s="330"/>
      <c r="JI55" s="2141" t="s">
        <v>1039</v>
      </c>
      <c r="JJ55" s="2142"/>
      <c r="JK55" s="2142"/>
      <c r="JL55" s="2143"/>
      <c r="JM55" s="2144" t="s">
        <v>1037</v>
      </c>
      <c r="JN55" s="2145"/>
      <c r="JO55" s="2145"/>
      <c r="JP55" s="2145"/>
      <c r="JQ55" s="2145"/>
      <c r="JR55" s="2145"/>
      <c r="JS55" s="2145"/>
      <c r="JT55" s="2145"/>
      <c r="JU55" s="2145"/>
      <c r="JV55" s="2145"/>
      <c r="JW55" s="2145"/>
      <c r="JX55" s="2145"/>
      <c r="JY55" s="2145"/>
      <c r="JZ55" s="2145"/>
      <c r="KA55" s="2145"/>
      <c r="KB55" s="2145"/>
      <c r="KC55" s="2145"/>
      <c r="KD55" s="2145"/>
      <c r="KE55" s="2145"/>
      <c r="KF55" s="2145"/>
      <c r="KG55" s="2145"/>
      <c r="KH55" s="2145"/>
      <c r="KI55" s="2145"/>
      <c r="KJ55" s="2145"/>
      <c r="KK55" s="2145"/>
      <c r="KL55" s="2145"/>
      <c r="KM55" s="2145"/>
      <c r="KN55" s="2145"/>
      <c r="KO55" s="2145"/>
      <c r="KP55" s="2145"/>
      <c r="KQ55" s="2145"/>
      <c r="KR55" s="2145"/>
      <c r="KS55" s="2145"/>
      <c r="KT55" s="2145"/>
      <c r="KU55" s="2145"/>
      <c r="KV55" s="2146"/>
      <c r="KW55" s="330"/>
      <c r="KX55" s="330"/>
      <c r="KY55" s="330"/>
      <c r="KZ55" s="330"/>
      <c r="LA55" s="330"/>
      <c r="LB55" s="330"/>
      <c r="LC55" s="330"/>
      <c r="LD55" s="330"/>
      <c r="LE55" s="330"/>
      <c r="LF55" s="330"/>
      <c r="LG55" s="330"/>
      <c r="LH55" s="330"/>
      <c r="LI55" s="330"/>
      <c r="LJ55" s="330"/>
      <c r="LK55" s="330"/>
      <c r="LL55" s="330"/>
      <c r="LM55" s="330"/>
      <c r="LN55" s="330"/>
      <c r="LO55" s="330"/>
      <c r="LP55" s="330"/>
      <c r="LQ55" s="330"/>
      <c r="LR55" s="330"/>
      <c r="LS55" s="330"/>
      <c r="LT55" s="330"/>
      <c r="LU55" s="330"/>
      <c r="LV55" s="330"/>
      <c r="LW55" s="330"/>
      <c r="LX55" s="330"/>
      <c r="LY55" s="330"/>
      <c r="LZ55" s="330"/>
      <c r="MA55" s="330"/>
      <c r="MB55" s="330"/>
      <c r="MC55" s="330"/>
      <c r="MD55" s="330"/>
      <c r="ME55" s="330"/>
      <c r="MF55" s="330"/>
      <c r="MG55" s="330"/>
      <c r="MH55" s="330"/>
      <c r="MI55" s="330"/>
      <c r="MJ55" s="330"/>
      <c r="MK55" s="330"/>
      <c r="ML55" s="330"/>
      <c r="MM55" s="330"/>
      <c r="MN55" s="330"/>
      <c r="MO55" s="330"/>
      <c r="MP55" s="330"/>
      <c r="MQ55" s="330"/>
      <c r="MR55" s="330"/>
      <c r="MS55" s="330"/>
      <c r="MT55" s="330"/>
      <c r="MU55" s="330"/>
      <c r="MV55" s="330"/>
      <c r="MW55" s="330"/>
      <c r="MX55" s="330"/>
      <c r="MY55" s="330"/>
      <c r="MZ55" s="330"/>
      <c r="NA55" s="330"/>
      <c r="NB55" s="330"/>
      <c r="NC55" s="330"/>
      <c r="ND55" s="330"/>
      <c r="NE55" s="330"/>
      <c r="NF55" s="330"/>
      <c r="NG55" s="330"/>
      <c r="NH55" s="330"/>
      <c r="NI55" s="330"/>
      <c r="NJ55" s="330"/>
      <c r="NK55" s="330"/>
      <c r="NL55" s="330"/>
      <c r="NM55" s="330"/>
      <c r="NN55" s="330"/>
      <c r="NO55" s="330"/>
      <c r="NP55" s="330"/>
      <c r="NQ55" s="330"/>
      <c r="NR55" s="330"/>
      <c r="NS55" s="330"/>
      <c r="NT55" s="330"/>
      <c r="NU55" s="330"/>
      <c r="NV55" s="330"/>
      <c r="NW55" s="330"/>
      <c r="NX55" s="330"/>
      <c r="NY55" s="330"/>
      <c r="NZ55" s="330"/>
      <c r="OA55" s="330"/>
      <c r="OB55" s="330"/>
      <c r="OC55" s="330"/>
      <c r="OD55" s="330"/>
      <c r="OE55" s="330"/>
      <c r="OF55" s="330"/>
      <c r="OG55" s="330"/>
      <c r="OH55" s="330"/>
      <c r="OI55" s="330"/>
      <c r="OJ55" s="330"/>
      <c r="OK55" s="330"/>
      <c r="OL55" s="330"/>
      <c r="OM55" s="330"/>
      <c r="ON55" s="330"/>
      <c r="OO55" s="330"/>
      <c r="OP55" s="330"/>
      <c r="OQ55" s="330"/>
    </row>
    <row r="56" spans="1:429" s="74" customFormat="1" ht="27.6" customHeight="1" thickBot="1">
      <c r="D56" s="134"/>
      <c r="E56" s="1694"/>
      <c r="F56" s="1674"/>
      <c r="G56" s="1674"/>
      <c r="H56" s="1674"/>
      <c r="I56" s="1674"/>
      <c r="J56" s="1674"/>
      <c r="K56" s="1674"/>
      <c r="L56" s="1674"/>
      <c r="M56" s="1674"/>
      <c r="N56" s="1674"/>
      <c r="O56" s="1674"/>
      <c r="P56" s="1674"/>
      <c r="Q56" s="1674"/>
      <c r="R56" s="1674"/>
      <c r="S56" s="1674"/>
      <c r="T56" s="1674"/>
      <c r="U56" s="1674"/>
      <c r="V56" s="1674"/>
      <c r="W56" s="1674"/>
      <c r="X56" s="1674"/>
      <c r="Y56" s="1674"/>
      <c r="Z56" s="1634"/>
      <c r="AK56" s="1633"/>
      <c r="AL56" s="330"/>
      <c r="AM56" s="330"/>
      <c r="AN56" s="330"/>
      <c r="AO56" s="330"/>
      <c r="AP56" s="330"/>
      <c r="AQ56" s="330"/>
      <c r="AR56" s="330"/>
      <c r="AS56" s="330"/>
      <c r="AT56" s="330"/>
      <c r="AU56" s="330"/>
      <c r="AV56" s="330"/>
      <c r="AW56" s="330"/>
      <c r="AX56" s="330"/>
      <c r="AY56" s="330"/>
      <c r="AZ56" s="330"/>
      <c r="BA56" s="330"/>
      <c r="BB56" s="330"/>
      <c r="BC56" s="330"/>
      <c r="BD56" s="330"/>
      <c r="BE56" s="330"/>
      <c r="BF56" s="330"/>
      <c r="BG56" s="330"/>
      <c r="BH56" s="330"/>
      <c r="BI56" s="330"/>
      <c r="BJ56" s="330"/>
      <c r="BK56" s="330"/>
      <c r="BL56" s="330"/>
      <c r="BM56" s="330"/>
      <c r="BN56" s="330"/>
      <c r="BO56" s="330"/>
      <c r="BP56" s="330"/>
      <c r="BQ56" s="330"/>
      <c r="BR56" s="330"/>
      <c r="BS56" s="330"/>
      <c r="BT56" s="330"/>
      <c r="BU56" s="330"/>
      <c r="BV56" s="330"/>
      <c r="BW56" s="330"/>
      <c r="BX56" s="330"/>
      <c r="BY56" s="330"/>
      <c r="BZ56" s="330"/>
      <c r="CA56" s="330"/>
      <c r="CB56" s="330"/>
      <c r="CC56" s="330"/>
      <c r="CD56" s="330"/>
      <c r="CE56" s="330"/>
      <c r="CF56" s="330"/>
      <c r="CG56" s="330"/>
      <c r="CH56" s="330"/>
      <c r="CI56" s="330"/>
      <c r="CJ56" s="330"/>
      <c r="CK56" s="330"/>
      <c r="CL56" s="330"/>
      <c r="CM56" s="330"/>
      <c r="CN56" s="330"/>
      <c r="CO56" s="330"/>
      <c r="CP56" s="330"/>
      <c r="CQ56" s="330"/>
      <c r="CR56" s="330"/>
      <c r="CS56" s="330"/>
      <c r="CT56" s="330"/>
      <c r="CU56" s="330"/>
      <c r="CV56" s="330"/>
      <c r="CW56" s="330"/>
      <c r="CX56" s="330"/>
      <c r="CY56" s="330"/>
      <c r="CZ56" s="330"/>
      <c r="DA56" s="330"/>
      <c r="DB56" s="330"/>
      <c r="DC56" s="330"/>
      <c r="DD56" s="330"/>
      <c r="DE56" s="330"/>
      <c r="DF56" s="330"/>
      <c r="DG56" s="330"/>
      <c r="DH56" s="330"/>
      <c r="DI56" s="330"/>
      <c r="DJ56" s="330"/>
      <c r="DK56" s="330"/>
      <c r="DL56" s="330"/>
      <c r="DM56" s="330"/>
      <c r="DN56" s="330"/>
      <c r="DO56" s="330"/>
      <c r="DP56" s="330"/>
      <c r="DQ56" s="330"/>
      <c r="DR56" s="330"/>
      <c r="DS56" s="330"/>
      <c r="DT56" s="330"/>
      <c r="DU56" s="330"/>
      <c r="DV56" s="330"/>
      <c r="DW56" s="330"/>
      <c r="DX56" s="330"/>
      <c r="DY56" s="330"/>
      <c r="DZ56" s="330"/>
      <c r="EA56" s="330"/>
      <c r="EB56" s="330"/>
      <c r="EC56" s="330"/>
      <c r="ED56" s="330"/>
      <c r="EE56" s="330"/>
      <c r="EF56" s="330"/>
      <c r="EG56" s="330"/>
      <c r="EH56" s="330"/>
      <c r="EI56" s="330"/>
      <c r="EJ56" s="330"/>
      <c r="EK56" s="2147" t="s">
        <v>783</v>
      </c>
      <c r="EL56" s="2148"/>
      <c r="EM56" s="2148"/>
      <c r="EN56" s="2148"/>
      <c r="EO56" s="2148"/>
      <c r="EP56" s="2149"/>
      <c r="EQ56" s="2150" t="s">
        <v>810</v>
      </c>
      <c r="ER56" s="2151"/>
      <c r="ES56" s="2151"/>
      <c r="ET56" s="2151"/>
      <c r="EU56" s="2151"/>
      <c r="EV56" s="2151"/>
      <c r="EW56" s="2151"/>
      <c r="EX56" s="2151"/>
      <c r="EY56" s="2151"/>
      <c r="EZ56" s="2152"/>
      <c r="FA56" s="2153" t="s">
        <v>811</v>
      </c>
      <c r="FB56" s="2154"/>
      <c r="FC56" s="2154"/>
      <c r="FD56" s="2154"/>
      <c r="FE56" s="2154"/>
      <c r="FF56" s="2154"/>
      <c r="FG56" s="2154"/>
      <c r="FH56" s="2154"/>
      <c r="FI56" s="2154"/>
      <c r="FJ56" s="2154"/>
      <c r="FK56" s="2154"/>
      <c r="FL56" s="2154"/>
      <c r="FM56" s="2154"/>
      <c r="FN56" s="2154"/>
      <c r="FO56" s="2154"/>
      <c r="FP56" s="2154"/>
      <c r="FQ56" s="2154"/>
      <c r="FR56" s="2154"/>
      <c r="FS56" s="2154"/>
      <c r="FT56" s="2154"/>
      <c r="FU56" s="2154"/>
      <c r="FV56" s="2154"/>
      <c r="FW56" s="2154"/>
      <c r="FX56" s="2155"/>
      <c r="FY56" s="330"/>
      <c r="FZ56" s="330"/>
      <c r="GA56" s="330"/>
      <c r="GB56" s="330"/>
      <c r="GC56" s="330"/>
      <c r="GD56" s="330"/>
      <c r="GE56" s="330"/>
      <c r="GF56" s="330"/>
      <c r="GG56" s="330"/>
      <c r="GH56" s="330"/>
      <c r="GI56" s="330"/>
      <c r="GJ56" s="330"/>
      <c r="GK56" s="330"/>
      <c r="GL56" s="330"/>
      <c r="GM56" s="330"/>
      <c r="GN56" s="330"/>
      <c r="GO56" s="330"/>
      <c r="GP56" s="330"/>
      <c r="GQ56" s="330"/>
      <c r="GR56" s="330"/>
      <c r="GS56" s="330"/>
      <c r="GT56" s="330"/>
      <c r="GU56" s="330"/>
      <c r="GV56" s="330"/>
      <c r="GW56" s="330"/>
      <c r="GX56" s="330"/>
      <c r="GY56" s="330"/>
      <c r="GZ56" s="330"/>
      <c r="HA56" s="330"/>
      <c r="HB56" s="330"/>
      <c r="HC56" s="330"/>
      <c r="HD56" s="2147" t="s">
        <v>783</v>
      </c>
      <c r="HE56" s="2148"/>
      <c r="HF56" s="2148"/>
      <c r="HG56" s="2148"/>
      <c r="HH56" s="2148"/>
      <c r="HI56" s="2149"/>
      <c r="HJ56" s="2150" t="s">
        <v>810</v>
      </c>
      <c r="HK56" s="2151"/>
      <c r="HL56" s="2151"/>
      <c r="HM56" s="2151"/>
      <c r="HN56" s="2151"/>
      <c r="HO56" s="2151"/>
      <c r="HP56" s="2151"/>
      <c r="HQ56" s="2151"/>
      <c r="HR56" s="2151"/>
      <c r="HS56" s="2152"/>
      <c r="HT56" s="2153" t="s">
        <v>811</v>
      </c>
      <c r="HU56" s="2154"/>
      <c r="HV56" s="2154"/>
      <c r="HW56" s="2154"/>
      <c r="HX56" s="2154"/>
      <c r="HY56" s="2154"/>
      <c r="HZ56" s="2154"/>
      <c r="IA56" s="2154"/>
      <c r="IB56" s="2154"/>
      <c r="IC56" s="2154"/>
      <c r="ID56" s="2154"/>
      <c r="IE56" s="2154"/>
      <c r="IF56" s="2154"/>
      <c r="IG56" s="2154"/>
      <c r="IH56" s="2154"/>
      <c r="II56" s="2154"/>
      <c r="IJ56" s="2154"/>
      <c r="IK56" s="2155"/>
      <c r="IL56" s="330"/>
      <c r="IM56" s="330"/>
      <c r="IN56" s="330"/>
      <c r="IO56" s="330"/>
      <c r="IP56" s="330"/>
      <c r="IQ56" s="330"/>
      <c r="IR56" s="330"/>
      <c r="IS56" s="330"/>
      <c r="IT56" s="330"/>
      <c r="IU56" s="330"/>
      <c r="IV56" s="330"/>
      <c r="IW56" s="330"/>
      <c r="IX56" s="330"/>
      <c r="IY56" s="330"/>
      <c r="IZ56" s="330"/>
      <c r="JA56" s="330"/>
      <c r="JB56" s="330"/>
      <c r="JC56" s="330"/>
      <c r="JD56" s="330"/>
      <c r="JE56" s="330"/>
      <c r="JF56" s="330"/>
      <c r="JG56" s="330"/>
      <c r="JH56" s="330"/>
      <c r="JI56" s="2147" t="s">
        <v>783</v>
      </c>
      <c r="JJ56" s="2148"/>
      <c r="JK56" s="2148"/>
      <c r="JL56" s="2148"/>
      <c r="JM56" s="2148"/>
      <c r="JN56" s="2149"/>
      <c r="JO56" s="2150" t="s">
        <v>810</v>
      </c>
      <c r="JP56" s="2151"/>
      <c r="JQ56" s="2151"/>
      <c r="JR56" s="2151"/>
      <c r="JS56" s="2151"/>
      <c r="JT56" s="2151"/>
      <c r="JU56" s="2151"/>
      <c r="JV56" s="2151"/>
      <c r="JW56" s="2151"/>
      <c r="JX56" s="2152"/>
      <c r="JY56" s="2153" t="s">
        <v>811</v>
      </c>
      <c r="JZ56" s="2154"/>
      <c r="KA56" s="2154"/>
      <c r="KB56" s="2154"/>
      <c r="KC56" s="2154"/>
      <c r="KD56" s="2154"/>
      <c r="KE56" s="2154"/>
      <c r="KF56" s="2154"/>
      <c r="KG56" s="2154"/>
      <c r="KH56" s="2154"/>
      <c r="KI56" s="2154"/>
      <c r="KJ56" s="2154"/>
      <c r="KK56" s="2154"/>
      <c r="KL56" s="2154"/>
      <c r="KM56" s="2154"/>
      <c r="KN56" s="2154"/>
      <c r="KO56" s="2154"/>
      <c r="KP56" s="2154"/>
      <c r="KQ56" s="2154"/>
      <c r="KR56" s="2154"/>
      <c r="KS56" s="2154"/>
      <c r="KT56" s="2154"/>
      <c r="KU56" s="2154"/>
      <c r="KV56" s="2155"/>
      <c r="KW56" s="330"/>
      <c r="KX56" s="330"/>
      <c r="KY56" s="330"/>
      <c r="KZ56" s="330"/>
      <c r="LA56" s="330"/>
      <c r="LB56" s="330"/>
      <c r="LC56" s="330"/>
      <c r="LD56" s="330"/>
      <c r="LE56" s="330"/>
      <c r="LF56" s="330"/>
      <c r="LG56" s="330"/>
      <c r="LH56" s="330"/>
      <c r="LI56" s="330"/>
      <c r="LJ56" s="330"/>
      <c r="LK56" s="330"/>
      <c r="LL56" s="330"/>
      <c r="LM56" s="330"/>
      <c r="LN56" s="330"/>
      <c r="LO56" s="330"/>
      <c r="LP56" s="330"/>
      <c r="LQ56" s="330"/>
      <c r="LR56" s="330"/>
      <c r="LS56" s="330"/>
      <c r="LT56" s="330"/>
      <c r="LU56" s="330"/>
      <c r="LV56" s="330"/>
      <c r="LW56" s="330"/>
      <c r="LX56" s="330"/>
      <c r="LY56" s="330"/>
      <c r="LZ56" s="330"/>
      <c r="MA56" s="330"/>
      <c r="MB56" s="330"/>
      <c r="MC56" s="330"/>
      <c r="MD56" s="330"/>
      <c r="ME56" s="330"/>
      <c r="MF56" s="330"/>
      <c r="MG56" s="330"/>
      <c r="MH56" s="330"/>
      <c r="MI56" s="330"/>
      <c r="MJ56" s="330"/>
      <c r="MK56" s="330"/>
      <c r="ML56" s="330"/>
      <c r="MM56" s="330"/>
      <c r="MN56" s="330"/>
      <c r="MO56" s="330"/>
      <c r="MP56" s="330"/>
      <c r="MQ56" s="330"/>
      <c r="MR56" s="330"/>
      <c r="MS56" s="330"/>
      <c r="MT56" s="330"/>
      <c r="MU56" s="330"/>
      <c r="MV56" s="330"/>
      <c r="MW56" s="330"/>
      <c r="MX56" s="330"/>
      <c r="MY56" s="330"/>
      <c r="MZ56" s="330"/>
      <c r="NA56" s="330"/>
      <c r="NB56" s="330"/>
      <c r="NC56" s="330"/>
      <c r="ND56" s="330"/>
      <c r="NE56" s="330"/>
      <c r="NF56" s="330"/>
      <c r="NG56" s="330"/>
      <c r="NH56" s="330"/>
      <c r="NI56" s="330"/>
      <c r="NJ56" s="330"/>
      <c r="NK56" s="330"/>
      <c r="NL56" s="330"/>
      <c r="NM56" s="330"/>
      <c r="NN56" s="330"/>
      <c r="NO56" s="330"/>
      <c r="NP56" s="330"/>
      <c r="NQ56" s="330"/>
      <c r="NR56" s="330"/>
      <c r="NS56" s="330"/>
      <c r="NT56" s="330"/>
      <c r="NU56" s="330"/>
      <c r="NV56" s="330"/>
      <c r="NW56" s="330"/>
      <c r="NX56" s="330"/>
      <c r="NY56" s="330"/>
      <c r="NZ56" s="330"/>
      <c r="OA56" s="330"/>
      <c r="OB56" s="330"/>
      <c r="OC56" s="330"/>
      <c r="OD56" s="330"/>
      <c r="OE56" s="330"/>
      <c r="OF56" s="330"/>
      <c r="OG56" s="330"/>
      <c r="OH56" s="330"/>
      <c r="OI56" s="330"/>
      <c r="OJ56" s="330"/>
      <c r="OK56" s="330"/>
      <c r="OL56" s="330"/>
      <c r="OM56" s="330"/>
      <c r="ON56" s="330"/>
      <c r="OO56" s="330"/>
      <c r="OP56" s="330"/>
      <c r="OQ56" s="330"/>
    </row>
    <row r="57" spans="1:429" s="74" customFormat="1" ht="27.6" customHeight="1">
      <c r="D57" s="134"/>
      <c r="E57" s="1694"/>
      <c r="F57" s="1674"/>
      <c r="G57" s="1674"/>
      <c r="H57" s="1674"/>
      <c r="I57" s="1674"/>
      <c r="J57" s="1674"/>
      <c r="K57" s="1674"/>
      <c r="L57" s="1674"/>
      <c r="M57" s="1674"/>
      <c r="N57" s="1674"/>
      <c r="O57" s="1674"/>
      <c r="P57" s="1674"/>
      <c r="Q57" s="1674"/>
      <c r="R57" s="1674"/>
      <c r="S57" s="1674"/>
      <c r="T57" s="1674"/>
      <c r="U57" s="1674"/>
      <c r="V57" s="1674"/>
      <c r="W57" s="1674"/>
      <c r="X57" s="1674"/>
      <c r="Y57" s="1674"/>
      <c r="Z57" s="1634"/>
      <c r="AK57" s="1633"/>
      <c r="AL57" s="330"/>
      <c r="AM57" s="330"/>
      <c r="AN57" s="330"/>
      <c r="AO57" s="330"/>
      <c r="AP57" s="330"/>
      <c r="AQ57" s="330"/>
      <c r="AR57" s="330"/>
      <c r="AS57" s="330"/>
      <c r="AT57" s="330"/>
      <c r="AU57" s="330"/>
      <c r="AV57" s="330"/>
      <c r="AW57" s="330"/>
      <c r="AX57" s="330"/>
      <c r="AY57" s="330"/>
      <c r="AZ57" s="330"/>
      <c r="BA57" s="330"/>
      <c r="BB57" s="330"/>
      <c r="BC57" s="330"/>
      <c r="BD57" s="330"/>
      <c r="BE57" s="330"/>
      <c r="BF57" s="330"/>
      <c r="BG57" s="330"/>
      <c r="BH57" s="330"/>
      <c r="BI57" s="330"/>
      <c r="BJ57" s="330"/>
      <c r="BK57" s="330"/>
      <c r="BL57" s="330"/>
      <c r="BM57" s="330"/>
      <c r="BN57" s="330"/>
      <c r="BO57" s="330"/>
      <c r="BP57" s="330"/>
      <c r="BQ57" s="330"/>
      <c r="BR57" s="330"/>
      <c r="BS57" s="330"/>
      <c r="BT57" s="330"/>
      <c r="BU57" s="330"/>
      <c r="BV57" s="330"/>
      <c r="BW57" s="330"/>
      <c r="BX57" s="330"/>
      <c r="BY57" s="330"/>
      <c r="BZ57" s="330"/>
      <c r="CA57" s="330"/>
      <c r="CB57" s="330"/>
      <c r="CC57" s="330"/>
      <c r="CD57" s="330"/>
      <c r="CE57" s="330"/>
      <c r="CF57" s="330"/>
      <c r="CG57" s="330"/>
      <c r="CH57" s="330"/>
      <c r="CI57" s="330"/>
      <c r="CJ57" s="330"/>
      <c r="CK57" s="330"/>
      <c r="CL57" s="330"/>
      <c r="CM57" s="330"/>
      <c r="CN57" s="330"/>
      <c r="CO57" s="330"/>
      <c r="CP57" s="330"/>
      <c r="CQ57" s="330"/>
      <c r="CR57" s="330"/>
      <c r="CS57" s="330"/>
      <c r="CT57" s="330"/>
      <c r="CU57" s="330"/>
      <c r="CV57" s="330"/>
      <c r="CW57" s="330"/>
      <c r="CX57" s="330"/>
      <c r="CY57" s="330"/>
      <c r="CZ57" s="330"/>
      <c r="DA57" s="330"/>
      <c r="DB57" s="330"/>
      <c r="DC57" s="330"/>
      <c r="DD57" s="330"/>
      <c r="DE57" s="330"/>
      <c r="DF57" s="330"/>
      <c r="DG57" s="330"/>
      <c r="DH57" s="330"/>
      <c r="DI57" s="330"/>
      <c r="DJ57" s="330"/>
      <c r="DK57" s="330"/>
      <c r="DL57" s="330"/>
      <c r="DM57" s="330"/>
      <c r="DN57" s="330"/>
      <c r="DO57" s="330"/>
      <c r="DP57" s="330"/>
      <c r="DQ57" s="330"/>
      <c r="DR57" s="330"/>
      <c r="DS57" s="330"/>
      <c r="DT57" s="330"/>
      <c r="DU57" s="330"/>
      <c r="DV57" s="330"/>
      <c r="DW57" s="330"/>
      <c r="DX57" s="330"/>
      <c r="DY57" s="330"/>
      <c r="DZ57" s="330"/>
      <c r="EA57" s="330"/>
      <c r="EB57" s="330"/>
      <c r="EC57" s="330"/>
      <c r="ED57" s="330"/>
      <c r="EE57" s="330"/>
      <c r="EF57" s="330"/>
      <c r="EG57" s="330"/>
      <c r="EH57" s="330"/>
      <c r="EI57" s="330"/>
      <c r="EJ57" s="330"/>
      <c r="EK57" s="330"/>
      <c r="EL57" s="330"/>
      <c r="EM57" s="330"/>
      <c r="EN57" s="330"/>
      <c r="EO57" s="1808"/>
      <c r="EP57" s="1808"/>
      <c r="EQ57" s="2156" t="s">
        <v>811</v>
      </c>
      <c r="ER57" s="2157"/>
      <c r="ES57" s="2157"/>
      <c r="ET57" s="2157"/>
      <c r="EU57" s="2157"/>
      <c r="EV57" s="2157"/>
      <c r="EW57" s="2157"/>
      <c r="EX57" s="2157"/>
      <c r="EY57" s="2157"/>
      <c r="EZ57" s="2157"/>
      <c r="FA57" s="2157"/>
      <c r="FB57" s="2157"/>
      <c r="FC57" s="2157"/>
      <c r="FD57" s="2157"/>
      <c r="FE57" s="2157"/>
      <c r="FF57" s="2157"/>
      <c r="FG57" s="2157"/>
      <c r="FH57" s="2157"/>
      <c r="FI57" s="2157"/>
      <c r="FJ57" s="2157"/>
      <c r="FK57" s="2157"/>
      <c r="FL57" s="2157"/>
      <c r="FM57" s="2157"/>
      <c r="FN57" s="2158"/>
      <c r="FO57" s="330"/>
      <c r="FP57" s="330"/>
      <c r="FQ57" s="330"/>
      <c r="FR57" s="330"/>
      <c r="FY57" s="330"/>
      <c r="FZ57" s="330"/>
      <c r="GA57" s="330"/>
      <c r="GB57" s="330"/>
      <c r="GC57" s="330"/>
      <c r="GD57" s="330"/>
      <c r="GE57" s="330"/>
      <c r="GF57" s="330"/>
      <c r="GG57" s="330"/>
      <c r="GH57" s="330"/>
      <c r="GI57" s="330"/>
      <c r="GJ57" s="330"/>
      <c r="GK57" s="330"/>
      <c r="GL57" s="330"/>
      <c r="GM57" s="330"/>
      <c r="GN57" s="330"/>
      <c r="GO57" s="330"/>
      <c r="GP57" s="330"/>
      <c r="GQ57" s="330"/>
      <c r="GR57" s="330"/>
      <c r="GS57" s="330"/>
      <c r="GT57" s="330"/>
      <c r="GU57" s="330"/>
      <c r="GV57" s="330"/>
      <c r="GW57" s="330"/>
      <c r="GX57" s="330"/>
      <c r="GY57" s="330"/>
      <c r="GZ57" s="330"/>
      <c r="HA57" s="330"/>
      <c r="HB57" s="330"/>
      <c r="HC57" s="330"/>
      <c r="HD57" s="330"/>
      <c r="HE57" s="330"/>
      <c r="HF57" s="330"/>
      <c r="HG57" s="330"/>
      <c r="HH57" s="1808"/>
      <c r="HI57" s="1808"/>
      <c r="HJ57" s="2156" t="s">
        <v>811</v>
      </c>
      <c r="HK57" s="2157"/>
      <c r="HL57" s="2157"/>
      <c r="HM57" s="2157"/>
      <c r="HN57" s="2157"/>
      <c r="HO57" s="2157"/>
      <c r="HP57" s="2157"/>
      <c r="HQ57" s="2157"/>
      <c r="HR57" s="2157"/>
      <c r="HS57" s="2157"/>
      <c r="HT57" s="2157"/>
      <c r="HU57" s="2157"/>
      <c r="HV57" s="2157"/>
      <c r="HW57" s="2157"/>
      <c r="HX57" s="2157"/>
      <c r="HY57" s="2157"/>
      <c r="HZ57" s="2157"/>
      <c r="IA57" s="2158"/>
      <c r="IB57" s="330"/>
      <c r="IC57" s="330"/>
      <c r="ID57" s="330"/>
      <c r="IE57" s="330"/>
      <c r="IF57" s="330"/>
      <c r="IG57" s="330"/>
      <c r="IH57" s="330"/>
      <c r="II57" s="330"/>
      <c r="IJ57" s="330"/>
      <c r="IK57" s="330"/>
      <c r="IL57" s="330"/>
      <c r="IM57" s="330"/>
      <c r="IN57" s="330"/>
      <c r="IO57" s="330"/>
      <c r="IP57" s="330"/>
      <c r="IQ57" s="330"/>
      <c r="IR57" s="330"/>
      <c r="IS57" s="330"/>
      <c r="IT57" s="330"/>
      <c r="IU57" s="330"/>
      <c r="IV57" s="330"/>
      <c r="IW57" s="330"/>
      <c r="IX57" s="330"/>
      <c r="IY57" s="330"/>
      <c r="IZ57" s="330"/>
      <c r="JA57" s="330"/>
      <c r="JB57" s="330"/>
      <c r="JC57" s="330"/>
      <c r="JD57" s="330"/>
      <c r="JE57" s="330"/>
      <c r="JF57" s="330"/>
      <c r="JG57" s="330"/>
      <c r="JH57" s="330"/>
      <c r="JI57" s="330"/>
      <c r="JJ57" s="330"/>
      <c r="JK57" s="330"/>
      <c r="JL57" s="330"/>
      <c r="JM57" s="1808"/>
      <c r="JN57" s="1808"/>
      <c r="JO57" s="2156" t="s">
        <v>811</v>
      </c>
      <c r="JP57" s="2157"/>
      <c r="JQ57" s="2157"/>
      <c r="JR57" s="2157"/>
      <c r="JS57" s="2157"/>
      <c r="JT57" s="2157"/>
      <c r="JU57" s="2157"/>
      <c r="JV57" s="2157"/>
      <c r="JW57" s="2157"/>
      <c r="JX57" s="2157"/>
      <c r="JY57" s="2157"/>
      <c r="JZ57" s="2157"/>
      <c r="KA57" s="2157"/>
      <c r="KB57" s="2157"/>
      <c r="KC57" s="2157"/>
      <c r="KD57" s="2157"/>
      <c r="KE57" s="2157"/>
      <c r="KF57" s="2157"/>
      <c r="KG57" s="2157"/>
      <c r="KH57" s="2157"/>
      <c r="KI57" s="2157"/>
      <c r="KJ57" s="2157"/>
      <c r="KK57" s="2157"/>
      <c r="KL57" s="2158"/>
      <c r="KM57" s="330"/>
      <c r="KN57" s="330"/>
      <c r="KO57" s="330"/>
      <c r="KP57" s="330"/>
      <c r="KW57" s="330"/>
      <c r="KX57" s="330"/>
      <c r="KY57" s="330"/>
      <c r="KZ57" s="330"/>
      <c r="LA57" s="330"/>
      <c r="LB57" s="330"/>
      <c r="LC57" s="330"/>
      <c r="LD57" s="330"/>
      <c r="LE57" s="330"/>
      <c r="LF57" s="330"/>
      <c r="LG57" s="330"/>
      <c r="LH57" s="330"/>
      <c r="LI57" s="330"/>
      <c r="LJ57" s="330"/>
      <c r="LK57" s="330"/>
      <c r="LL57" s="330"/>
      <c r="LM57" s="330"/>
      <c r="LN57" s="330"/>
      <c r="LO57" s="330"/>
      <c r="LP57" s="330"/>
      <c r="LQ57" s="330"/>
      <c r="LR57" s="330"/>
      <c r="LS57" s="330"/>
      <c r="LT57" s="330"/>
      <c r="LU57" s="330"/>
      <c r="LV57" s="330"/>
      <c r="LW57" s="330"/>
      <c r="LX57" s="330"/>
      <c r="LY57" s="330"/>
      <c r="LZ57" s="330"/>
      <c r="MA57" s="330"/>
      <c r="MB57" s="330"/>
      <c r="MC57" s="330"/>
      <c r="MD57" s="330"/>
      <c r="ME57" s="330"/>
      <c r="MF57" s="330"/>
      <c r="MG57" s="330"/>
      <c r="MH57" s="330"/>
      <c r="MI57" s="330"/>
      <c r="MJ57" s="330"/>
      <c r="MK57" s="330"/>
      <c r="ML57" s="330"/>
      <c r="MM57" s="330"/>
      <c r="MN57" s="330"/>
      <c r="MO57" s="330"/>
      <c r="MP57" s="330"/>
      <c r="MQ57" s="330"/>
      <c r="MR57" s="330"/>
      <c r="MS57" s="330"/>
      <c r="MT57" s="330"/>
      <c r="MU57" s="330"/>
      <c r="MV57" s="330"/>
      <c r="MW57" s="330"/>
      <c r="MX57" s="330"/>
      <c r="MY57" s="330"/>
      <c r="MZ57" s="330"/>
      <c r="NA57" s="330"/>
      <c r="NB57" s="330"/>
      <c r="NC57" s="330"/>
      <c r="ND57" s="330"/>
      <c r="NE57" s="330"/>
      <c r="NF57" s="330"/>
      <c r="NG57" s="330"/>
      <c r="NH57" s="330"/>
      <c r="NI57" s="330"/>
      <c r="NJ57" s="330"/>
      <c r="NK57" s="330"/>
      <c r="NL57" s="330"/>
      <c r="NM57" s="330"/>
      <c r="NN57" s="330"/>
      <c r="NO57" s="330"/>
      <c r="NP57" s="330"/>
      <c r="NQ57" s="330"/>
      <c r="NR57" s="330"/>
      <c r="NS57" s="330"/>
      <c r="NT57" s="330"/>
      <c r="NU57" s="330"/>
      <c r="NV57" s="330"/>
      <c r="NW57" s="330"/>
      <c r="NX57" s="330"/>
      <c r="NY57" s="330"/>
      <c r="NZ57" s="330"/>
      <c r="OA57" s="330"/>
      <c r="OB57" s="330"/>
      <c r="OC57" s="330"/>
      <c r="OD57" s="330"/>
      <c r="OE57" s="330"/>
      <c r="OF57" s="330"/>
      <c r="OG57" s="330"/>
      <c r="OH57" s="330"/>
      <c r="OI57" s="330"/>
      <c r="OJ57" s="330"/>
      <c r="OK57" s="330"/>
      <c r="OL57" s="330"/>
      <c r="OM57" s="330"/>
      <c r="ON57" s="330"/>
      <c r="OO57" s="330"/>
      <c r="OP57" s="330"/>
      <c r="OQ57" s="330"/>
    </row>
    <row r="58" spans="1:429" s="74" customFormat="1" ht="27.6" customHeight="1" thickBot="1">
      <c r="D58" s="134"/>
      <c r="E58" s="1697" t="s">
        <v>873</v>
      </c>
      <c r="F58" s="1674"/>
      <c r="G58" s="1674"/>
      <c r="H58" s="1674"/>
      <c r="I58" s="1674"/>
      <c r="J58" s="1674"/>
      <c r="K58" s="1674"/>
      <c r="L58" s="1674"/>
      <c r="M58" s="1674"/>
      <c r="N58" s="1674"/>
      <c r="O58" s="1674"/>
      <c r="P58" s="1674"/>
      <c r="Q58" s="1674"/>
      <c r="R58" s="1674"/>
      <c r="S58" s="1674"/>
      <c r="T58" s="1674"/>
      <c r="U58" s="1674"/>
      <c r="V58" s="1674"/>
      <c r="W58" s="1674"/>
      <c r="X58" s="1674"/>
      <c r="Y58" s="1674"/>
      <c r="Z58" s="1634"/>
      <c r="AK58" s="1633"/>
      <c r="AL58" s="330"/>
      <c r="AM58" s="330"/>
      <c r="AN58" s="330"/>
      <c r="AO58" s="330"/>
      <c r="AP58" s="330"/>
      <c r="AQ58" s="330"/>
      <c r="AR58" s="330"/>
      <c r="AS58" s="330"/>
      <c r="AT58" s="330"/>
      <c r="AU58" s="330"/>
      <c r="AV58" s="330"/>
      <c r="AW58" s="330"/>
      <c r="AX58" s="330"/>
      <c r="AY58" s="330"/>
      <c r="AZ58" s="330"/>
      <c r="BA58" s="330"/>
      <c r="BB58" s="330"/>
      <c r="BC58" s="330"/>
      <c r="BD58" s="330"/>
      <c r="BE58" s="330"/>
      <c r="BF58" s="330"/>
      <c r="BG58" s="330"/>
      <c r="BH58" s="330"/>
      <c r="BI58" s="330"/>
      <c r="BJ58" s="330"/>
      <c r="BK58" s="330"/>
      <c r="BL58" s="330"/>
      <c r="BM58" s="330"/>
      <c r="BN58" s="330"/>
      <c r="BO58" s="330"/>
      <c r="BP58" s="330"/>
      <c r="BQ58" s="330"/>
      <c r="BR58" s="330"/>
      <c r="BS58" s="330"/>
      <c r="BT58" s="330"/>
      <c r="BU58" s="330"/>
      <c r="BV58" s="330"/>
      <c r="BW58" s="330"/>
      <c r="BX58" s="330"/>
      <c r="BY58" s="330"/>
      <c r="BZ58" s="330"/>
      <c r="CA58" s="330"/>
      <c r="CB58" s="330"/>
      <c r="CC58" s="330"/>
      <c r="CD58" s="330"/>
      <c r="CE58" s="330"/>
      <c r="CF58" s="330"/>
      <c r="CG58" s="330"/>
      <c r="CH58" s="330"/>
      <c r="CI58" s="330"/>
      <c r="CJ58" s="330"/>
      <c r="CK58" s="330"/>
      <c r="CL58" s="330"/>
      <c r="CM58" s="330"/>
      <c r="CN58" s="330"/>
      <c r="CO58" s="330"/>
      <c r="CP58" s="330"/>
      <c r="CQ58" s="330"/>
      <c r="CR58" s="330"/>
      <c r="CS58" s="330"/>
      <c r="CT58" s="330"/>
      <c r="CU58" s="330"/>
      <c r="CV58" s="330"/>
      <c r="CW58" s="330"/>
      <c r="CX58" s="330"/>
      <c r="CY58" s="330"/>
      <c r="CZ58" s="330"/>
      <c r="DA58" s="330"/>
      <c r="DB58" s="330"/>
      <c r="DC58" s="330"/>
      <c r="DD58" s="330"/>
      <c r="DE58" s="330"/>
      <c r="DF58" s="330"/>
      <c r="DG58" s="330"/>
      <c r="DH58" s="330"/>
      <c r="DI58" s="330"/>
      <c r="DJ58" s="330"/>
      <c r="DK58" s="330"/>
      <c r="DL58" s="330"/>
      <c r="DM58" s="330"/>
      <c r="DN58" s="330"/>
      <c r="DO58" s="330"/>
      <c r="DP58" s="330"/>
      <c r="DQ58" s="330"/>
      <c r="DR58" s="330"/>
      <c r="DS58" s="330"/>
      <c r="DT58" s="330"/>
      <c r="DU58" s="330"/>
      <c r="DV58" s="330"/>
      <c r="DW58" s="330"/>
      <c r="DX58" s="330"/>
      <c r="DY58" s="330"/>
      <c r="DZ58" s="330"/>
      <c r="EA58" s="330"/>
      <c r="EB58" s="330"/>
      <c r="EC58" s="330"/>
      <c r="ED58" s="330"/>
      <c r="EE58" s="330"/>
      <c r="EF58" s="330"/>
      <c r="EG58" s="330"/>
      <c r="EH58" s="330"/>
      <c r="EI58" s="330"/>
      <c r="EJ58" s="330"/>
      <c r="EK58" s="1608"/>
      <c r="EL58" s="1608"/>
      <c r="EM58" s="1608"/>
      <c r="EN58" s="1608"/>
      <c r="EO58" s="1608">
        <v>1200</v>
      </c>
      <c r="EP58" s="1608">
        <v>1200</v>
      </c>
      <c r="EQ58" s="1608">
        <v>1200</v>
      </c>
      <c r="ER58" s="1608">
        <v>1200</v>
      </c>
      <c r="ES58" s="1608">
        <v>1200</v>
      </c>
      <c r="ET58" s="1608">
        <v>1200</v>
      </c>
      <c r="EU58" s="1608">
        <v>1200</v>
      </c>
      <c r="EV58" s="1608">
        <v>1200</v>
      </c>
      <c r="EW58" s="1608">
        <v>1200</v>
      </c>
      <c r="EX58" s="1608">
        <v>1200</v>
      </c>
      <c r="EY58" s="1608">
        <v>1200</v>
      </c>
      <c r="EZ58" s="1608">
        <v>1200</v>
      </c>
      <c r="FA58" s="330"/>
      <c r="FB58" s="330"/>
      <c r="FC58" s="330"/>
      <c r="FD58" s="330"/>
      <c r="FE58" s="330"/>
      <c r="FF58" s="330"/>
      <c r="FG58" s="330"/>
      <c r="FH58" s="330"/>
      <c r="FI58" s="330"/>
      <c r="FJ58" s="330"/>
      <c r="FK58" s="330"/>
      <c r="FL58" s="330"/>
      <c r="FM58" s="330"/>
      <c r="FN58" s="330"/>
      <c r="FO58" s="330"/>
      <c r="FP58" s="330"/>
      <c r="FQ58" s="330"/>
      <c r="FR58" s="330"/>
      <c r="FS58" s="330"/>
      <c r="FT58" s="330"/>
      <c r="FU58" s="330"/>
      <c r="FV58" s="330"/>
      <c r="FW58" s="330"/>
      <c r="FX58" s="330"/>
      <c r="FY58" s="330"/>
      <c r="FZ58" s="330"/>
      <c r="GA58" s="330"/>
      <c r="GB58" s="330"/>
      <c r="GC58" s="330"/>
      <c r="GD58" s="330"/>
      <c r="GE58" s="330"/>
      <c r="GF58" s="330"/>
      <c r="GG58" s="330"/>
      <c r="GH58" s="330"/>
      <c r="GI58" s="330"/>
      <c r="GJ58" s="330"/>
      <c r="GK58" s="330"/>
      <c r="GL58" s="330"/>
      <c r="GM58" s="330"/>
      <c r="GN58" s="330"/>
      <c r="GO58" s="330"/>
      <c r="GP58" s="330"/>
      <c r="GQ58" s="330"/>
      <c r="GR58" s="330"/>
      <c r="GS58" s="330"/>
      <c r="GT58" s="330"/>
      <c r="GU58" s="330"/>
      <c r="GV58" s="330"/>
      <c r="GW58" s="330"/>
      <c r="GX58" s="330"/>
      <c r="GY58" s="330"/>
      <c r="GZ58" s="330"/>
      <c r="HA58" s="330"/>
      <c r="HB58" s="330"/>
      <c r="HC58" s="330"/>
      <c r="HD58" s="1608"/>
      <c r="HE58" s="1608"/>
      <c r="HF58" s="1608"/>
      <c r="HG58" s="1608"/>
      <c r="HH58" s="1608">
        <v>1200</v>
      </c>
      <c r="HI58" s="1608">
        <v>1200</v>
      </c>
      <c r="HJ58" s="1608">
        <v>1200</v>
      </c>
      <c r="HK58" s="1608">
        <v>1200</v>
      </c>
      <c r="HL58" s="1608">
        <v>1200</v>
      </c>
      <c r="HM58" s="1608">
        <v>1200</v>
      </c>
      <c r="HN58" s="1608">
        <v>1200</v>
      </c>
      <c r="HO58" s="1608">
        <v>1200</v>
      </c>
      <c r="HP58" s="1608">
        <v>1200</v>
      </c>
      <c r="HQ58" s="1608">
        <v>1200</v>
      </c>
      <c r="HR58" s="1608">
        <v>1200</v>
      </c>
      <c r="HS58" s="1608">
        <v>1200</v>
      </c>
      <c r="HT58" s="330"/>
      <c r="HU58" s="330"/>
      <c r="HV58" s="330"/>
      <c r="HW58" s="330"/>
      <c r="HX58" s="330"/>
      <c r="HY58" s="330"/>
      <c r="HZ58" s="330"/>
      <c r="IA58" s="330"/>
      <c r="IB58" s="330"/>
      <c r="IC58" s="330"/>
      <c r="ID58" s="330"/>
      <c r="IE58" s="330"/>
      <c r="IF58" s="330"/>
      <c r="IG58" s="330"/>
      <c r="IH58" s="330"/>
      <c r="II58" s="330"/>
      <c r="IJ58" s="330"/>
      <c r="IK58" s="330"/>
      <c r="IL58" s="330"/>
      <c r="IM58" s="330"/>
      <c r="IN58" s="330"/>
      <c r="IO58" s="330"/>
      <c r="IP58" s="330"/>
      <c r="IQ58" s="330"/>
      <c r="IR58" s="330"/>
      <c r="IS58" s="330"/>
      <c r="IT58" s="330"/>
      <c r="IU58" s="330"/>
      <c r="IV58" s="330"/>
      <c r="IW58" s="330"/>
      <c r="IX58" s="330"/>
      <c r="IY58" s="330"/>
      <c r="IZ58" s="330"/>
      <c r="JA58" s="330"/>
      <c r="JB58" s="330"/>
      <c r="JC58" s="330"/>
      <c r="JD58" s="330"/>
      <c r="JE58" s="330"/>
      <c r="JF58" s="330"/>
      <c r="JG58" s="330"/>
      <c r="JH58" s="330"/>
      <c r="JI58" s="1608"/>
      <c r="JJ58" s="1608"/>
      <c r="JK58" s="1608"/>
      <c r="JL58" s="1608"/>
      <c r="JM58" s="1608">
        <v>1200</v>
      </c>
      <c r="JN58" s="1608">
        <v>1200</v>
      </c>
      <c r="JO58" s="1608">
        <v>1200</v>
      </c>
      <c r="JP58" s="1608">
        <v>1200</v>
      </c>
      <c r="JQ58" s="1608">
        <v>1200</v>
      </c>
      <c r="JR58" s="1608">
        <v>1200</v>
      </c>
      <c r="JS58" s="1608">
        <v>1200</v>
      </c>
      <c r="JT58" s="1608">
        <v>1200</v>
      </c>
      <c r="JU58" s="1608">
        <v>1200</v>
      </c>
      <c r="JV58" s="1608">
        <v>1200</v>
      </c>
      <c r="JW58" s="1608">
        <v>1200</v>
      </c>
      <c r="JX58" s="1608">
        <v>1200</v>
      </c>
      <c r="JY58" s="330"/>
      <c r="JZ58" s="330"/>
      <c r="KA58" s="330"/>
      <c r="KB58" s="330"/>
      <c r="KC58" s="330"/>
      <c r="KD58" s="330"/>
      <c r="KE58" s="330"/>
      <c r="KF58" s="330"/>
      <c r="KG58" s="330"/>
      <c r="KH58" s="330"/>
      <c r="KI58" s="330"/>
      <c r="KJ58" s="330"/>
      <c r="KK58" s="330"/>
      <c r="KL58" s="330"/>
      <c r="KM58" s="330"/>
      <c r="KN58" s="330"/>
      <c r="KO58" s="330"/>
      <c r="KP58" s="330"/>
      <c r="KQ58" s="330"/>
      <c r="KR58" s="330"/>
      <c r="KS58" s="330"/>
      <c r="KT58" s="330"/>
      <c r="KU58" s="330"/>
      <c r="KV58" s="330"/>
      <c r="KW58" s="330"/>
      <c r="KX58" s="330"/>
      <c r="KY58" s="330"/>
      <c r="KZ58" s="330"/>
      <c r="LA58" s="330"/>
      <c r="LB58" s="330"/>
      <c r="LC58" s="330"/>
      <c r="LD58" s="330"/>
      <c r="LE58" s="330"/>
      <c r="LF58" s="330"/>
      <c r="LG58" s="330"/>
      <c r="LH58" s="330"/>
      <c r="LI58" s="330"/>
      <c r="LJ58" s="330"/>
      <c r="LK58" s="330"/>
      <c r="LL58" s="330"/>
      <c r="LM58" s="330"/>
      <c r="LN58" s="330"/>
      <c r="LO58" s="330"/>
      <c r="LP58" s="330"/>
      <c r="LQ58" s="330"/>
      <c r="LR58" s="330"/>
      <c r="LS58" s="330"/>
      <c r="LT58" s="330"/>
      <c r="LU58" s="330"/>
      <c r="LV58" s="330"/>
      <c r="LW58" s="330"/>
      <c r="LX58" s="330"/>
      <c r="LY58" s="330"/>
      <c r="LZ58" s="330"/>
      <c r="MA58" s="330"/>
      <c r="MB58" s="330"/>
      <c r="MC58" s="330"/>
      <c r="MD58" s="330"/>
      <c r="ME58" s="330"/>
      <c r="MF58" s="330"/>
      <c r="MG58" s="330"/>
      <c r="MH58" s="330"/>
      <c r="MI58" s="330"/>
      <c r="MJ58" s="330"/>
      <c r="MK58" s="330"/>
      <c r="ML58" s="330"/>
      <c r="MM58" s="330"/>
      <c r="MN58" s="330"/>
      <c r="MO58" s="330"/>
      <c r="MP58" s="330"/>
      <c r="MQ58" s="330"/>
      <c r="MR58" s="330"/>
      <c r="MS58" s="330"/>
      <c r="MT58" s="330"/>
      <c r="MU58" s="330"/>
      <c r="MV58" s="330"/>
      <c r="MW58" s="330"/>
      <c r="MX58" s="330"/>
      <c r="MY58" s="330"/>
      <c r="MZ58" s="330"/>
      <c r="NA58" s="330"/>
      <c r="NB58" s="330"/>
      <c r="NC58" s="330"/>
      <c r="ND58" s="330"/>
      <c r="NE58" s="330"/>
      <c r="NF58" s="330"/>
      <c r="NG58" s="330"/>
      <c r="NH58" s="330"/>
      <c r="NI58" s="330"/>
      <c r="NJ58" s="330"/>
      <c r="NK58" s="330"/>
      <c r="NL58" s="330"/>
      <c r="NM58" s="330"/>
      <c r="NN58" s="330"/>
      <c r="NO58" s="330"/>
      <c r="NP58" s="330"/>
      <c r="NQ58" s="330"/>
      <c r="NR58" s="330"/>
      <c r="NS58" s="330"/>
      <c r="NT58" s="330"/>
      <c r="NU58" s="330"/>
      <c r="NV58" s="330"/>
      <c r="NW58" s="330"/>
      <c r="NX58" s="330"/>
      <c r="NY58" s="330"/>
      <c r="NZ58" s="330"/>
      <c r="OA58" s="330"/>
      <c r="OB58" s="330"/>
      <c r="OC58" s="330"/>
      <c r="OD58" s="330"/>
      <c r="OE58" s="330"/>
      <c r="OF58" s="330"/>
      <c r="OG58" s="330"/>
      <c r="OH58" s="330"/>
      <c r="OI58" s="330"/>
      <c r="OJ58" s="330"/>
      <c r="OK58" s="330"/>
      <c r="OL58" s="330"/>
      <c r="OM58" s="330"/>
      <c r="ON58" s="330"/>
      <c r="OO58" s="330"/>
      <c r="OP58" s="330"/>
      <c r="OQ58" s="330"/>
    </row>
    <row r="59" spans="1:429" s="74" customFormat="1" ht="27.6" customHeight="1" thickBot="1">
      <c r="D59" s="134"/>
      <c r="E59" s="1697"/>
      <c r="F59" s="1674"/>
      <c r="G59" s="1674"/>
      <c r="H59" s="1674"/>
      <c r="I59" s="1674"/>
      <c r="J59" s="1674"/>
      <c r="K59" s="1674"/>
      <c r="L59" s="1674"/>
      <c r="M59" s="1674"/>
      <c r="N59" s="1674"/>
      <c r="O59" s="1674"/>
      <c r="P59" s="1674"/>
      <c r="Q59" s="1674"/>
      <c r="R59" s="1674"/>
      <c r="S59" s="1674"/>
      <c r="T59" s="1674"/>
      <c r="U59" s="1674"/>
      <c r="V59" s="1674"/>
      <c r="W59" s="1674"/>
      <c r="X59" s="1674"/>
      <c r="Y59" s="1674"/>
      <c r="Z59" s="1634"/>
      <c r="AK59" s="1633"/>
      <c r="AL59" s="330"/>
      <c r="AM59" s="330"/>
      <c r="AN59" s="330"/>
      <c r="AO59" s="330"/>
      <c r="AP59" s="330"/>
      <c r="AQ59" s="330"/>
      <c r="AR59" s="330"/>
      <c r="AS59" s="330"/>
      <c r="AT59" s="330"/>
      <c r="AU59" s="330"/>
      <c r="AV59" s="330"/>
      <c r="AW59" s="330"/>
      <c r="AX59" s="330"/>
      <c r="AY59" s="330"/>
      <c r="AZ59" s="330"/>
      <c r="BA59" s="330"/>
      <c r="BB59" s="330"/>
      <c r="BC59" s="330"/>
      <c r="BD59" s="330"/>
      <c r="BE59" s="330"/>
      <c r="BF59" s="330"/>
      <c r="BG59" s="330"/>
      <c r="BH59" s="330"/>
      <c r="BI59" s="330"/>
      <c r="BJ59" s="330"/>
      <c r="BK59" s="330"/>
      <c r="BL59" s="330"/>
      <c r="BM59" s="330"/>
      <c r="BN59" s="330"/>
      <c r="BO59" s="330"/>
      <c r="BP59" s="330"/>
      <c r="BQ59" s="330"/>
      <c r="BR59" s="330"/>
      <c r="BS59" s="330"/>
      <c r="BT59" s="330"/>
      <c r="BU59" s="330"/>
      <c r="BV59" s="330"/>
      <c r="BW59" s="330"/>
      <c r="BX59" s="330"/>
      <c r="BY59" s="330"/>
      <c r="BZ59" s="330"/>
      <c r="CA59" s="330"/>
      <c r="CB59" s="330"/>
      <c r="CC59" s="330"/>
      <c r="CD59" s="330"/>
      <c r="CE59" s="330"/>
      <c r="CF59" s="330"/>
      <c r="CG59" s="330"/>
      <c r="CH59" s="330"/>
      <c r="CI59" s="330"/>
      <c r="CJ59" s="330"/>
      <c r="CK59" s="330"/>
      <c r="CL59" s="330"/>
      <c r="CM59" s="330"/>
      <c r="CN59" s="330"/>
      <c r="CO59" s="330"/>
      <c r="CP59" s="330"/>
      <c r="CQ59" s="330"/>
      <c r="CR59" s="330"/>
      <c r="CS59" s="330"/>
      <c r="CT59" s="330"/>
      <c r="CU59" s="330"/>
      <c r="CV59" s="330"/>
      <c r="CW59" s="330"/>
      <c r="CX59" s="330"/>
      <c r="CY59" s="330"/>
      <c r="CZ59" s="330"/>
      <c r="DA59" s="330"/>
      <c r="DB59" s="330"/>
      <c r="DC59" s="330"/>
      <c r="DD59" s="330"/>
      <c r="DE59" s="330"/>
      <c r="DF59" s="330"/>
      <c r="DG59" s="330"/>
      <c r="DH59" s="330"/>
      <c r="DI59" s="330"/>
      <c r="DJ59" s="330"/>
      <c r="DK59" s="330"/>
      <c r="DL59" s="330"/>
      <c r="DM59" s="330"/>
      <c r="DN59" s="330"/>
      <c r="DO59" s="330"/>
      <c r="DP59" s="330"/>
      <c r="DQ59" s="330"/>
      <c r="DR59" s="330"/>
      <c r="DS59" s="330"/>
      <c r="DT59" s="330"/>
      <c r="DU59" s="330"/>
      <c r="DV59" s="330"/>
      <c r="DW59" s="330"/>
      <c r="DX59" s="330"/>
      <c r="DY59" s="330"/>
      <c r="DZ59" s="330"/>
      <c r="EA59" s="330"/>
      <c r="EB59" s="330"/>
      <c r="EC59" s="330"/>
      <c r="ED59" s="330"/>
      <c r="EE59" s="330"/>
      <c r="EF59" s="330"/>
      <c r="EG59" s="330"/>
      <c r="EH59" s="330"/>
      <c r="EI59" s="330"/>
      <c r="EJ59" s="330"/>
      <c r="EK59" s="330"/>
      <c r="EL59" s="330"/>
      <c r="EM59" s="330"/>
      <c r="EN59" s="330"/>
      <c r="EO59" s="330"/>
      <c r="EP59" s="330"/>
      <c r="EQ59" s="330"/>
      <c r="ER59" s="330"/>
      <c r="ES59" s="330"/>
      <c r="ET59" s="330"/>
      <c r="EU59" s="330"/>
      <c r="EV59" s="330"/>
      <c r="EW59" s="2141" t="s">
        <v>1014</v>
      </c>
      <c r="EX59" s="2142"/>
      <c r="EY59" s="2142"/>
      <c r="EZ59" s="2143"/>
      <c r="FA59" s="2144" t="s">
        <v>1013</v>
      </c>
      <c r="FB59" s="2145"/>
      <c r="FC59" s="2145"/>
      <c r="FD59" s="2145"/>
      <c r="FE59" s="2145"/>
      <c r="FF59" s="2145"/>
      <c r="FG59" s="2145"/>
      <c r="FH59" s="2145"/>
      <c r="FI59" s="2145"/>
      <c r="FJ59" s="2145"/>
      <c r="FK59" s="2145"/>
      <c r="FL59" s="2145"/>
      <c r="FM59" s="2145"/>
      <c r="FN59" s="2145"/>
      <c r="FO59" s="2145"/>
      <c r="FP59" s="2145"/>
      <c r="FQ59" s="2145"/>
      <c r="FR59" s="2145"/>
      <c r="FS59" s="2145"/>
      <c r="FT59" s="2145"/>
      <c r="FU59" s="2145"/>
      <c r="FV59" s="2145"/>
      <c r="FW59" s="2145"/>
      <c r="FX59" s="2145"/>
      <c r="FY59" s="2145"/>
      <c r="FZ59" s="2145"/>
      <c r="GA59" s="2145"/>
      <c r="GB59" s="2145"/>
      <c r="GC59" s="2145"/>
      <c r="GD59" s="2145"/>
      <c r="GE59" s="2145"/>
      <c r="GF59" s="2145"/>
      <c r="GG59" s="2145"/>
      <c r="GH59" s="2145"/>
      <c r="GI59" s="2145"/>
      <c r="GJ59" s="2146"/>
      <c r="GK59" s="330"/>
      <c r="GL59" s="330"/>
      <c r="GM59" s="330"/>
      <c r="GN59" s="330"/>
      <c r="GO59" s="330"/>
      <c r="GP59" s="330"/>
      <c r="GQ59" s="330"/>
      <c r="GR59" s="330"/>
      <c r="GS59" s="330"/>
      <c r="GT59" s="330"/>
      <c r="GU59" s="330"/>
      <c r="GV59" s="330"/>
      <c r="GW59" s="330"/>
      <c r="GX59" s="330"/>
      <c r="GY59" s="330"/>
      <c r="GZ59" s="330"/>
      <c r="HA59" s="330"/>
      <c r="HB59" s="330"/>
      <c r="HC59" s="330"/>
      <c r="HD59" s="330"/>
      <c r="HE59" s="330"/>
      <c r="HF59" s="330"/>
      <c r="HG59" s="330"/>
      <c r="HH59" s="330"/>
      <c r="HI59" s="330"/>
      <c r="HJ59" s="330"/>
      <c r="HK59" s="330"/>
      <c r="HL59" s="330"/>
      <c r="HM59" s="330"/>
      <c r="HN59" s="330"/>
      <c r="HO59" s="2141" t="s">
        <v>1027</v>
      </c>
      <c r="HP59" s="2142"/>
      <c r="HQ59" s="2142"/>
      <c r="HR59" s="2143"/>
      <c r="HS59" s="2182" t="s">
        <v>1022</v>
      </c>
      <c r="HT59" s="2183"/>
      <c r="HU59" s="2183"/>
      <c r="HV59" s="2183"/>
      <c r="HW59" s="2183"/>
      <c r="HX59" s="2183"/>
      <c r="HY59" s="2183"/>
      <c r="HZ59" s="2183"/>
      <c r="IA59" s="2183"/>
      <c r="IB59" s="2183"/>
      <c r="IC59" s="2183"/>
      <c r="ID59" s="2183"/>
      <c r="IE59" s="2183"/>
      <c r="IF59" s="2183"/>
      <c r="IG59" s="2183"/>
      <c r="IH59" s="2183"/>
      <c r="II59" s="2183"/>
      <c r="IJ59" s="2183"/>
      <c r="IK59" s="2183"/>
      <c r="IL59" s="2183"/>
      <c r="IM59" s="2183"/>
      <c r="IN59" s="2183"/>
      <c r="IO59" s="2183"/>
      <c r="IP59" s="2183"/>
      <c r="IQ59" s="2183"/>
      <c r="IR59" s="2183"/>
      <c r="IS59" s="2183"/>
      <c r="IT59" s="2183"/>
      <c r="IU59" s="2183"/>
      <c r="IV59" s="2184"/>
      <c r="IW59" s="330"/>
      <c r="IX59" s="330"/>
      <c r="IY59" s="330"/>
      <c r="IZ59" s="330"/>
      <c r="JA59" s="330"/>
      <c r="JB59" s="330"/>
      <c r="JC59" s="330"/>
      <c r="JD59" s="330"/>
      <c r="JE59" s="330"/>
      <c r="JF59" s="330"/>
      <c r="JG59" s="330"/>
      <c r="JH59" s="330"/>
      <c r="JI59" s="330"/>
      <c r="JJ59" s="330"/>
      <c r="JK59" s="330"/>
      <c r="JL59" s="330"/>
      <c r="JM59" s="330"/>
      <c r="JN59" s="330"/>
      <c r="JO59" s="330"/>
      <c r="JP59" s="330"/>
      <c r="JQ59" s="330"/>
      <c r="JR59" s="330"/>
      <c r="JS59" s="330"/>
      <c r="JT59" s="330"/>
      <c r="JU59" s="2141" t="s">
        <v>1040</v>
      </c>
      <c r="JV59" s="2142"/>
      <c r="JW59" s="2142"/>
      <c r="JX59" s="2143"/>
      <c r="JY59" s="2144" t="s">
        <v>1037</v>
      </c>
      <c r="JZ59" s="2145"/>
      <c r="KA59" s="2145"/>
      <c r="KB59" s="2145"/>
      <c r="KC59" s="2145"/>
      <c r="KD59" s="2145"/>
      <c r="KE59" s="2145"/>
      <c r="KF59" s="2145"/>
      <c r="KG59" s="2145"/>
      <c r="KH59" s="2145"/>
      <c r="KI59" s="2145"/>
      <c r="KJ59" s="2145"/>
      <c r="KK59" s="2145"/>
      <c r="KL59" s="2145"/>
      <c r="KM59" s="2145"/>
      <c r="KN59" s="2145"/>
      <c r="KO59" s="2145"/>
      <c r="KP59" s="2145"/>
      <c r="KQ59" s="2145"/>
      <c r="KR59" s="2145"/>
      <c r="KS59" s="2145"/>
      <c r="KT59" s="2145"/>
      <c r="KU59" s="2145"/>
      <c r="KV59" s="2145"/>
      <c r="KW59" s="2145"/>
      <c r="KX59" s="2145"/>
      <c r="KY59" s="2145"/>
      <c r="KZ59" s="2145"/>
      <c r="LA59" s="2145"/>
      <c r="LB59" s="2145"/>
      <c r="LC59" s="2145"/>
      <c r="LD59" s="2145"/>
      <c r="LE59" s="2145"/>
      <c r="LF59" s="2145"/>
      <c r="LG59" s="2145"/>
      <c r="LH59" s="2146"/>
      <c r="LI59" s="330"/>
      <c r="LJ59" s="330"/>
      <c r="LK59" s="330"/>
      <c r="LL59" s="330"/>
      <c r="LM59" s="330"/>
      <c r="LN59" s="330"/>
      <c r="LO59" s="330"/>
      <c r="LP59" s="330"/>
      <c r="LQ59" s="330"/>
      <c r="LR59" s="330"/>
      <c r="LS59" s="330"/>
      <c r="LT59" s="330"/>
      <c r="LU59" s="330"/>
      <c r="LV59" s="330"/>
      <c r="LW59" s="330"/>
      <c r="LX59" s="330"/>
      <c r="LY59" s="330"/>
      <c r="LZ59" s="330"/>
      <c r="MA59" s="330"/>
      <c r="MB59" s="330"/>
      <c r="MC59" s="330"/>
      <c r="MD59" s="330"/>
      <c r="ME59" s="330"/>
      <c r="MF59" s="330"/>
      <c r="MG59" s="330"/>
      <c r="MH59" s="330"/>
      <c r="MI59" s="330"/>
      <c r="MJ59" s="330"/>
      <c r="MK59" s="330"/>
      <c r="ML59" s="330"/>
      <c r="MM59" s="330"/>
      <c r="MN59" s="330"/>
      <c r="MO59" s="330"/>
      <c r="MP59" s="330"/>
      <c r="MQ59" s="330"/>
      <c r="MR59" s="330"/>
      <c r="MS59" s="330"/>
      <c r="MT59" s="330"/>
      <c r="MU59" s="330"/>
      <c r="MV59" s="330"/>
      <c r="MW59" s="330"/>
      <c r="MX59" s="330"/>
      <c r="MY59" s="330"/>
      <c r="MZ59" s="330"/>
      <c r="NA59" s="330"/>
      <c r="NB59" s="330"/>
      <c r="NC59" s="330"/>
      <c r="ND59" s="330"/>
      <c r="NE59" s="330"/>
      <c r="NF59" s="330"/>
      <c r="NG59" s="330"/>
      <c r="NH59" s="330"/>
      <c r="NI59" s="330"/>
      <c r="NJ59" s="330"/>
      <c r="NK59" s="330"/>
      <c r="NL59" s="330"/>
      <c r="NM59" s="330"/>
      <c r="NN59" s="330"/>
      <c r="NO59" s="330"/>
      <c r="NP59" s="330"/>
      <c r="NQ59" s="330"/>
      <c r="NR59" s="330"/>
      <c r="NS59" s="330"/>
      <c r="NT59" s="330"/>
      <c r="NU59" s="330"/>
      <c r="NV59" s="330"/>
      <c r="NW59" s="330"/>
      <c r="NX59" s="330"/>
      <c r="NY59" s="330"/>
      <c r="NZ59" s="330"/>
      <c r="OA59" s="330"/>
      <c r="OB59" s="330"/>
      <c r="OC59" s="330"/>
      <c r="OD59" s="330"/>
      <c r="OE59" s="330"/>
      <c r="OF59" s="330"/>
      <c r="OG59" s="330"/>
      <c r="OH59" s="330"/>
      <c r="OI59" s="330"/>
      <c r="OJ59" s="330"/>
      <c r="OK59" s="330"/>
      <c r="OL59" s="330"/>
      <c r="OM59" s="330"/>
      <c r="ON59" s="330"/>
      <c r="OO59" s="330"/>
      <c r="OP59" s="330"/>
    </row>
    <row r="60" spans="1:429" s="74" customFormat="1" ht="27.6" customHeight="1" thickBot="1">
      <c r="D60" s="134"/>
      <c r="E60" s="1694"/>
      <c r="F60" s="1674"/>
      <c r="G60" s="1674"/>
      <c r="H60" s="1674"/>
      <c r="I60" s="1674"/>
      <c r="J60" s="1674"/>
      <c r="K60" s="1674"/>
      <c r="L60" s="1674"/>
      <c r="M60" s="1674"/>
      <c r="N60" s="1674"/>
      <c r="O60" s="1674"/>
      <c r="P60" s="1674"/>
      <c r="Q60" s="1674"/>
      <c r="R60" s="1674"/>
      <c r="S60" s="1674"/>
      <c r="T60" s="1674"/>
      <c r="U60" s="1674"/>
      <c r="V60" s="1674"/>
      <c r="W60" s="1674"/>
      <c r="X60" s="1674"/>
      <c r="Y60" s="1674"/>
      <c r="Z60" s="1634"/>
      <c r="AK60" s="1633"/>
      <c r="AL60" s="330"/>
      <c r="AM60" s="330"/>
      <c r="AN60" s="330"/>
      <c r="AO60" s="330"/>
      <c r="AP60" s="330"/>
      <c r="AQ60" s="330"/>
      <c r="AR60" s="330"/>
      <c r="AS60" s="330"/>
      <c r="AT60" s="330"/>
      <c r="AU60" s="330"/>
      <c r="AV60" s="330"/>
      <c r="AW60" s="330"/>
      <c r="AX60" s="330"/>
      <c r="AY60" s="330"/>
      <c r="AZ60" s="330"/>
      <c r="BA60" s="330"/>
      <c r="BB60" s="330"/>
      <c r="BC60" s="330"/>
      <c r="BD60" s="330"/>
      <c r="BE60" s="330"/>
      <c r="BF60" s="330"/>
      <c r="BG60" s="330"/>
      <c r="BH60" s="330"/>
      <c r="BI60" s="330"/>
      <c r="BJ60" s="330"/>
      <c r="BK60" s="330"/>
      <c r="BL60" s="330"/>
      <c r="BM60" s="330"/>
      <c r="BN60" s="330"/>
      <c r="BO60" s="330"/>
      <c r="BP60" s="330"/>
      <c r="BQ60" s="330"/>
      <c r="BR60" s="330"/>
      <c r="BS60" s="330"/>
      <c r="BT60" s="330"/>
      <c r="BU60" s="330"/>
      <c r="BV60" s="330"/>
      <c r="BW60" s="330"/>
      <c r="BX60" s="330"/>
      <c r="BY60" s="330"/>
      <c r="BZ60" s="330"/>
      <c r="CA60" s="330"/>
      <c r="CB60" s="330"/>
      <c r="CC60" s="330"/>
      <c r="CD60" s="330"/>
      <c r="CE60" s="330"/>
      <c r="CF60" s="330"/>
      <c r="CG60" s="330"/>
      <c r="CH60" s="330"/>
      <c r="CI60" s="330"/>
      <c r="CJ60" s="330"/>
      <c r="CK60" s="330"/>
      <c r="CL60" s="330"/>
      <c r="CM60" s="330"/>
      <c r="CN60" s="330"/>
      <c r="CO60" s="330"/>
      <c r="CP60" s="330"/>
      <c r="CQ60" s="330"/>
      <c r="CR60" s="330"/>
      <c r="CS60" s="330"/>
      <c r="CT60" s="330"/>
      <c r="CU60" s="330"/>
      <c r="CV60" s="330"/>
      <c r="CW60" s="330"/>
      <c r="CX60" s="330"/>
      <c r="CY60" s="330"/>
      <c r="CZ60" s="330"/>
      <c r="DA60" s="330"/>
      <c r="DB60" s="330"/>
      <c r="DC60" s="330"/>
      <c r="DD60" s="330"/>
      <c r="DE60" s="330"/>
      <c r="DF60" s="330"/>
      <c r="DG60" s="330"/>
      <c r="DH60" s="330"/>
      <c r="DI60" s="330"/>
      <c r="DJ60" s="330"/>
      <c r="DK60" s="330"/>
      <c r="DL60" s="330"/>
      <c r="DM60" s="330"/>
      <c r="DN60" s="330"/>
      <c r="DO60" s="330"/>
      <c r="DP60" s="330"/>
      <c r="DQ60" s="330"/>
      <c r="DR60" s="330"/>
      <c r="DS60" s="330"/>
      <c r="DT60" s="330"/>
      <c r="DU60" s="330"/>
      <c r="DV60" s="330"/>
      <c r="DW60" s="330"/>
      <c r="DX60" s="330"/>
      <c r="DY60" s="330"/>
      <c r="DZ60" s="330"/>
      <c r="EA60" s="330"/>
      <c r="EB60" s="330"/>
      <c r="EC60" s="330"/>
      <c r="ED60" s="330"/>
      <c r="EE60" s="330"/>
      <c r="EF60" s="330"/>
      <c r="EG60" s="330"/>
      <c r="EH60" s="330"/>
      <c r="EI60" s="330"/>
      <c r="EJ60" s="330"/>
      <c r="EK60" s="330"/>
      <c r="EL60" s="330"/>
      <c r="EM60" s="330"/>
      <c r="EN60" s="330"/>
      <c r="EO60" s="330"/>
      <c r="EP60" s="330"/>
      <c r="EQ60" s="330"/>
      <c r="ER60" s="330"/>
      <c r="ES60" s="330"/>
      <c r="ET60" s="330"/>
      <c r="EU60" s="330"/>
      <c r="EV60" s="330"/>
      <c r="EW60" s="2147" t="s">
        <v>783</v>
      </c>
      <c r="EX60" s="2148"/>
      <c r="EY60" s="2148"/>
      <c r="EZ60" s="2148"/>
      <c r="FA60" s="2148"/>
      <c r="FB60" s="2149"/>
      <c r="FC60" s="2150" t="s">
        <v>810</v>
      </c>
      <c r="FD60" s="2151"/>
      <c r="FE60" s="2151"/>
      <c r="FF60" s="2151"/>
      <c r="FG60" s="2151"/>
      <c r="FH60" s="2151"/>
      <c r="FI60" s="2151"/>
      <c r="FJ60" s="2151"/>
      <c r="FK60" s="2151"/>
      <c r="FL60" s="2152"/>
      <c r="FM60" s="2153" t="s">
        <v>811</v>
      </c>
      <c r="FN60" s="2154"/>
      <c r="FO60" s="2154"/>
      <c r="FP60" s="2154"/>
      <c r="FQ60" s="2154"/>
      <c r="FR60" s="2154"/>
      <c r="FS60" s="2154"/>
      <c r="FT60" s="2154"/>
      <c r="FU60" s="2154"/>
      <c r="FV60" s="2154"/>
      <c r="FW60" s="2154"/>
      <c r="FX60" s="2154"/>
      <c r="FY60" s="2154"/>
      <c r="FZ60" s="2154"/>
      <c r="GA60" s="2154"/>
      <c r="GB60" s="2154"/>
      <c r="GC60" s="2154"/>
      <c r="GD60" s="2154"/>
      <c r="GE60" s="2154"/>
      <c r="GF60" s="2154"/>
      <c r="GG60" s="2154"/>
      <c r="GH60" s="2154"/>
      <c r="GI60" s="2154"/>
      <c r="GJ60" s="2155"/>
      <c r="GK60" s="330"/>
      <c r="GL60" s="330"/>
      <c r="GM60" s="330"/>
      <c r="GN60" s="330"/>
      <c r="GO60" s="330"/>
      <c r="GP60" s="330"/>
      <c r="GQ60" s="330"/>
      <c r="GR60" s="330"/>
      <c r="GS60" s="330"/>
      <c r="GT60" s="330"/>
      <c r="GU60" s="330"/>
      <c r="GV60" s="330"/>
      <c r="GW60" s="330"/>
      <c r="GX60" s="330"/>
      <c r="GY60" s="330"/>
      <c r="GZ60" s="330"/>
      <c r="HA60" s="330"/>
      <c r="HB60" s="330"/>
      <c r="HC60" s="330"/>
      <c r="HD60" s="330"/>
      <c r="HE60" s="330"/>
      <c r="HF60" s="330"/>
      <c r="HG60" s="330"/>
      <c r="HH60" s="330"/>
      <c r="HI60" s="330"/>
      <c r="HJ60" s="330"/>
      <c r="HK60" s="330"/>
      <c r="HL60" s="330"/>
      <c r="HM60" s="330"/>
      <c r="HN60" s="330"/>
      <c r="HO60" s="2147" t="s">
        <v>783</v>
      </c>
      <c r="HP60" s="2148"/>
      <c r="HQ60" s="2148"/>
      <c r="HR60" s="2148"/>
      <c r="HS60" s="2148"/>
      <c r="HT60" s="2149"/>
      <c r="HU60" s="2150" t="s">
        <v>810</v>
      </c>
      <c r="HV60" s="2151"/>
      <c r="HW60" s="2151"/>
      <c r="HX60" s="2151"/>
      <c r="HY60" s="2151"/>
      <c r="HZ60" s="2151"/>
      <c r="IA60" s="2151"/>
      <c r="IB60" s="2151"/>
      <c r="IC60" s="2151"/>
      <c r="ID60" s="2152"/>
      <c r="IE60" s="2153" t="s">
        <v>811</v>
      </c>
      <c r="IF60" s="2154"/>
      <c r="IG60" s="2154"/>
      <c r="IH60" s="2154"/>
      <c r="II60" s="2154"/>
      <c r="IJ60" s="2154"/>
      <c r="IK60" s="2154"/>
      <c r="IL60" s="2154"/>
      <c r="IM60" s="2154"/>
      <c r="IN60" s="2154"/>
      <c r="IO60" s="2154"/>
      <c r="IP60" s="2154"/>
      <c r="IQ60" s="2154"/>
      <c r="IR60" s="2154"/>
      <c r="IS60" s="2154"/>
      <c r="IT60" s="2154"/>
      <c r="IU60" s="2154"/>
      <c r="IV60" s="2155"/>
      <c r="IW60" s="330"/>
      <c r="IX60" s="330"/>
      <c r="IY60" s="330"/>
      <c r="IZ60" s="330"/>
      <c r="JA60" s="330"/>
      <c r="JB60" s="330"/>
      <c r="JC60" s="330"/>
      <c r="JD60" s="330"/>
      <c r="JE60" s="330"/>
      <c r="JF60" s="330"/>
      <c r="JG60" s="330"/>
      <c r="JH60" s="330"/>
      <c r="JI60" s="330"/>
      <c r="JJ60" s="330"/>
      <c r="JK60" s="330"/>
      <c r="JL60" s="330"/>
      <c r="JM60" s="330"/>
      <c r="JN60" s="330"/>
      <c r="JO60" s="330"/>
      <c r="JP60" s="330"/>
      <c r="JQ60" s="330"/>
      <c r="JR60" s="330"/>
      <c r="JS60" s="330"/>
      <c r="JT60" s="330"/>
      <c r="JU60" s="2147" t="s">
        <v>783</v>
      </c>
      <c r="JV60" s="2148"/>
      <c r="JW60" s="2148"/>
      <c r="JX60" s="2148"/>
      <c r="JY60" s="2148"/>
      <c r="JZ60" s="2149"/>
      <c r="KA60" s="2150" t="s">
        <v>810</v>
      </c>
      <c r="KB60" s="2151"/>
      <c r="KC60" s="2151"/>
      <c r="KD60" s="2151"/>
      <c r="KE60" s="2151"/>
      <c r="KF60" s="2151"/>
      <c r="KG60" s="2151"/>
      <c r="KH60" s="2151"/>
      <c r="KI60" s="2151"/>
      <c r="KJ60" s="2152"/>
      <c r="KK60" s="2153" t="s">
        <v>811</v>
      </c>
      <c r="KL60" s="2154"/>
      <c r="KM60" s="2154"/>
      <c r="KN60" s="2154"/>
      <c r="KO60" s="2154"/>
      <c r="KP60" s="2154"/>
      <c r="KQ60" s="2154"/>
      <c r="KR60" s="2154"/>
      <c r="KS60" s="2154"/>
      <c r="KT60" s="2154"/>
      <c r="KU60" s="2154"/>
      <c r="KV60" s="2154"/>
      <c r="KW60" s="2154"/>
      <c r="KX60" s="2154"/>
      <c r="KY60" s="2154"/>
      <c r="KZ60" s="2154"/>
      <c r="LA60" s="2154"/>
      <c r="LB60" s="2154"/>
      <c r="LC60" s="2154"/>
      <c r="LD60" s="2154"/>
      <c r="LE60" s="2154"/>
      <c r="LF60" s="2154"/>
      <c r="LG60" s="2154"/>
      <c r="LH60" s="2155"/>
      <c r="LI60" s="330"/>
      <c r="LJ60" s="330"/>
      <c r="LK60" s="330"/>
      <c r="LL60" s="330"/>
      <c r="LM60" s="330"/>
      <c r="LN60" s="330"/>
      <c r="LO60" s="330"/>
      <c r="LP60" s="330"/>
      <c r="LQ60" s="330"/>
      <c r="LR60" s="330"/>
      <c r="LS60" s="330"/>
      <c r="LT60" s="330"/>
      <c r="LU60" s="330"/>
      <c r="LV60" s="330"/>
      <c r="LW60" s="330"/>
      <c r="LX60" s="330"/>
      <c r="LY60" s="330"/>
      <c r="LZ60" s="330"/>
      <c r="MA60" s="330"/>
      <c r="MB60" s="330"/>
      <c r="MC60" s="330"/>
      <c r="MD60" s="330"/>
      <c r="ME60" s="330"/>
      <c r="MF60" s="330"/>
      <c r="MG60" s="330"/>
      <c r="MH60" s="330"/>
      <c r="MI60" s="330"/>
      <c r="MJ60" s="330"/>
      <c r="MK60" s="330"/>
      <c r="ML60" s="330"/>
      <c r="MM60" s="330"/>
      <c r="MN60" s="330"/>
      <c r="MO60" s="330"/>
      <c r="MP60" s="330"/>
      <c r="MQ60" s="330"/>
      <c r="MR60" s="330"/>
      <c r="MS60" s="330"/>
      <c r="MT60" s="330"/>
      <c r="MU60" s="330"/>
      <c r="MV60" s="330"/>
      <c r="MW60" s="330"/>
      <c r="MX60" s="330"/>
      <c r="MY60" s="330"/>
      <c r="MZ60" s="330"/>
      <c r="NA60" s="330"/>
      <c r="NB60" s="330"/>
      <c r="NC60" s="330"/>
      <c r="ND60" s="330"/>
      <c r="NE60" s="330"/>
      <c r="NF60" s="330"/>
      <c r="NG60" s="330"/>
      <c r="NH60" s="330"/>
      <c r="NI60" s="330"/>
      <c r="NJ60" s="330"/>
      <c r="NK60" s="330"/>
      <c r="NL60" s="330"/>
      <c r="NM60" s="330"/>
      <c r="NN60" s="330"/>
      <c r="NO60" s="330"/>
      <c r="NP60" s="330"/>
      <c r="NQ60" s="330"/>
      <c r="NR60" s="330"/>
      <c r="NS60" s="330"/>
      <c r="NT60" s="330"/>
      <c r="NU60" s="330"/>
      <c r="NV60" s="330"/>
      <c r="NW60" s="330"/>
      <c r="NX60" s="330"/>
      <c r="NY60" s="330"/>
      <c r="NZ60" s="330"/>
      <c r="OA60" s="330"/>
      <c r="OB60" s="330"/>
      <c r="OC60" s="330"/>
      <c r="OD60" s="330"/>
      <c r="OE60" s="330"/>
      <c r="OF60" s="330"/>
      <c r="OG60" s="330"/>
      <c r="OH60" s="330"/>
      <c r="OI60" s="330"/>
      <c r="OJ60" s="330"/>
      <c r="OK60" s="330"/>
      <c r="OL60" s="330"/>
      <c r="OM60" s="330"/>
      <c r="ON60" s="330"/>
      <c r="OO60" s="330"/>
      <c r="OP60" s="330"/>
    </row>
    <row r="61" spans="1:429" s="74" customFormat="1" ht="27.6" customHeight="1">
      <c r="D61" s="134"/>
      <c r="E61" s="1694"/>
      <c r="F61" s="1674"/>
      <c r="G61" s="1674"/>
      <c r="H61" s="1674"/>
      <c r="I61" s="1674"/>
      <c r="J61" s="1674"/>
      <c r="K61" s="1674"/>
      <c r="L61" s="1674"/>
      <c r="M61" s="1674"/>
      <c r="N61" s="1674"/>
      <c r="O61" s="1674"/>
      <c r="P61" s="1674"/>
      <c r="Q61" s="1674"/>
      <c r="R61" s="1674"/>
      <c r="S61" s="1674"/>
      <c r="T61" s="1674"/>
      <c r="U61" s="1674"/>
      <c r="V61" s="1674"/>
      <c r="W61" s="1674"/>
      <c r="X61" s="1674"/>
      <c r="Y61" s="1674"/>
      <c r="Z61" s="1634"/>
      <c r="AK61" s="1633"/>
      <c r="AL61" s="330"/>
      <c r="AM61" s="330"/>
      <c r="AN61" s="330"/>
      <c r="AO61" s="330"/>
      <c r="AP61" s="330"/>
      <c r="AQ61" s="330"/>
      <c r="AR61" s="330"/>
      <c r="AS61" s="330"/>
      <c r="AT61" s="330"/>
      <c r="AU61" s="330"/>
      <c r="AV61" s="330"/>
      <c r="AW61" s="330"/>
      <c r="AX61" s="330"/>
      <c r="AY61" s="330"/>
      <c r="AZ61" s="330"/>
      <c r="BA61" s="330"/>
      <c r="BB61" s="330"/>
      <c r="BC61" s="330"/>
      <c r="BD61" s="330"/>
      <c r="BE61" s="330"/>
      <c r="BF61" s="330"/>
      <c r="BG61" s="330"/>
      <c r="BH61" s="330"/>
      <c r="BI61" s="330"/>
      <c r="BJ61" s="330"/>
      <c r="BK61" s="330"/>
      <c r="BL61" s="330"/>
      <c r="BM61" s="330"/>
      <c r="BN61" s="330"/>
      <c r="BO61" s="330"/>
      <c r="BP61" s="330"/>
      <c r="BQ61" s="330"/>
      <c r="BR61" s="330"/>
      <c r="BS61" s="330"/>
      <c r="BT61" s="330"/>
      <c r="BU61" s="330"/>
      <c r="BV61" s="330"/>
      <c r="BW61" s="330"/>
      <c r="BX61" s="330"/>
      <c r="BY61" s="330"/>
      <c r="BZ61" s="330"/>
      <c r="CA61" s="330"/>
      <c r="CB61" s="330"/>
      <c r="CC61" s="330"/>
      <c r="CD61" s="330"/>
      <c r="CE61" s="330"/>
      <c r="CF61" s="330"/>
      <c r="CG61" s="330"/>
      <c r="CH61" s="330"/>
      <c r="CI61" s="330"/>
      <c r="CJ61" s="330"/>
      <c r="CK61" s="330"/>
      <c r="CL61" s="330"/>
      <c r="CM61" s="330"/>
      <c r="CN61" s="330"/>
      <c r="CO61" s="330"/>
      <c r="CP61" s="330"/>
      <c r="CQ61" s="330"/>
      <c r="CR61" s="330"/>
      <c r="CS61" s="330"/>
      <c r="CT61" s="330"/>
      <c r="CU61" s="330"/>
      <c r="CV61" s="330"/>
      <c r="CW61" s="330"/>
      <c r="CX61" s="330"/>
      <c r="CY61" s="330"/>
      <c r="CZ61" s="330"/>
      <c r="DA61" s="330"/>
      <c r="DB61" s="330"/>
      <c r="DC61" s="330"/>
      <c r="DD61" s="330"/>
      <c r="DE61" s="330"/>
      <c r="DF61" s="330"/>
      <c r="DG61" s="330"/>
      <c r="DH61" s="330"/>
      <c r="DI61" s="330"/>
      <c r="DJ61" s="330"/>
      <c r="DK61" s="330"/>
      <c r="DL61" s="330"/>
      <c r="DM61" s="330"/>
      <c r="DN61" s="330"/>
      <c r="DO61" s="330"/>
      <c r="DP61" s="330"/>
      <c r="DQ61" s="330"/>
      <c r="DR61" s="330"/>
      <c r="DS61" s="330"/>
      <c r="DT61" s="330"/>
      <c r="DU61" s="330"/>
      <c r="DV61" s="330"/>
      <c r="DW61" s="330"/>
      <c r="DX61" s="330"/>
      <c r="DY61" s="330"/>
      <c r="DZ61" s="330"/>
      <c r="EA61" s="330"/>
      <c r="EB61" s="330"/>
      <c r="EC61" s="330"/>
      <c r="ED61" s="330"/>
      <c r="EE61" s="330"/>
      <c r="EF61" s="330"/>
      <c r="EG61" s="330"/>
      <c r="EH61" s="330"/>
      <c r="EI61" s="330"/>
      <c r="EJ61" s="330"/>
      <c r="EK61" s="330"/>
      <c r="EL61" s="330"/>
      <c r="EM61" s="330"/>
      <c r="EN61" s="330"/>
      <c r="EO61" s="330"/>
      <c r="EP61" s="330"/>
      <c r="EQ61" s="330"/>
      <c r="ER61" s="330"/>
      <c r="ES61" s="330"/>
      <c r="ET61" s="330"/>
      <c r="EU61" s="330"/>
      <c r="EV61" s="330"/>
      <c r="EW61" s="330"/>
      <c r="EX61" s="330"/>
      <c r="EY61" s="330"/>
      <c r="EZ61" s="330"/>
      <c r="FA61" s="1808"/>
      <c r="FB61" s="1808"/>
      <c r="FC61" s="2156" t="s">
        <v>811</v>
      </c>
      <c r="FD61" s="2157"/>
      <c r="FE61" s="2157"/>
      <c r="FF61" s="2157"/>
      <c r="FG61" s="2157"/>
      <c r="FH61" s="2157"/>
      <c r="FI61" s="2157"/>
      <c r="FJ61" s="2157"/>
      <c r="FK61" s="2157"/>
      <c r="FL61" s="2157"/>
      <c r="FM61" s="2157"/>
      <c r="FN61" s="2157"/>
      <c r="FO61" s="2157"/>
      <c r="FP61" s="2157"/>
      <c r="FQ61" s="2157"/>
      <c r="FR61" s="2157"/>
      <c r="FS61" s="2157"/>
      <c r="FT61" s="2157"/>
      <c r="FU61" s="2157"/>
      <c r="FV61" s="2157"/>
      <c r="FW61" s="2157"/>
      <c r="FX61" s="2157"/>
      <c r="FY61" s="2157"/>
      <c r="FZ61" s="2158"/>
      <c r="GA61" s="330"/>
      <c r="GB61" s="330"/>
      <c r="GC61" s="330"/>
      <c r="GD61" s="330"/>
      <c r="GK61" s="330"/>
      <c r="GL61" s="330"/>
      <c r="GM61" s="330"/>
      <c r="GN61" s="330"/>
      <c r="GO61" s="330"/>
      <c r="GP61" s="330"/>
      <c r="GQ61" s="330"/>
      <c r="GR61" s="330"/>
      <c r="GS61" s="330"/>
      <c r="GT61" s="330"/>
      <c r="GU61" s="330"/>
      <c r="GV61" s="330"/>
      <c r="GW61" s="330"/>
      <c r="GX61" s="330"/>
      <c r="GY61" s="330"/>
      <c r="GZ61" s="330"/>
      <c r="HA61" s="330"/>
      <c r="HB61" s="330"/>
      <c r="HC61" s="330"/>
      <c r="HD61" s="330"/>
      <c r="HE61" s="330"/>
      <c r="HF61" s="330"/>
      <c r="HG61" s="330"/>
      <c r="HH61" s="330"/>
      <c r="HI61" s="330"/>
      <c r="HJ61" s="330"/>
      <c r="HK61" s="330"/>
      <c r="HL61" s="330"/>
      <c r="HM61" s="330"/>
      <c r="HN61" s="330"/>
      <c r="HO61" s="330"/>
      <c r="HP61" s="330"/>
      <c r="HQ61" s="330"/>
      <c r="HR61" s="330"/>
      <c r="HS61" s="1808"/>
      <c r="HT61" s="1808"/>
      <c r="HU61" s="2156" t="s">
        <v>811</v>
      </c>
      <c r="HV61" s="2157"/>
      <c r="HW61" s="2157"/>
      <c r="HX61" s="2157"/>
      <c r="HY61" s="2157"/>
      <c r="HZ61" s="2157"/>
      <c r="IA61" s="2157"/>
      <c r="IB61" s="2157"/>
      <c r="IC61" s="2157"/>
      <c r="ID61" s="2157"/>
      <c r="IE61" s="2157"/>
      <c r="IF61" s="2157"/>
      <c r="IG61" s="2157"/>
      <c r="IH61" s="2157"/>
      <c r="II61" s="2157"/>
      <c r="IJ61" s="2157"/>
      <c r="IK61" s="2157"/>
      <c r="IL61" s="2158"/>
      <c r="IM61" s="330"/>
      <c r="IN61" s="330"/>
      <c r="IO61" s="330"/>
      <c r="IP61" s="330"/>
      <c r="IQ61" s="330"/>
      <c r="IR61" s="330"/>
      <c r="IS61" s="330"/>
      <c r="IT61" s="330"/>
      <c r="IU61" s="330"/>
      <c r="IV61" s="330"/>
      <c r="IW61" s="330"/>
      <c r="IX61" s="330"/>
      <c r="IY61" s="330"/>
      <c r="IZ61" s="330"/>
      <c r="JA61" s="330"/>
      <c r="JB61" s="330"/>
      <c r="JC61" s="330"/>
      <c r="JD61" s="330"/>
      <c r="JE61" s="330"/>
      <c r="JF61" s="330"/>
      <c r="JG61" s="330"/>
      <c r="JH61" s="330"/>
      <c r="JI61" s="330"/>
      <c r="JJ61" s="330"/>
      <c r="JK61" s="330"/>
      <c r="JL61" s="330"/>
      <c r="JM61" s="330"/>
      <c r="JN61" s="330"/>
      <c r="JO61" s="330"/>
      <c r="JP61" s="330"/>
      <c r="JQ61" s="330"/>
      <c r="JR61" s="330"/>
      <c r="JS61" s="330"/>
      <c r="JT61" s="330"/>
      <c r="JU61" s="330"/>
      <c r="JV61" s="330"/>
      <c r="JW61" s="330"/>
      <c r="JX61" s="330"/>
      <c r="JY61" s="1808"/>
      <c r="JZ61" s="1808"/>
      <c r="KA61" s="2156" t="s">
        <v>811</v>
      </c>
      <c r="KB61" s="2157"/>
      <c r="KC61" s="2157"/>
      <c r="KD61" s="2157"/>
      <c r="KE61" s="2157"/>
      <c r="KF61" s="2157"/>
      <c r="KG61" s="2157"/>
      <c r="KH61" s="2157"/>
      <c r="KI61" s="2157"/>
      <c r="KJ61" s="2157"/>
      <c r="KK61" s="2157"/>
      <c r="KL61" s="2157"/>
      <c r="KM61" s="2157"/>
      <c r="KN61" s="2157"/>
      <c r="KO61" s="2157"/>
      <c r="KP61" s="2157"/>
      <c r="KQ61" s="2157"/>
      <c r="KR61" s="2157"/>
      <c r="KS61" s="2157"/>
      <c r="KT61" s="2157"/>
      <c r="KU61" s="2157"/>
      <c r="KV61" s="2157"/>
      <c r="KW61" s="2157"/>
      <c r="KX61" s="2158"/>
      <c r="KY61" s="330"/>
      <c r="KZ61" s="330"/>
      <c r="LA61" s="330"/>
      <c r="LB61" s="330"/>
      <c r="LI61" s="330"/>
      <c r="LJ61" s="330"/>
      <c r="LK61" s="330"/>
      <c r="LL61" s="330"/>
      <c r="LM61" s="330"/>
      <c r="LN61" s="330"/>
      <c r="LO61" s="330"/>
      <c r="LP61" s="330"/>
      <c r="LQ61" s="330"/>
      <c r="LR61" s="330"/>
      <c r="LS61" s="330"/>
      <c r="LT61" s="330"/>
      <c r="LU61" s="330"/>
      <c r="LV61" s="330"/>
      <c r="LW61" s="330"/>
      <c r="LX61" s="330"/>
      <c r="LY61" s="330"/>
      <c r="LZ61" s="330"/>
      <c r="MA61" s="330"/>
      <c r="MB61" s="330"/>
      <c r="MC61" s="330"/>
      <c r="MD61" s="330"/>
      <c r="ME61" s="330"/>
      <c r="MF61" s="330"/>
      <c r="MG61" s="330"/>
      <c r="MH61" s="330"/>
      <c r="MI61" s="330"/>
      <c r="MJ61" s="330"/>
      <c r="MK61" s="330"/>
      <c r="ML61" s="330"/>
      <c r="MM61" s="330"/>
      <c r="MN61" s="330"/>
      <c r="MO61" s="330"/>
      <c r="MP61" s="330"/>
      <c r="MQ61" s="330"/>
      <c r="MR61" s="330"/>
      <c r="MS61" s="330"/>
      <c r="MT61" s="330"/>
      <c r="MU61" s="330"/>
      <c r="MV61" s="330"/>
      <c r="MW61" s="330"/>
      <c r="MX61" s="330"/>
      <c r="MY61" s="330"/>
      <c r="MZ61" s="330"/>
      <c r="NA61" s="330"/>
      <c r="NB61" s="330"/>
      <c r="NC61" s="330"/>
      <c r="ND61" s="330"/>
      <c r="NE61" s="330"/>
      <c r="NF61" s="330"/>
      <c r="NG61" s="330"/>
      <c r="NH61" s="330"/>
      <c r="NI61" s="330"/>
      <c r="NJ61" s="330"/>
      <c r="NK61" s="330"/>
      <c r="NL61" s="330"/>
      <c r="NM61" s="330"/>
      <c r="NN61" s="330"/>
      <c r="NO61" s="330"/>
      <c r="NP61" s="330"/>
      <c r="NQ61" s="330"/>
      <c r="NR61" s="330"/>
      <c r="NS61" s="330"/>
      <c r="NT61" s="330"/>
      <c r="NU61" s="330"/>
      <c r="NV61" s="330"/>
      <c r="NW61" s="330"/>
      <c r="NX61" s="330"/>
      <c r="NY61" s="330"/>
      <c r="NZ61" s="330"/>
      <c r="OA61" s="330"/>
      <c r="OB61" s="330"/>
      <c r="OC61" s="330"/>
      <c r="OD61" s="330"/>
      <c r="OE61" s="330"/>
      <c r="OF61" s="330"/>
      <c r="OG61" s="330"/>
      <c r="OH61" s="330"/>
      <c r="OI61" s="330"/>
      <c r="OJ61" s="330"/>
      <c r="OK61" s="330"/>
      <c r="OL61" s="330"/>
      <c r="OM61" s="330"/>
      <c r="ON61" s="330"/>
      <c r="OO61" s="330"/>
      <c r="OP61" s="330"/>
    </row>
    <row r="62" spans="1:429" s="74" customFormat="1" ht="27.6" customHeight="1">
      <c r="D62" s="134"/>
      <c r="E62" s="1697" t="s">
        <v>873</v>
      </c>
      <c r="F62" s="1674"/>
      <c r="G62" s="1674"/>
      <c r="H62" s="1674"/>
      <c r="I62" s="1674"/>
      <c r="J62" s="1674"/>
      <c r="K62" s="1674"/>
      <c r="L62" s="1674"/>
      <c r="M62" s="1674"/>
      <c r="N62" s="1674"/>
      <c r="O62" s="1674"/>
      <c r="P62" s="1674"/>
      <c r="Q62" s="1674"/>
      <c r="R62" s="1674"/>
      <c r="S62" s="1674"/>
      <c r="T62" s="1674"/>
      <c r="U62" s="1674"/>
      <c r="V62" s="1674"/>
      <c r="W62" s="1674"/>
      <c r="X62" s="1674"/>
      <c r="Y62" s="1674"/>
      <c r="Z62" s="1634"/>
      <c r="AK62" s="1633"/>
      <c r="AL62" s="330"/>
      <c r="AM62" s="330"/>
      <c r="AN62" s="330"/>
      <c r="AO62" s="330"/>
      <c r="AP62" s="330"/>
      <c r="AQ62" s="330"/>
      <c r="AR62" s="330"/>
      <c r="AS62" s="330"/>
      <c r="AT62" s="330"/>
      <c r="AU62" s="330"/>
      <c r="AV62" s="330"/>
      <c r="AW62" s="330"/>
      <c r="AX62" s="330"/>
      <c r="AY62" s="330"/>
      <c r="AZ62" s="330"/>
      <c r="BA62" s="330"/>
      <c r="BB62" s="330"/>
      <c r="BC62" s="330"/>
      <c r="BD62" s="330"/>
      <c r="BE62" s="330"/>
      <c r="BF62" s="330"/>
      <c r="BG62" s="330"/>
      <c r="BH62" s="330"/>
      <c r="BI62" s="330"/>
      <c r="BJ62" s="330"/>
      <c r="BK62" s="330"/>
      <c r="BL62" s="330"/>
      <c r="BM62" s="330"/>
      <c r="BN62" s="330"/>
      <c r="BO62" s="330"/>
      <c r="BP62" s="330"/>
      <c r="BQ62" s="330"/>
      <c r="BR62" s="330"/>
      <c r="BS62" s="330"/>
      <c r="BT62" s="330"/>
      <c r="BU62" s="330"/>
      <c r="BV62" s="330"/>
      <c r="BW62" s="330"/>
      <c r="BX62" s="330"/>
      <c r="BY62" s="330"/>
      <c r="BZ62" s="330"/>
      <c r="CA62" s="330"/>
      <c r="CB62" s="330"/>
      <c r="CC62" s="330"/>
      <c r="CD62" s="330"/>
      <c r="CE62" s="330"/>
      <c r="CF62" s="330"/>
      <c r="CG62" s="330"/>
      <c r="CH62" s="330"/>
      <c r="CI62" s="330"/>
      <c r="CJ62" s="330"/>
      <c r="CK62" s="330"/>
      <c r="CL62" s="330"/>
      <c r="CM62" s="330"/>
      <c r="CN62" s="330"/>
      <c r="CO62" s="330"/>
      <c r="CP62" s="330"/>
      <c r="CQ62" s="330"/>
      <c r="CR62" s="330"/>
      <c r="CS62" s="330"/>
      <c r="CT62" s="330"/>
      <c r="CU62" s="330"/>
      <c r="CV62" s="330"/>
      <c r="CW62" s="330"/>
      <c r="CX62" s="330"/>
      <c r="CY62" s="330"/>
      <c r="CZ62" s="330"/>
      <c r="DA62" s="330"/>
      <c r="DB62" s="330"/>
      <c r="DC62" s="330"/>
      <c r="DD62" s="330"/>
      <c r="DE62" s="330"/>
      <c r="DF62" s="330"/>
      <c r="DG62" s="330"/>
      <c r="DH62" s="330"/>
      <c r="DI62" s="330"/>
      <c r="DJ62" s="330"/>
      <c r="DK62" s="330"/>
      <c r="DL62" s="330"/>
      <c r="DM62" s="330"/>
      <c r="DN62" s="330"/>
      <c r="DO62" s="330"/>
      <c r="DP62" s="330"/>
      <c r="DQ62" s="330"/>
      <c r="DR62" s="330"/>
      <c r="DS62" s="330"/>
      <c r="DT62" s="330"/>
      <c r="DU62" s="330"/>
      <c r="DV62" s="330"/>
      <c r="DW62" s="330"/>
      <c r="DX62" s="330"/>
      <c r="DY62" s="330"/>
      <c r="DZ62" s="330"/>
      <c r="EA62" s="330"/>
      <c r="EB62" s="330"/>
      <c r="EC62" s="330"/>
      <c r="ED62" s="330"/>
      <c r="EE62" s="330"/>
      <c r="EF62" s="330"/>
      <c r="EG62" s="330"/>
      <c r="EH62" s="330"/>
      <c r="EI62" s="330"/>
      <c r="EJ62" s="330"/>
      <c r="EK62" s="330"/>
      <c r="EL62" s="330"/>
      <c r="EM62" s="330"/>
      <c r="EN62" s="330"/>
      <c r="EO62" s="330"/>
      <c r="EP62" s="330"/>
      <c r="EQ62" s="330"/>
      <c r="ER62" s="330"/>
      <c r="ES62" s="330"/>
      <c r="ET62" s="330"/>
      <c r="EU62" s="330"/>
      <c r="EV62" s="330"/>
      <c r="EW62" s="1608"/>
      <c r="EX62" s="1608"/>
      <c r="EY62" s="1608"/>
      <c r="EZ62" s="1608"/>
      <c r="FA62" s="1608">
        <v>1200</v>
      </c>
      <c r="FB62" s="1608">
        <v>1200</v>
      </c>
      <c r="FC62" s="1608">
        <v>1200</v>
      </c>
      <c r="FD62" s="1608">
        <v>1200</v>
      </c>
      <c r="FE62" s="1608">
        <v>1200</v>
      </c>
      <c r="FF62" s="1608">
        <v>1200</v>
      </c>
      <c r="FG62" s="1608">
        <v>1200</v>
      </c>
      <c r="FH62" s="1608">
        <v>1200</v>
      </c>
      <c r="FI62" s="1608">
        <v>1200</v>
      </c>
      <c r="FJ62" s="1608">
        <v>1200</v>
      </c>
      <c r="FK62" s="1608">
        <v>1200</v>
      </c>
      <c r="FL62" s="1608">
        <v>1200</v>
      </c>
      <c r="FM62" s="330"/>
      <c r="FN62" s="330"/>
      <c r="FO62" s="330"/>
      <c r="FP62" s="330"/>
      <c r="FQ62" s="330"/>
      <c r="FR62" s="330"/>
      <c r="FS62" s="330"/>
      <c r="FT62" s="330"/>
      <c r="FU62" s="330"/>
      <c r="FV62" s="330"/>
      <c r="FW62" s="330"/>
      <c r="FX62" s="330"/>
      <c r="FY62" s="330"/>
      <c r="FZ62" s="330"/>
      <c r="GA62" s="330"/>
      <c r="GB62" s="330"/>
      <c r="GC62" s="330"/>
      <c r="GD62" s="330"/>
      <c r="GE62" s="330"/>
      <c r="GF62" s="330"/>
      <c r="GG62" s="330"/>
      <c r="GH62" s="330"/>
      <c r="GI62" s="330"/>
      <c r="GJ62" s="330"/>
      <c r="GK62" s="330"/>
      <c r="GL62" s="330"/>
      <c r="GM62" s="330"/>
      <c r="GN62" s="330"/>
      <c r="GO62" s="330"/>
      <c r="GP62" s="330"/>
      <c r="GQ62" s="330"/>
      <c r="GR62" s="330"/>
      <c r="GS62" s="330"/>
      <c r="GT62" s="330"/>
      <c r="GU62" s="330"/>
      <c r="GV62" s="330"/>
      <c r="GW62" s="330"/>
      <c r="GX62" s="330"/>
      <c r="GY62" s="330"/>
      <c r="GZ62" s="330"/>
      <c r="HA62" s="330"/>
      <c r="HB62" s="330"/>
      <c r="HC62" s="330"/>
      <c r="HD62" s="330"/>
      <c r="HE62" s="330"/>
      <c r="HF62" s="330"/>
      <c r="HG62" s="330"/>
      <c r="HH62" s="330"/>
      <c r="HI62" s="330"/>
      <c r="HJ62" s="330"/>
      <c r="HK62" s="330"/>
      <c r="HL62" s="330"/>
      <c r="HM62" s="330"/>
      <c r="HN62" s="330"/>
      <c r="HO62" s="1608"/>
      <c r="HP62" s="1608"/>
      <c r="HQ62" s="1608"/>
      <c r="HR62" s="1608"/>
      <c r="HS62" s="1608">
        <v>1200</v>
      </c>
      <c r="HT62" s="1608">
        <v>1200</v>
      </c>
      <c r="HU62" s="1608">
        <v>1200</v>
      </c>
      <c r="HV62" s="1608">
        <v>1200</v>
      </c>
      <c r="HW62" s="1608">
        <v>1200</v>
      </c>
      <c r="HX62" s="1608">
        <v>1200</v>
      </c>
      <c r="HY62" s="1608">
        <v>1200</v>
      </c>
      <c r="HZ62" s="1608">
        <v>1200</v>
      </c>
      <c r="IA62" s="1608">
        <v>1200</v>
      </c>
      <c r="IB62" s="1608">
        <v>1200</v>
      </c>
      <c r="IC62" s="1608">
        <v>1200</v>
      </c>
      <c r="ID62" s="1608">
        <v>1200</v>
      </c>
      <c r="IE62" s="330"/>
      <c r="IF62" s="330"/>
      <c r="IG62" s="330"/>
      <c r="IH62" s="330"/>
      <c r="II62" s="330"/>
      <c r="IJ62" s="330"/>
      <c r="IK62" s="330"/>
      <c r="IL62" s="330"/>
      <c r="IM62" s="330"/>
      <c r="IN62" s="330"/>
      <c r="IO62" s="330"/>
      <c r="IP62" s="330"/>
      <c r="IQ62" s="330"/>
      <c r="IR62" s="330"/>
      <c r="IS62" s="330"/>
      <c r="IT62" s="330"/>
      <c r="IU62" s="330"/>
      <c r="IV62" s="330"/>
      <c r="IW62" s="330"/>
      <c r="IX62" s="330"/>
      <c r="IY62" s="330"/>
      <c r="IZ62" s="330"/>
      <c r="JA62" s="330"/>
      <c r="JB62" s="330"/>
      <c r="JC62" s="330"/>
      <c r="JD62" s="330"/>
      <c r="JE62" s="330"/>
      <c r="JF62" s="330"/>
      <c r="JG62" s="330"/>
      <c r="JH62" s="330"/>
      <c r="JI62" s="330"/>
      <c r="JJ62" s="330"/>
      <c r="JK62" s="330"/>
      <c r="JL62" s="330"/>
      <c r="JM62" s="330"/>
      <c r="JN62" s="330"/>
      <c r="JO62" s="330"/>
      <c r="JP62" s="330"/>
      <c r="JQ62" s="330"/>
      <c r="JR62" s="330"/>
      <c r="JS62" s="330"/>
      <c r="JT62" s="330"/>
      <c r="JU62" s="1608"/>
      <c r="JV62" s="1608"/>
      <c r="JW62" s="1608"/>
      <c r="JX62" s="1608"/>
      <c r="JY62" s="1608">
        <v>1200</v>
      </c>
      <c r="JZ62" s="1608">
        <v>1200</v>
      </c>
      <c r="KA62" s="1608">
        <v>1200</v>
      </c>
      <c r="KB62" s="1608">
        <v>1200</v>
      </c>
      <c r="KC62" s="1608">
        <v>1200</v>
      </c>
      <c r="KD62" s="1608">
        <v>1200</v>
      </c>
      <c r="KE62" s="1608">
        <v>1200</v>
      </c>
      <c r="KF62" s="1608">
        <v>1200</v>
      </c>
      <c r="KG62" s="1608">
        <v>1200</v>
      </c>
      <c r="KH62" s="1608">
        <v>1200</v>
      </c>
      <c r="KI62" s="1608">
        <v>1200</v>
      </c>
      <c r="KJ62" s="1608">
        <v>1200</v>
      </c>
      <c r="KK62" s="330"/>
      <c r="KL62" s="330"/>
      <c r="KM62" s="330"/>
      <c r="KN62" s="330"/>
      <c r="KO62" s="330"/>
      <c r="KP62" s="330"/>
      <c r="KQ62" s="330"/>
      <c r="KR62" s="330"/>
      <c r="KS62" s="330"/>
      <c r="KT62" s="330"/>
      <c r="KU62" s="330"/>
      <c r="KV62" s="330"/>
      <c r="KW62" s="330"/>
      <c r="KX62" s="330"/>
      <c r="KY62" s="330"/>
      <c r="KZ62" s="330"/>
      <c r="LA62" s="330"/>
      <c r="LB62" s="330"/>
      <c r="LC62" s="330"/>
      <c r="LD62" s="330"/>
      <c r="LE62" s="330"/>
      <c r="LF62" s="330"/>
      <c r="LG62" s="330"/>
      <c r="LH62" s="330"/>
      <c r="LI62" s="330"/>
      <c r="LJ62" s="330"/>
      <c r="LK62" s="330"/>
      <c r="LL62" s="330"/>
      <c r="LM62" s="330"/>
      <c r="LN62" s="330"/>
      <c r="LO62" s="330"/>
      <c r="LP62" s="330"/>
      <c r="LQ62" s="330"/>
      <c r="LR62" s="330"/>
      <c r="LS62" s="330"/>
      <c r="LT62" s="330"/>
      <c r="LU62" s="330"/>
      <c r="LV62" s="330"/>
      <c r="LW62" s="330"/>
      <c r="LX62" s="330"/>
      <c r="LY62" s="330"/>
      <c r="LZ62" s="330"/>
      <c r="MA62" s="330"/>
      <c r="MB62" s="330"/>
      <c r="MC62" s="330"/>
      <c r="MD62" s="330"/>
      <c r="ME62" s="330"/>
      <c r="MF62" s="330"/>
      <c r="MG62" s="330"/>
      <c r="MH62" s="330"/>
      <c r="MI62" s="330"/>
      <c r="MJ62" s="330"/>
      <c r="MK62" s="330"/>
      <c r="ML62" s="330"/>
      <c r="MM62" s="330"/>
      <c r="MN62" s="330"/>
      <c r="MO62" s="330"/>
      <c r="MP62" s="330"/>
      <c r="MQ62" s="330"/>
      <c r="MR62" s="330"/>
      <c r="MS62" s="330"/>
      <c r="MT62" s="330"/>
      <c r="MU62" s="330"/>
      <c r="MV62" s="330"/>
      <c r="MW62" s="330"/>
      <c r="MX62" s="330"/>
      <c r="MY62" s="330"/>
      <c r="MZ62" s="330"/>
      <c r="NA62" s="330"/>
      <c r="NB62" s="330"/>
      <c r="NC62" s="330"/>
      <c r="ND62" s="330"/>
      <c r="NE62" s="330"/>
      <c r="NF62" s="330"/>
      <c r="NG62" s="330"/>
      <c r="NH62" s="330"/>
      <c r="NI62" s="330"/>
      <c r="NJ62" s="330"/>
      <c r="NK62" s="330"/>
      <c r="NL62" s="330"/>
      <c r="NM62" s="330"/>
      <c r="NN62" s="330"/>
      <c r="NO62" s="330"/>
      <c r="NP62" s="330"/>
      <c r="NQ62" s="330"/>
      <c r="NR62" s="330"/>
      <c r="NS62" s="330"/>
      <c r="NT62" s="330"/>
      <c r="NU62" s="330"/>
      <c r="NV62" s="330"/>
      <c r="NW62" s="330"/>
      <c r="NX62" s="330"/>
      <c r="NY62" s="330"/>
      <c r="NZ62" s="330"/>
      <c r="OA62" s="330"/>
      <c r="OB62" s="330"/>
      <c r="OC62" s="330"/>
      <c r="OD62" s="330"/>
      <c r="OE62" s="330"/>
      <c r="OF62" s="330"/>
      <c r="OG62" s="330"/>
      <c r="OH62" s="330"/>
      <c r="OI62" s="330"/>
      <c r="OJ62" s="330"/>
      <c r="OK62" s="330"/>
      <c r="OL62" s="330"/>
      <c r="OM62" s="330"/>
      <c r="ON62" s="330"/>
      <c r="OO62" s="330"/>
      <c r="OP62" s="330"/>
    </row>
    <row r="63" spans="1:429" s="74" customFormat="1" ht="27.6" customHeight="1" thickBot="1">
      <c r="A63" s="508"/>
      <c r="B63" s="508"/>
      <c r="C63" s="508"/>
      <c r="D63" s="1618"/>
      <c r="E63" s="1700"/>
      <c r="F63" s="1674"/>
      <c r="G63" s="1674"/>
      <c r="H63" s="1674"/>
      <c r="I63" s="1674"/>
      <c r="J63" s="1674"/>
      <c r="K63" s="1674"/>
      <c r="L63" s="1674"/>
      <c r="M63" s="1674"/>
      <c r="N63" s="1674"/>
      <c r="O63" s="1674"/>
      <c r="P63" s="1674"/>
      <c r="Q63" s="1674"/>
      <c r="R63" s="1674"/>
      <c r="S63" s="1674"/>
      <c r="T63" s="1674"/>
      <c r="U63" s="1674"/>
      <c r="V63" s="1674"/>
      <c r="W63" s="1674"/>
      <c r="X63" s="1674"/>
      <c r="Y63" s="1674"/>
      <c r="Z63" s="330"/>
      <c r="AA63" s="330"/>
      <c r="AB63" s="330"/>
      <c r="AC63" s="330"/>
      <c r="AD63" s="330"/>
      <c r="AE63" s="330"/>
      <c r="AF63" s="330"/>
      <c r="AG63" s="330"/>
      <c r="AH63" s="330"/>
      <c r="AI63" s="330"/>
      <c r="AJ63" s="330"/>
      <c r="AK63" s="330"/>
      <c r="AL63" s="330"/>
      <c r="AM63" s="330"/>
      <c r="AN63" s="330"/>
      <c r="AO63" s="330"/>
      <c r="AP63" s="330"/>
      <c r="AQ63" s="330"/>
      <c r="AR63" s="330"/>
      <c r="AS63" s="330"/>
      <c r="AT63" s="330"/>
      <c r="AU63" s="330"/>
      <c r="AV63" s="330"/>
      <c r="AW63" s="330"/>
      <c r="AX63" s="330"/>
      <c r="AY63" s="330"/>
      <c r="AZ63" s="330"/>
      <c r="BA63" s="330"/>
      <c r="BB63" s="330"/>
      <c r="BC63" s="330"/>
      <c r="BD63" s="330"/>
      <c r="BE63" s="330"/>
      <c r="BF63" s="330"/>
      <c r="BG63" s="330"/>
      <c r="BH63" s="330"/>
      <c r="BI63" s="330"/>
      <c r="BJ63" s="330"/>
      <c r="BK63" s="330"/>
      <c r="BL63" s="330"/>
      <c r="BM63" s="330"/>
      <c r="BN63" s="330"/>
      <c r="BO63" s="330"/>
      <c r="BP63" s="330"/>
      <c r="BQ63" s="330"/>
      <c r="BR63" s="330"/>
      <c r="BS63" s="330"/>
      <c r="BT63" s="330"/>
      <c r="BU63" s="330"/>
      <c r="BV63" s="330"/>
      <c r="BW63" s="330"/>
      <c r="BX63" s="330"/>
      <c r="BY63" s="330"/>
      <c r="BZ63" s="330"/>
      <c r="CA63" s="330"/>
      <c r="CB63" s="330"/>
      <c r="CC63" s="330"/>
      <c r="CD63" s="330"/>
      <c r="CE63" s="330"/>
      <c r="CF63" s="2189" t="s">
        <v>914</v>
      </c>
      <c r="CG63" s="2190"/>
      <c r="CH63" s="2190"/>
      <c r="CI63" s="2190"/>
      <c r="CJ63" s="2190"/>
      <c r="CK63" s="2190"/>
      <c r="CL63" s="2190"/>
      <c r="CM63" s="2190"/>
      <c r="CN63" s="2190"/>
      <c r="CO63" s="2190"/>
      <c r="CP63" s="2190"/>
      <c r="CQ63" s="2190"/>
      <c r="CR63" s="2190"/>
      <c r="CS63" s="2190"/>
      <c r="CT63" s="2190"/>
      <c r="CU63" s="2190"/>
      <c r="CV63" s="2190"/>
      <c r="CW63" s="2190"/>
      <c r="CX63" s="2190"/>
      <c r="CY63" s="2190"/>
      <c r="CZ63" s="2190"/>
      <c r="DA63" s="2190"/>
      <c r="DB63" s="2190"/>
      <c r="DC63" s="2190"/>
      <c r="DD63" s="2190"/>
      <c r="DE63" s="2190"/>
      <c r="DF63" s="2190"/>
      <c r="DG63" s="2190"/>
      <c r="DH63" s="2190"/>
      <c r="DI63" s="2190"/>
      <c r="DJ63" s="2190"/>
      <c r="DK63" s="2190"/>
      <c r="DL63" s="2190"/>
      <c r="DM63" s="2190"/>
      <c r="DN63" s="2190"/>
      <c r="DO63" s="2190"/>
      <c r="DP63" s="2190"/>
      <c r="DQ63" s="2190"/>
      <c r="DR63" s="2190"/>
      <c r="DS63" s="2190"/>
      <c r="DT63" s="2190"/>
      <c r="DU63" s="2190"/>
      <c r="DV63" s="2190"/>
      <c r="DW63" s="2190"/>
      <c r="DX63" s="2190"/>
      <c r="DY63" s="2190"/>
      <c r="DZ63" s="2190"/>
      <c r="EA63" s="2190"/>
      <c r="EB63" s="2190"/>
      <c r="EC63" s="2190"/>
      <c r="ED63" s="2190"/>
      <c r="EE63" s="2190"/>
      <c r="EF63" s="2190"/>
      <c r="EG63" s="2190"/>
      <c r="EH63" s="2190"/>
      <c r="EI63" s="2190"/>
      <c r="EJ63" s="2190"/>
      <c r="EK63" s="2190"/>
      <c r="EL63" s="2190"/>
      <c r="EM63" s="2190"/>
      <c r="EN63" s="2190"/>
      <c r="EO63" s="2190"/>
      <c r="EP63" s="2190"/>
      <c r="EQ63" s="2190"/>
      <c r="ER63" s="2190"/>
      <c r="ES63" s="2190"/>
      <c r="ET63" s="2190"/>
      <c r="EU63" s="2190"/>
      <c r="EV63" s="2190"/>
      <c r="EW63" s="2190"/>
      <c r="EX63" s="2190"/>
      <c r="EY63" s="2190"/>
      <c r="EZ63" s="2190"/>
      <c r="FA63" s="2190"/>
      <c r="FB63" s="2190"/>
      <c r="FC63" s="2190"/>
      <c r="FD63" s="2190"/>
      <c r="FE63" s="2190"/>
      <c r="FF63" s="2190"/>
      <c r="FG63" s="2190"/>
      <c r="FH63" s="2190"/>
      <c r="FI63" s="2190"/>
      <c r="FJ63" s="2190"/>
      <c r="FK63" s="2190"/>
      <c r="FL63" s="2190"/>
      <c r="FM63" s="2190"/>
      <c r="FN63" s="2190"/>
      <c r="FO63" s="2190"/>
      <c r="FP63" s="2190"/>
      <c r="FQ63" s="2190"/>
      <c r="FR63" s="2190"/>
      <c r="FS63" s="2190"/>
      <c r="FT63" s="2190"/>
      <c r="FU63" s="2190"/>
      <c r="FV63" s="2190"/>
      <c r="FW63" s="2190"/>
      <c r="FX63" s="2190"/>
      <c r="FY63" s="2190"/>
      <c r="FZ63" s="2190"/>
      <c r="GA63" s="2190"/>
      <c r="GB63" s="2190"/>
      <c r="GC63" s="2190"/>
      <c r="GD63" s="2190"/>
      <c r="GE63" s="2190"/>
      <c r="GF63" s="2190"/>
      <c r="GG63" s="2190"/>
      <c r="GH63" s="2190"/>
      <c r="GI63" s="2190"/>
      <c r="GJ63" s="2190"/>
      <c r="GK63" s="2190"/>
      <c r="GL63" s="2190"/>
      <c r="GM63" s="2190"/>
      <c r="GN63" s="2190"/>
      <c r="GO63" s="2190"/>
      <c r="GP63" s="2190"/>
      <c r="GQ63" s="2190"/>
      <c r="GR63" s="2190"/>
      <c r="GS63" s="2190"/>
      <c r="GT63" s="2190"/>
      <c r="GU63" s="2190"/>
      <c r="GV63" s="2190"/>
      <c r="GW63" s="2190"/>
      <c r="GX63" s="2190"/>
      <c r="GY63" s="2190"/>
      <c r="GZ63" s="2190"/>
      <c r="HA63" s="2190"/>
      <c r="HB63" s="2190"/>
      <c r="HC63" s="2190"/>
      <c r="HD63" s="2190"/>
      <c r="HE63" s="2190"/>
      <c r="HF63" s="2190"/>
      <c r="HG63" s="2190"/>
      <c r="HH63" s="2190"/>
      <c r="HI63" s="2190"/>
      <c r="HJ63" s="2190"/>
      <c r="HK63" s="2190"/>
      <c r="HL63" s="2190"/>
      <c r="HM63" s="2191"/>
      <c r="HN63" s="2185" t="s">
        <v>941</v>
      </c>
      <c r="HO63" s="2186"/>
      <c r="HP63" s="2186"/>
      <c r="HQ63" s="2186"/>
      <c r="HR63" s="2186"/>
      <c r="HS63" s="2186"/>
      <c r="HT63" s="2186"/>
      <c r="HU63" s="2186"/>
      <c r="HV63" s="2186"/>
      <c r="HW63" s="2186"/>
      <c r="HX63" s="2186"/>
      <c r="HY63" s="2186"/>
      <c r="HZ63" s="2186"/>
      <c r="IA63" s="2186"/>
      <c r="IB63" s="2186"/>
      <c r="IC63" s="2186"/>
      <c r="ID63" s="2186"/>
      <c r="IE63" s="2186"/>
      <c r="IF63" s="2186"/>
      <c r="IG63" s="2186"/>
      <c r="IH63" s="2186"/>
      <c r="II63" s="2186"/>
      <c r="IJ63" s="2186"/>
      <c r="IK63" s="2186"/>
      <c r="IL63" s="2186"/>
      <c r="IM63" s="2186"/>
      <c r="IN63" s="2186"/>
      <c r="IO63" s="2186"/>
      <c r="IP63" s="2186"/>
      <c r="IQ63" s="2186"/>
      <c r="IR63" s="2186"/>
      <c r="IS63" s="2186"/>
      <c r="IT63" s="2186"/>
      <c r="IU63" s="2186"/>
      <c r="IV63" s="2186"/>
      <c r="IW63" s="2186"/>
      <c r="IX63" s="2186"/>
      <c r="IY63" s="2186"/>
      <c r="IZ63" s="2186"/>
      <c r="JA63" s="2186"/>
      <c r="JB63" s="2186"/>
      <c r="JC63" s="2186"/>
      <c r="JD63" s="2186"/>
      <c r="JE63" s="2186"/>
      <c r="JF63" s="2186"/>
      <c r="JG63" s="2186"/>
      <c r="JH63" s="2186"/>
      <c r="JI63" s="2186"/>
      <c r="JJ63" s="2186"/>
      <c r="JK63" s="2186"/>
      <c r="JL63" s="2186"/>
      <c r="JM63" s="2186"/>
      <c r="JN63" s="2186"/>
      <c r="JO63" s="2186"/>
      <c r="JP63" s="2186"/>
      <c r="JQ63" s="2186"/>
      <c r="JR63" s="2186"/>
      <c r="JS63" s="2186"/>
      <c r="JT63" s="2186"/>
      <c r="JU63" s="2186"/>
      <c r="JV63" s="2186"/>
      <c r="JW63" s="2186"/>
      <c r="JX63" s="2186"/>
      <c r="JY63" s="2186"/>
      <c r="JZ63" s="2186"/>
      <c r="KA63" s="2186"/>
      <c r="KB63" s="2186"/>
      <c r="KC63" s="2186"/>
      <c r="KD63" s="2186"/>
      <c r="KE63" s="2186"/>
      <c r="KF63" s="2186"/>
      <c r="KG63" s="2186"/>
      <c r="KH63" s="2186"/>
      <c r="KI63" s="2186"/>
      <c r="KJ63" s="2186"/>
      <c r="KK63" s="2186"/>
      <c r="KL63" s="2186"/>
      <c r="KM63" s="2186"/>
      <c r="KN63" s="2186"/>
      <c r="KO63" s="2186"/>
      <c r="KP63" s="2186"/>
      <c r="KQ63" s="2186"/>
      <c r="KR63" s="2186"/>
      <c r="KS63" s="2186"/>
      <c r="KT63" s="2186"/>
      <c r="KU63" s="2186"/>
      <c r="KV63" s="2186"/>
      <c r="KW63" s="2186"/>
      <c r="KX63" s="2186"/>
      <c r="KY63" s="2186"/>
      <c r="KZ63" s="2186"/>
      <c r="LA63" s="2186"/>
      <c r="LB63" s="2186"/>
      <c r="LC63" s="2186"/>
      <c r="LD63" s="2186"/>
      <c r="LE63" s="2186"/>
      <c r="LF63" s="2186"/>
      <c r="LG63" s="2186"/>
      <c r="LH63" s="2186"/>
      <c r="LI63" s="2186"/>
      <c r="LJ63" s="2186"/>
      <c r="LK63" s="2186"/>
      <c r="LL63" s="2186"/>
      <c r="LM63" s="2186"/>
      <c r="LN63" s="2186"/>
      <c r="LO63" s="2186"/>
      <c r="LP63" s="2186"/>
      <c r="LQ63" s="2186"/>
      <c r="LR63" s="2186"/>
      <c r="LS63" s="2186"/>
      <c r="LT63" s="2186"/>
      <c r="LU63" s="2186"/>
      <c r="LV63" s="2186"/>
      <c r="LW63" s="2186"/>
      <c r="LX63" s="2186"/>
      <c r="LY63" s="2186"/>
      <c r="LZ63" s="2186"/>
      <c r="MA63" s="2186"/>
      <c r="MB63" s="2186"/>
      <c r="MC63" s="2186"/>
      <c r="MD63" s="330"/>
      <c r="ME63" s="330"/>
      <c r="MF63" s="330"/>
      <c r="MG63" s="330"/>
      <c r="MH63" s="330"/>
      <c r="MI63" s="330"/>
      <c r="MJ63" s="330"/>
      <c r="MK63" s="330"/>
      <c r="ML63" s="330"/>
      <c r="MM63" s="330"/>
      <c r="MN63" s="330"/>
      <c r="MO63" s="330"/>
      <c r="MP63" s="330"/>
      <c r="MQ63" s="330"/>
      <c r="MR63" s="330"/>
      <c r="MS63" s="330"/>
      <c r="MT63" s="330"/>
      <c r="MU63" s="330"/>
      <c r="MV63" s="330"/>
      <c r="MW63" s="330"/>
      <c r="MX63" s="330"/>
      <c r="MY63" s="330"/>
      <c r="MZ63" s="330"/>
      <c r="NA63" s="330"/>
      <c r="NB63" s="330"/>
      <c r="NC63" s="330"/>
      <c r="ND63" s="330"/>
      <c r="NE63" s="330"/>
      <c r="NF63" s="330"/>
      <c r="NG63" s="330"/>
      <c r="NH63" s="330"/>
      <c r="NI63" s="330"/>
      <c r="NJ63" s="330"/>
      <c r="NK63" s="330"/>
      <c r="NL63" s="330"/>
      <c r="NM63" s="330"/>
      <c r="NN63" s="330"/>
      <c r="NO63" s="330"/>
      <c r="NP63" s="330"/>
      <c r="NQ63" s="330"/>
      <c r="NR63" s="330"/>
      <c r="NS63" s="330"/>
      <c r="NT63" s="330"/>
      <c r="NU63" s="330"/>
      <c r="NV63" s="330"/>
      <c r="NW63" s="330"/>
      <c r="NX63" s="330"/>
      <c r="NY63" s="330"/>
      <c r="NZ63" s="330"/>
      <c r="OA63" s="330"/>
      <c r="OB63" s="330"/>
      <c r="OC63" s="330"/>
      <c r="OD63" s="330"/>
      <c r="OE63" s="330"/>
      <c r="OF63" s="330"/>
      <c r="OG63" s="330"/>
      <c r="OH63" s="330"/>
      <c r="OI63" s="330"/>
      <c r="OJ63" s="330"/>
      <c r="OK63" s="330"/>
    </row>
    <row r="64" spans="1:429" s="74" customFormat="1" ht="27.6" customHeight="1" thickBot="1">
      <c r="B64" s="2446" t="s">
        <v>332</v>
      </c>
      <c r="C64" s="2447"/>
      <c r="D64" s="2448"/>
      <c r="E64" s="1697"/>
      <c r="F64" s="1674"/>
      <c r="G64" s="1674"/>
      <c r="H64" s="1674"/>
      <c r="I64" s="1674"/>
      <c r="J64" s="1674"/>
      <c r="K64" s="1674"/>
      <c r="L64" s="1674"/>
      <c r="M64" s="1674"/>
      <c r="N64" s="1674"/>
      <c r="O64" s="1674"/>
      <c r="P64" s="1674"/>
      <c r="Q64" s="1674"/>
      <c r="R64" s="1674"/>
      <c r="S64" s="1674"/>
      <c r="T64" s="1674"/>
      <c r="U64" s="1674"/>
      <c r="V64" s="1674"/>
      <c r="W64" s="1674"/>
      <c r="X64" s="1674"/>
      <c r="Y64" s="1674"/>
      <c r="Z64" s="330"/>
      <c r="AA64" s="330"/>
      <c r="AB64" s="330"/>
      <c r="AC64" s="330"/>
      <c r="AD64" s="330"/>
      <c r="AE64" s="330"/>
      <c r="AF64" s="330"/>
      <c r="AG64" s="330"/>
      <c r="AH64" s="330"/>
      <c r="AI64" s="330"/>
      <c r="AJ64" s="330"/>
      <c r="AK64" s="330"/>
      <c r="AL64" s="330"/>
      <c r="AM64" s="330"/>
      <c r="AN64" s="330"/>
      <c r="AO64" s="330"/>
      <c r="AP64" s="330"/>
      <c r="AQ64" s="330"/>
      <c r="AR64" s="330"/>
      <c r="AS64" s="330"/>
      <c r="AT64" s="330"/>
      <c r="AU64" s="330"/>
      <c r="AV64" s="330"/>
      <c r="AW64" s="330"/>
      <c r="AX64" s="330"/>
      <c r="AY64" s="330"/>
      <c r="AZ64" s="330"/>
      <c r="BA64" s="330"/>
      <c r="BB64" s="330"/>
      <c r="BC64" s="330"/>
      <c r="BD64" s="330"/>
      <c r="BE64" s="330"/>
      <c r="BF64" s="330"/>
      <c r="BG64" s="330"/>
      <c r="BH64" s="330"/>
      <c r="BI64" s="330"/>
      <c r="BJ64" s="330"/>
      <c r="BK64" s="330"/>
      <c r="BL64" s="330"/>
      <c r="BM64" s="330"/>
      <c r="BN64" s="330"/>
      <c r="BO64" s="330"/>
      <c r="BP64" s="330"/>
      <c r="CW64" s="2159" t="s">
        <v>997</v>
      </c>
      <c r="CX64" s="2160"/>
      <c r="CY64" s="2161"/>
      <c r="CZ64" s="2162" t="s">
        <v>996</v>
      </c>
      <c r="DA64" s="2163"/>
      <c r="DB64" s="2163"/>
      <c r="DC64" s="2163"/>
      <c r="DD64" s="2163"/>
      <c r="DE64" s="2163"/>
      <c r="DF64" s="2163"/>
      <c r="DG64" s="2163"/>
      <c r="DH64" s="2163"/>
      <c r="DI64" s="2163"/>
      <c r="DJ64" s="2163"/>
      <c r="DK64" s="2163"/>
      <c r="DL64" s="2163"/>
      <c r="DM64" s="2163"/>
      <c r="DN64" s="2163"/>
      <c r="DO64" s="2163"/>
      <c r="DP64" s="2163"/>
      <c r="DQ64" s="2163"/>
      <c r="DR64" s="2164"/>
      <c r="EP64" s="2159" t="s">
        <v>1000</v>
      </c>
      <c r="EQ64" s="2160"/>
      <c r="ER64" s="2161"/>
      <c r="ES64" s="2162" t="s">
        <v>999</v>
      </c>
      <c r="ET64" s="2163"/>
      <c r="EU64" s="2163"/>
      <c r="EV64" s="2163"/>
      <c r="EW64" s="2163"/>
      <c r="EX64" s="2163"/>
      <c r="EY64" s="2164"/>
      <c r="FA64" s="2159" t="s">
        <v>1000</v>
      </c>
      <c r="FB64" s="2160"/>
      <c r="FC64" s="2161"/>
      <c r="FD64" s="2162" t="s">
        <v>1007</v>
      </c>
      <c r="FE64" s="2163"/>
      <c r="FF64" s="2163"/>
      <c r="FG64" s="2163"/>
      <c r="FH64" s="2163"/>
      <c r="FI64" s="2163"/>
      <c r="FJ64" s="2164"/>
      <c r="FO64" s="2159" t="s">
        <v>1010</v>
      </c>
      <c r="FP64" s="2160"/>
      <c r="FQ64" s="2161"/>
      <c r="FR64" s="2162" t="s">
        <v>1011</v>
      </c>
      <c r="FS64" s="2163"/>
      <c r="FT64" s="2163"/>
      <c r="FU64" s="2163"/>
      <c r="FV64" s="2163"/>
      <c r="FW64" s="2163"/>
      <c r="FX64" s="2164"/>
      <c r="GA64" s="2159" t="s">
        <v>1014</v>
      </c>
      <c r="GB64" s="2160"/>
      <c r="GC64" s="2161"/>
      <c r="GD64" s="2162" t="s">
        <v>1015</v>
      </c>
      <c r="GE64" s="2163"/>
      <c r="GF64" s="2163"/>
      <c r="GG64" s="2163"/>
      <c r="GH64" s="2163"/>
      <c r="GI64" s="2163"/>
      <c r="GJ64" s="2164"/>
      <c r="GO64" s="2159" t="s">
        <v>1017</v>
      </c>
      <c r="GP64" s="2160"/>
      <c r="GQ64" s="2161"/>
      <c r="GR64" s="2162" t="s">
        <v>1018</v>
      </c>
      <c r="GS64" s="2163"/>
      <c r="GT64" s="2163"/>
      <c r="GU64" s="2163"/>
      <c r="GV64" s="2163"/>
      <c r="GW64" s="2163"/>
      <c r="GX64" s="2164"/>
      <c r="GY64" s="2173" t="s">
        <v>1021</v>
      </c>
      <c r="GZ64" s="2174"/>
      <c r="HA64" s="2174"/>
      <c r="HB64" s="2174"/>
      <c r="HC64" s="2175"/>
      <c r="HF64" s="2159" t="s">
        <v>1023</v>
      </c>
      <c r="HG64" s="2160"/>
      <c r="HH64" s="2161"/>
      <c r="HI64" s="2162" t="s">
        <v>1025</v>
      </c>
      <c r="HJ64" s="2163"/>
      <c r="HK64" s="2163"/>
      <c r="HL64" s="2163"/>
      <c r="HM64" s="2163"/>
      <c r="HN64" s="2163"/>
      <c r="HO64" s="2164"/>
      <c r="HQ64" s="2159" t="s">
        <v>1024</v>
      </c>
      <c r="HR64" s="2160"/>
      <c r="HS64" s="2161"/>
      <c r="HT64" s="2162" t="s">
        <v>1025</v>
      </c>
      <c r="HU64" s="2163"/>
      <c r="HV64" s="2163"/>
      <c r="HW64" s="2163"/>
      <c r="HX64" s="2163"/>
      <c r="HY64" s="2163"/>
      <c r="HZ64" s="2164"/>
      <c r="IB64" s="2159" t="s">
        <v>1026</v>
      </c>
      <c r="IC64" s="2160"/>
      <c r="ID64" s="2161"/>
      <c r="IE64" s="2162" t="s">
        <v>1025</v>
      </c>
      <c r="IF64" s="2163"/>
      <c r="IG64" s="2163"/>
      <c r="IH64" s="2163"/>
      <c r="II64" s="2163"/>
      <c r="IJ64" s="2163"/>
      <c r="IK64" s="2164"/>
      <c r="IM64" s="2159" t="s">
        <v>1027</v>
      </c>
      <c r="IN64" s="2160"/>
      <c r="IO64" s="2161"/>
      <c r="IP64" s="2162" t="s">
        <v>1025</v>
      </c>
      <c r="IQ64" s="2163"/>
      <c r="IR64" s="2163"/>
      <c r="IS64" s="2163"/>
      <c r="IT64" s="2163"/>
      <c r="IU64" s="2163"/>
      <c r="IV64" s="2164"/>
      <c r="IX64" s="2159" t="s">
        <v>1028</v>
      </c>
      <c r="IY64" s="2160"/>
      <c r="IZ64" s="2161"/>
      <c r="JA64" s="2162" t="s">
        <v>1025</v>
      </c>
      <c r="JB64" s="2163"/>
      <c r="JC64" s="2163"/>
      <c r="JD64" s="2163"/>
      <c r="JE64" s="2163"/>
      <c r="JF64" s="2163"/>
      <c r="JG64" s="2164"/>
      <c r="JH64" s="2173" t="s">
        <v>1021</v>
      </c>
      <c r="JI64" s="2174"/>
      <c r="JJ64" s="2174"/>
      <c r="JK64" s="2174"/>
      <c r="JL64" s="2175"/>
      <c r="JO64" s="2159" t="s">
        <v>1035</v>
      </c>
      <c r="JP64" s="2160"/>
      <c r="JQ64" s="2161"/>
      <c r="JR64" s="2162" t="s">
        <v>1034</v>
      </c>
      <c r="JS64" s="2163"/>
      <c r="JT64" s="2163"/>
      <c r="JU64" s="2163"/>
      <c r="JV64" s="2163"/>
      <c r="JW64" s="2163"/>
      <c r="JX64" s="2164"/>
      <c r="KA64" s="2159" t="s">
        <v>1038</v>
      </c>
      <c r="KB64" s="2160"/>
      <c r="KC64" s="2161"/>
      <c r="KD64" s="2162" t="s">
        <v>1043</v>
      </c>
      <c r="KE64" s="2163"/>
      <c r="KF64" s="2163"/>
      <c r="KG64" s="2163"/>
      <c r="KH64" s="2163"/>
      <c r="KI64" s="2163"/>
      <c r="KJ64" s="2164"/>
      <c r="KM64" s="2159" t="s">
        <v>1039</v>
      </c>
      <c r="KN64" s="2160"/>
      <c r="KO64" s="2161"/>
      <c r="KP64" s="2162" t="s">
        <v>1043</v>
      </c>
      <c r="KQ64" s="2163"/>
      <c r="KR64" s="2163"/>
      <c r="KS64" s="2163"/>
      <c r="KT64" s="2163"/>
      <c r="KU64" s="2163"/>
      <c r="KV64" s="2164"/>
      <c r="KY64" s="2159" t="s">
        <v>1040</v>
      </c>
      <c r="KZ64" s="2160"/>
      <c r="LA64" s="2161"/>
      <c r="LB64" s="2162" t="s">
        <v>1043</v>
      </c>
      <c r="LC64" s="2163"/>
      <c r="LD64" s="2163"/>
      <c r="LE64" s="2163"/>
      <c r="LF64" s="2163"/>
      <c r="LG64" s="2163"/>
      <c r="LH64" s="2164"/>
      <c r="LK64" s="2159" t="s">
        <v>1041</v>
      </c>
      <c r="LL64" s="2160"/>
      <c r="LM64" s="2161"/>
      <c r="LN64" s="2162" t="s">
        <v>1042</v>
      </c>
      <c r="LO64" s="2163"/>
      <c r="LP64" s="2163"/>
      <c r="LQ64" s="2163"/>
      <c r="LR64" s="2163"/>
      <c r="LS64" s="2163"/>
      <c r="LT64" s="2164"/>
      <c r="MC64" s="330"/>
      <c r="MD64" s="330"/>
      <c r="ME64" s="330"/>
      <c r="MF64" s="330"/>
      <c r="MG64" s="330"/>
      <c r="MH64" s="330"/>
      <c r="MI64" s="330"/>
      <c r="MJ64" s="330"/>
      <c r="MK64" s="330"/>
      <c r="ML64" s="330"/>
      <c r="MM64" s="330"/>
      <c r="MN64" s="330"/>
      <c r="MO64" s="330"/>
      <c r="MP64" s="330"/>
      <c r="MQ64" s="330"/>
      <c r="MR64" s="330"/>
      <c r="MS64" s="330"/>
      <c r="MT64" s="330"/>
      <c r="MU64" s="330"/>
      <c r="MV64" s="330"/>
      <c r="MW64" s="330"/>
      <c r="MX64" s="330"/>
      <c r="MY64" s="330"/>
      <c r="MZ64" s="330"/>
      <c r="NA64" s="330"/>
      <c r="NB64" s="330"/>
      <c r="NC64" s="330"/>
      <c r="ND64" s="330"/>
      <c r="NE64" s="330"/>
      <c r="NF64" s="330"/>
      <c r="NG64" s="330"/>
      <c r="NH64" s="330"/>
      <c r="NI64" s="330"/>
      <c r="NJ64" s="330"/>
      <c r="NK64" s="330"/>
      <c r="NL64" s="330"/>
      <c r="NM64" s="330"/>
      <c r="NN64" s="330"/>
      <c r="NO64" s="330"/>
      <c r="NP64" s="330"/>
      <c r="NQ64" s="330"/>
      <c r="NR64" s="330"/>
      <c r="NS64" s="330"/>
      <c r="NT64" s="330"/>
      <c r="NU64" s="330"/>
      <c r="NV64" s="330"/>
      <c r="NW64" s="330"/>
      <c r="NX64" s="330"/>
      <c r="NY64" s="330"/>
      <c r="NZ64" s="330"/>
      <c r="OA64" s="330"/>
      <c r="OB64" s="330"/>
      <c r="OC64" s="330"/>
      <c r="OD64" s="330"/>
      <c r="OE64" s="330"/>
      <c r="OF64" s="330"/>
      <c r="OG64" s="330"/>
      <c r="OH64" s="330"/>
      <c r="OI64" s="330"/>
      <c r="OJ64" s="330"/>
      <c r="OK64" s="330"/>
      <c r="OL64" s="330"/>
      <c r="OM64" s="330"/>
      <c r="ON64" s="330"/>
      <c r="OO64" s="330"/>
      <c r="OP64" s="330"/>
      <c r="OQ64" s="330"/>
      <c r="OR64" s="330"/>
      <c r="OS64" s="330"/>
      <c r="OT64" s="330"/>
      <c r="OU64" s="330"/>
      <c r="OV64" s="330"/>
      <c r="OW64" s="330"/>
      <c r="OX64" s="330"/>
      <c r="OY64" s="330"/>
      <c r="OZ64" s="330"/>
      <c r="PA64" s="330"/>
      <c r="PB64" s="330"/>
      <c r="PC64" s="330"/>
      <c r="PD64" s="330"/>
      <c r="PE64" s="330"/>
      <c r="PF64" s="330"/>
      <c r="PG64" s="330"/>
      <c r="PH64" s="330"/>
      <c r="PI64" s="330"/>
      <c r="PJ64" s="330"/>
      <c r="PK64" s="330"/>
      <c r="PL64" s="330"/>
      <c r="PM64" s="330"/>
    </row>
    <row r="65" spans="1:665" s="74" customFormat="1" ht="27.6" customHeight="1">
      <c r="B65" s="2449"/>
      <c r="C65" s="2450"/>
      <c r="D65" s="2451"/>
      <c r="E65" s="1694"/>
      <c r="F65" s="1674"/>
      <c r="G65" s="1674"/>
      <c r="H65" s="1674"/>
      <c r="I65" s="1674"/>
      <c r="J65" s="1674"/>
      <c r="K65" s="1674"/>
      <c r="L65" s="1674"/>
      <c r="M65" s="1674"/>
      <c r="N65" s="1674"/>
      <c r="O65" s="1674"/>
      <c r="P65" s="1674"/>
      <c r="Q65" s="1674"/>
      <c r="R65" s="1674"/>
      <c r="S65" s="1674"/>
      <c r="T65" s="1674"/>
      <c r="U65" s="1674"/>
      <c r="V65" s="1674"/>
      <c r="W65" s="1674"/>
      <c r="X65" s="1674"/>
      <c r="Y65" s="1674"/>
      <c r="Z65" s="1633"/>
      <c r="AA65" s="330"/>
      <c r="AB65" s="330"/>
      <c r="AC65" s="330"/>
      <c r="AD65" s="330"/>
      <c r="AE65" s="330"/>
      <c r="AF65" s="330"/>
      <c r="AG65" s="330"/>
      <c r="AH65" s="330"/>
      <c r="AI65" s="330"/>
      <c r="AJ65" s="330"/>
      <c r="AK65" s="1634"/>
      <c r="CW65" s="2165" t="s">
        <v>998</v>
      </c>
      <c r="CX65" s="2166"/>
      <c r="CY65" s="2166"/>
      <c r="CZ65" s="2166"/>
      <c r="DA65" s="2166"/>
      <c r="DB65" s="2166"/>
      <c r="DC65" s="2166"/>
      <c r="DD65" s="2166"/>
      <c r="DE65" s="2166"/>
      <c r="DF65" s="2166"/>
      <c r="DG65" s="2166"/>
      <c r="DH65" s="2166"/>
      <c r="DI65" s="2166"/>
      <c r="DJ65" s="2166"/>
      <c r="DK65" s="2166"/>
      <c r="DL65" s="2166"/>
      <c r="DM65" s="2166"/>
      <c r="DN65" s="2166"/>
      <c r="DO65" s="2166"/>
      <c r="DP65" s="2166"/>
      <c r="DQ65" s="2166"/>
      <c r="DR65" s="2167"/>
      <c r="EP65" s="2165" t="s">
        <v>998</v>
      </c>
      <c r="EQ65" s="2166"/>
      <c r="ER65" s="2166"/>
      <c r="ES65" s="2166"/>
      <c r="ET65" s="2166"/>
      <c r="EU65" s="2166"/>
      <c r="EV65" s="2166"/>
      <c r="EW65" s="2166"/>
      <c r="EX65" s="2166"/>
      <c r="EY65" s="2167"/>
      <c r="FA65" s="2165" t="s">
        <v>998</v>
      </c>
      <c r="FB65" s="2166"/>
      <c r="FC65" s="2166"/>
      <c r="FD65" s="2166"/>
      <c r="FE65" s="2166"/>
      <c r="FF65" s="2166"/>
      <c r="FG65" s="2166"/>
      <c r="FH65" s="2166"/>
      <c r="FI65" s="2166"/>
      <c r="FJ65" s="2167"/>
      <c r="FO65" s="2165" t="s">
        <v>998</v>
      </c>
      <c r="FP65" s="2166"/>
      <c r="FQ65" s="2166"/>
      <c r="FR65" s="2166"/>
      <c r="FS65" s="2166"/>
      <c r="FT65" s="2166"/>
      <c r="FU65" s="2166"/>
      <c r="FV65" s="2166"/>
      <c r="FW65" s="2166"/>
      <c r="FX65" s="2167"/>
      <c r="GA65" s="2165" t="s">
        <v>998</v>
      </c>
      <c r="GB65" s="2166"/>
      <c r="GC65" s="2166"/>
      <c r="GD65" s="2166"/>
      <c r="GE65" s="2166"/>
      <c r="GF65" s="2166"/>
      <c r="GG65" s="2166"/>
      <c r="GH65" s="2166"/>
      <c r="GI65" s="2166"/>
      <c r="GJ65" s="2167"/>
      <c r="GO65" s="2165" t="s">
        <v>998</v>
      </c>
      <c r="GP65" s="2166"/>
      <c r="GQ65" s="2166"/>
      <c r="GR65" s="2166"/>
      <c r="GS65" s="2166"/>
      <c r="GT65" s="2166"/>
      <c r="GU65" s="2166"/>
      <c r="GV65" s="2166"/>
      <c r="GW65" s="2166"/>
      <c r="GX65" s="2167"/>
      <c r="GY65" s="2176"/>
      <c r="GZ65" s="2177"/>
      <c r="HA65" s="2177"/>
      <c r="HB65" s="2177"/>
      <c r="HC65" s="2178"/>
      <c r="HF65" s="2165" t="s">
        <v>998</v>
      </c>
      <c r="HG65" s="2166"/>
      <c r="HH65" s="2166"/>
      <c r="HI65" s="2166"/>
      <c r="HJ65" s="2166"/>
      <c r="HK65" s="2166"/>
      <c r="HL65" s="2166"/>
      <c r="HM65" s="2166"/>
      <c r="HN65" s="2166"/>
      <c r="HO65" s="2167"/>
      <c r="HQ65" s="2165" t="s">
        <v>998</v>
      </c>
      <c r="HR65" s="2166"/>
      <c r="HS65" s="2166"/>
      <c r="HT65" s="2166"/>
      <c r="HU65" s="2166"/>
      <c r="HV65" s="2166"/>
      <c r="HW65" s="2166"/>
      <c r="HX65" s="2166"/>
      <c r="HY65" s="2166"/>
      <c r="HZ65" s="2167"/>
      <c r="IB65" s="2165" t="s">
        <v>998</v>
      </c>
      <c r="IC65" s="2166"/>
      <c r="ID65" s="2166"/>
      <c r="IE65" s="2166"/>
      <c r="IF65" s="2166"/>
      <c r="IG65" s="2166"/>
      <c r="IH65" s="2166"/>
      <c r="II65" s="2166"/>
      <c r="IJ65" s="2166"/>
      <c r="IK65" s="2167"/>
      <c r="IM65" s="2165" t="s">
        <v>998</v>
      </c>
      <c r="IN65" s="2166"/>
      <c r="IO65" s="2166"/>
      <c r="IP65" s="2166"/>
      <c r="IQ65" s="2166"/>
      <c r="IR65" s="2166"/>
      <c r="IS65" s="2166"/>
      <c r="IT65" s="2166"/>
      <c r="IU65" s="2166"/>
      <c r="IV65" s="2167"/>
      <c r="IX65" s="2165" t="s">
        <v>998</v>
      </c>
      <c r="IY65" s="2166"/>
      <c r="IZ65" s="2166"/>
      <c r="JA65" s="2166"/>
      <c r="JB65" s="2166"/>
      <c r="JC65" s="2166"/>
      <c r="JD65" s="2166"/>
      <c r="JE65" s="2166"/>
      <c r="JF65" s="2166"/>
      <c r="JG65" s="2167"/>
      <c r="JH65" s="2176"/>
      <c r="JI65" s="2177"/>
      <c r="JJ65" s="2177"/>
      <c r="JK65" s="2177"/>
      <c r="JL65" s="2178"/>
      <c r="JO65" s="2165" t="s">
        <v>998</v>
      </c>
      <c r="JP65" s="2166"/>
      <c r="JQ65" s="2166"/>
      <c r="JR65" s="2166"/>
      <c r="JS65" s="2166"/>
      <c r="JT65" s="2166"/>
      <c r="JU65" s="2166"/>
      <c r="JV65" s="2166"/>
      <c r="JW65" s="2166"/>
      <c r="JX65" s="2167"/>
      <c r="KA65" s="2165" t="s">
        <v>998</v>
      </c>
      <c r="KB65" s="2166"/>
      <c r="KC65" s="2166"/>
      <c r="KD65" s="2166"/>
      <c r="KE65" s="2166"/>
      <c r="KF65" s="2166"/>
      <c r="KG65" s="2166"/>
      <c r="KH65" s="2166"/>
      <c r="KI65" s="2166"/>
      <c r="KJ65" s="2167"/>
      <c r="KM65" s="2165" t="s">
        <v>998</v>
      </c>
      <c r="KN65" s="2166"/>
      <c r="KO65" s="2166"/>
      <c r="KP65" s="2166"/>
      <c r="KQ65" s="2166"/>
      <c r="KR65" s="2166"/>
      <c r="KS65" s="2166"/>
      <c r="KT65" s="2166"/>
      <c r="KU65" s="2166"/>
      <c r="KV65" s="2167"/>
      <c r="KY65" s="2165" t="s">
        <v>998</v>
      </c>
      <c r="KZ65" s="2166"/>
      <c r="LA65" s="2166"/>
      <c r="LB65" s="2166"/>
      <c r="LC65" s="2166"/>
      <c r="LD65" s="2166"/>
      <c r="LE65" s="2166"/>
      <c r="LF65" s="2166"/>
      <c r="LG65" s="2166"/>
      <c r="LH65" s="2167"/>
      <c r="LK65" s="2165" t="s">
        <v>998</v>
      </c>
      <c r="LL65" s="2166"/>
      <c r="LM65" s="2166"/>
      <c r="LN65" s="2166"/>
      <c r="LO65" s="2166"/>
      <c r="LP65" s="2166"/>
      <c r="LQ65" s="2166"/>
      <c r="LR65" s="2166"/>
      <c r="LS65" s="2166"/>
      <c r="LT65" s="2167"/>
      <c r="MC65" s="330"/>
      <c r="MD65" s="330"/>
      <c r="ME65" s="330"/>
      <c r="MF65" s="330"/>
      <c r="MG65" s="330"/>
      <c r="MH65" s="330"/>
      <c r="MI65" s="330"/>
      <c r="MJ65" s="330"/>
      <c r="MK65" s="330"/>
      <c r="ML65" s="330"/>
      <c r="MM65" s="330"/>
      <c r="MN65" s="330"/>
      <c r="MO65" s="330"/>
      <c r="MP65" s="330"/>
      <c r="MQ65" s="330"/>
      <c r="MR65" s="330"/>
      <c r="MS65" s="330"/>
      <c r="MT65" s="330"/>
      <c r="MU65" s="330"/>
      <c r="MV65" s="330"/>
      <c r="MW65" s="330"/>
      <c r="MX65" s="330"/>
      <c r="MY65" s="330"/>
      <c r="MZ65" s="330"/>
      <c r="NA65" s="330"/>
      <c r="NB65" s="330"/>
      <c r="NC65" s="330"/>
      <c r="ND65" s="330"/>
      <c r="NE65" s="330"/>
      <c r="NF65" s="330"/>
      <c r="NG65" s="330"/>
      <c r="NH65" s="330"/>
      <c r="NI65" s="330"/>
      <c r="NJ65" s="330"/>
      <c r="NK65" s="330"/>
      <c r="NL65" s="330"/>
      <c r="NM65" s="330"/>
      <c r="NN65" s="330"/>
      <c r="NO65" s="330"/>
      <c r="NP65" s="330"/>
      <c r="NQ65" s="330"/>
      <c r="NR65" s="330"/>
      <c r="NS65" s="330"/>
      <c r="NT65" s="330"/>
      <c r="NU65" s="330"/>
      <c r="NV65" s="330"/>
      <c r="NW65" s="330"/>
      <c r="NX65" s="330"/>
      <c r="NY65" s="330"/>
      <c r="NZ65" s="330"/>
      <c r="OA65" s="330"/>
      <c r="OB65" s="330"/>
      <c r="OC65" s="330"/>
      <c r="OD65" s="330"/>
      <c r="OE65" s="330"/>
      <c r="OF65" s="330"/>
      <c r="OG65" s="330"/>
      <c r="OH65" s="330"/>
      <c r="OI65" s="330"/>
      <c r="OJ65" s="330"/>
      <c r="OK65" s="330"/>
      <c r="OL65" s="330"/>
      <c r="OM65" s="330"/>
      <c r="ON65" s="330"/>
      <c r="OO65" s="330"/>
      <c r="OP65" s="330"/>
      <c r="OQ65" s="330"/>
      <c r="OR65" s="330"/>
      <c r="OS65" s="330"/>
      <c r="OT65" s="330"/>
      <c r="OU65" s="330"/>
      <c r="OV65" s="330"/>
      <c r="OW65" s="330"/>
      <c r="OX65" s="330"/>
      <c r="OY65" s="330"/>
      <c r="OZ65" s="330"/>
      <c r="PA65" s="330"/>
      <c r="PB65" s="330"/>
      <c r="PC65" s="330"/>
      <c r="PD65" s="330"/>
      <c r="PE65" s="330"/>
      <c r="PF65" s="330"/>
      <c r="PG65" s="330"/>
      <c r="PH65" s="330"/>
      <c r="PI65" s="330"/>
      <c r="PJ65" s="330"/>
      <c r="PK65" s="330"/>
      <c r="PL65" s="330"/>
      <c r="PM65" s="330"/>
    </row>
    <row r="66" spans="1:665" s="74" customFormat="1" ht="27.6" customHeight="1">
      <c r="B66" s="332"/>
      <c r="C66" s="332"/>
      <c r="D66" s="332"/>
      <c r="E66" s="1694"/>
      <c r="F66" s="1674"/>
      <c r="G66" s="1674"/>
      <c r="H66" s="1674"/>
      <c r="I66" s="1674"/>
      <c r="J66" s="1674"/>
      <c r="K66" s="1674"/>
      <c r="L66" s="1674"/>
      <c r="M66" s="1674"/>
      <c r="N66" s="1674"/>
      <c r="O66" s="1674"/>
      <c r="P66" s="1674"/>
      <c r="Q66" s="1674"/>
      <c r="R66" s="1674"/>
      <c r="S66" s="1674"/>
      <c r="T66" s="1674"/>
      <c r="U66" s="1674"/>
      <c r="V66" s="1674"/>
      <c r="W66" s="1674"/>
      <c r="X66" s="1674"/>
      <c r="Y66" s="1674"/>
      <c r="Z66" s="1634"/>
      <c r="AK66" s="1634"/>
      <c r="FR66" s="2192" t="s">
        <v>1019</v>
      </c>
      <c r="FS66" s="2193"/>
      <c r="FT66" s="2193"/>
      <c r="FU66" s="2193"/>
      <c r="FV66" s="2193"/>
      <c r="FW66" s="2193"/>
      <c r="FX66" s="2193"/>
      <c r="FY66" s="2193"/>
      <c r="FZ66" s="2193"/>
      <c r="GA66" s="2193"/>
      <c r="GB66" s="2193"/>
      <c r="GC66" s="2193"/>
      <c r="GD66" s="2193"/>
      <c r="GE66" s="2193"/>
      <c r="GF66" s="2193"/>
      <c r="GG66" s="2193"/>
      <c r="GH66" s="2193"/>
      <c r="GI66" s="2193"/>
      <c r="GJ66" s="2193"/>
      <c r="GK66" s="2193"/>
      <c r="GL66" s="2193"/>
      <c r="GM66" s="2193"/>
      <c r="GN66" s="2193"/>
      <c r="GO66" s="2193"/>
      <c r="GP66" s="2193"/>
      <c r="GQ66" s="2193"/>
      <c r="GR66" s="2193"/>
      <c r="GS66" s="2193"/>
      <c r="GT66" s="2193"/>
      <c r="GU66" s="2193"/>
      <c r="GV66" s="2193"/>
      <c r="GW66" s="2193"/>
      <c r="GX66" s="2193"/>
      <c r="GY66" s="2193"/>
      <c r="GZ66" s="2193"/>
      <c r="HA66" s="2193"/>
      <c r="HB66" s="2194"/>
      <c r="LZ66" s="330"/>
      <c r="MA66" s="330"/>
      <c r="MB66" s="330"/>
      <c r="MC66" s="330"/>
      <c r="MD66" s="330"/>
      <c r="ME66" s="330"/>
      <c r="MF66" s="330"/>
      <c r="MG66" s="330"/>
      <c r="MH66" s="330"/>
      <c r="MI66" s="330"/>
      <c r="MJ66" s="330"/>
      <c r="MK66" s="330"/>
      <c r="ML66" s="330"/>
      <c r="MM66" s="330"/>
      <c r="MN66" s="330"/>
      <c r="MO66" s="330"/>
      <c r="MP66" s="330"/>
      <c r="MQ66" s="330"/>
      <c r="MR66" s="330"/>
      <c r="MS66" s="330"/>
      <c r="MT66" s="330"/>
      <c r="MU66" s="330"/>
      <c r="MV66" s="330"/>
      <c r="MW66" s="330"/>
      <c r="MX66" s="330"/>
      <c r="MY66" s="330"/>
      <c r="MZ66" s="330"/>
      <c r="NA66" s="330"/>
      <c r="NB66" s="330"/>
      <c r="NC66" s="330"/>
      <c r="ND66" s="330"/>
      <c r="NE66" s="330"/>
      <c r="NF66" s="330"/>
      <c r="NG66" s="330"/>
      <c r="NH66" s="330"/>
      <c r="NI66" s="330"/>
      <c r="NJ66" s="330"/>
      <c r="NK66" s="330"/>
      <c r="NL66" s="330"/>
      <c r="NM66" s="330"/>
      <c r="NN66" s="330"/>
      <c r="NO66" s="330"/>
      <c r="NP66" s="330"/>
      <c r="NQ66" s="330"/>
      <c r="NR66" s="330"/>
      <c r="NS66" s="330"/>
      <c r="NT66" s="330"/>
      <c r="NU66" s="330"/>
      <c r="NV66" s="330"/>
      <c r="NW66" s="330"/>
      <c r="NX66" s="330"/>
      <c r="NY66" s="330"/>
      <c r="NZ66" s="330"/>
      <c r="OA66" s="330"/>
      <c r="OB66" s="330"/>
      <c r="OC66" s="330"/>
      <c r="OD66" s="330"/>
      <c r="OE66" s="330"/>
      <c r="OF66" s="330"/>
      <c r="OG66" s="330"/>
      <c r="OH66" s="330"/>
      <c r="OI66" s="330"/>
      <c r="OJ66" s="330"/>
      <c r="OK66" s="330"/>
      <c r="OL66" s="330"/>
      <c r="OM66" s="330"/>
      <c r="ON66" s="330"/>
      <c r="OO66" s="330"/>
      <c r="OP66" s="330"/>
      <c r="OQ66" s="330"/>
      <c r="OR66" s="330"/>
      <c r="OS66" s="330"/>
      <c r="OT66" s="330"/>
      <c r="OU66" s="330"/>
      <c r="OV66" s="330"/>
      <c r="OW66" s="330"/>
      <c r="OX66" s="330"/>
      <c r="OY66" s="330"/>
      <c r="OZ66" s="330"/>
      <c r="PA66" s="330"/>
      <c r="PB66" s="330"/>
      <c r="PC66" s="330"/>
      <c r="PD66" s="330"/>
      <c r="PE66" s="330"/>
      <c r="PF66" s="330"/>
      <c r="PG66" s="330"/>
      <c r="PH66" s="330"/>
      <c r="PI66" s="330"/>
      <c r="PJ66" s="330"/>
      <c r="PK66" s="330"/>
      <c r="PL66" s="330"/>
      <c r="PM66" s="330"/>
      <c r="PN66" s="330"/>
      <c r="PO66" s="330"/>
      <c r="PP66" s="330"/>
      <c r="PQ66" s="330"/>
      <c r="PR66" s="330"/>
      <c r="PS66" s="330"/>
      <c r="PT66" s="330"/>
      <c r="PU66" s="330"/>
      <c r="PV66" s="330"/>
      <c r="PW66" s="330"/>
      <c r="PX66" s="330"/>
      <c r="PY66" s="330"/>
    </row>
    <row r="67" spans="1:665" s="74" customFormat="1" ht="27.6" customHeight="1">
      <c r="B67" s="134"/>
      <c r="C67" s="134"/>
      <c r="D67" s="134"/>
      <c r="E67" s="1694"/>
      <c r="F67" s="1674"/>
      <c r="G67" s="1674"/>
      <c r="H67" s="1674"/>
      <c r="I67" s="1674"/>
      <c r="J67" s="1674"/>
      <c r="K67" s="1674"/>
      <c r="L67" s="1674"/>
      <c r="M67" s="1674"/>
      <c r="N67" s="1674"/>
      <c r="O67" s="1674"/>
      <c r="P67" s="1674"/>
      <c r="Q67" s="1674"/>
      <c r="R67" s="1674"/>
      <c r="S67" s="1674"/>
      <c r="T67" s="1674"/>
      <c r="U67" s="1674"/>
      <c r="V67" s="1674"/>
      <c r="W67" s="1674"/>
      <c r="X67" s="1674"/>
      <c r="Y67" s="1674"/>
      <c r="Z67" s="1634"/>
      <c r="AK67" s="1634"/>
      <c r="FR67" s="2195"/>
      <c r="FS67" s="2196"/>
      <c r="FT67" s="2196"/>
      <c r="FU67" s="2196"/>
      <c r="FV67" s="2196"/>
      <c r="FW67" s="2196"/>
      <c r="FX67" s="2196"/>
      <c r="FY67" s="2196"/>
      <c r="FZ67" s="2196"/>
      <c r="GA67" s="2196"/>
      <c r="GB67" s="2196"/>
      <c r="GC67" s="2196"/>
      <c r="GD67" s="2196"/>
      <c r="GE67" s="2196"/>
      <c r="GF67" s="2196"/>
      <c r="GG67" s="2196"/>
      <c r="GH67" s="2196"/>
      <c r="GI67" s="2196"/>
      <c r="GJ67" s="2196"/>
      <c r="GK67" s="2196"/>
      <c r="GL67" s="2196"/>
      <c r="GM67" s="2196"/>
      <c r="GN67" s="2196"/>
      <c r="GO67" s="2196"/>
      <c r="GP67" s="2196"/>
      <c r="GQ67" s="2196"/>
      <c r="GR67" s="2196"/>
      <c r="GS67" s="2196"/>
      <c r="GT67" s="2196"/>
      <c r="GU67" s="2196"/>
      <c r="GV67" s="2196"/>
      <c r="GW67" s="2196"/>
      <c r="GX67" s="2196"/>
      <c r="GY67" s="2196"/>
      <c r="GZ67" s="2196"/>
      <c r="HA67" s="2196"/>
      <c r="HB67" s="2197"/>
      <c r="LZ67" s="330"/>
      <c r="MA67" s="330"/>
      <c r="MB67" s="330"/>
      <c r="MC67" s="330"/>
      <c r="MD67" s="330"/>
      <c r="ME67" s="330"/>
      <c r="MF67" s="330"/>
      <c r="MG67" s="330"/>
      <c r="MH67" s="330"/>
      <c r="MI67" s="330"/>
      <c r="MJ67" s="330"/>
      <c r="MK67" s="330"/>
      <c r="ML67" s="330"/>
      <c r="MM67" s="330"/>
      <c r="MN67" s="330"/>
      <c r="MO67" s="330"/>
      <c r="MP67" s="330"/>
      <c r="MQ67" s="330"/>
      <c r="MR67" s="330"/>
      <c r="MS67" s="330"/>
      <c r="MT67" s="330"/>
      <c r="MU67" s="330"/>
      <c r="MV67" s="330"/>
      <c r="MW67" s="330"/>
      <c r="MX67" s="330"/>
      <c r="MY67" s="330"/>
      <c r="MZ67" s="330"/>
      <c r="NA67" s="330"/>
      <c r="NB67" s="330"/>
      <c r="NC67" s="330"/>
      <c r="ND67" s="330"/>
      <c r="NE67" s="330"/>
      <c r="NF67" s="330"/>
      <c r="NG67" s="330"/>
      <c r="NH67" s="330"/>
      <c r="NI67" s="330"/>
      <c r="NJ67" s="330"/>
      <c r="NK67" s="330"/>
      <c r="NL67" s="330"/>
      <c r="NM67" s="330"/>
      <c r="NN67" s="330"/>
      <c r="NO67" s="330"/>
      <c r="NP67" s="330"/>
      <c r="NQ67" s="330"/>
      <c r="NR67" s="330"/>
      <c r="NS67" s="330"/>
      <c r="NT67" s="330"/>
      <c r="NU67" s="330"/>
      <c r="NV67" s="330"/>
      <c r="NW67" s="330"/>
    </row>
    <row r="68" spans="1:665" s="32" customFormat="1" ht="27.6" customHeight="1">
      <c r="A68" s="32">
        <f ca="1">A68:KT84</f>
        <v>0</v>
      </c>
      <c r="B68" s="2429" t="s">
        <v>49</v>
      </c>
      <c r="C68" s="2430"/>
      <c r="D68" s="1619">
        <f>D2</f>
        <v>44223</v>
      </c>
      <c r="E68" s="1694"/>
      <c r="F68" s="1631">
        <v>0</v>
      </c>
      <c r="G68" s="1640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1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" customHeight="1">
      <c r="A69" s="3"/>
      <c r="B69" s="3"/>
      <c r="C69" s="3"/>
      <c r="D69" s="1615"/>
      <c r="E69" s="1695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</row>
    <row r="70" spans="1:665" s="40" customFormat="1" ht="27.6" customHeight="1">
      <c r="A70" s="508"/>
      <c r="B70" s="508"/>
      <c r="C70" s="508"/>
      <c r="D70" s="1618"/>
      <c r="E70" s="1618"/>
      <c r="F70" s="1700"/>
      <c r="G70" s="1700"/>
      <c r="H70" s="1700"/>
      <c r="I70" s="1700"/>
      <c r="J70" s="1700"/>
      <c r="K70" s="1700"/>
      <c r="L70" s="1700"/>
      <c r="M70" s="1700"/>
      <c r="N70" s="1700"/>
      <c r="O70" s="1700"/>
      <c r="P70" s="1700"/>
      <c r="Q70" s="1700"/>
      <c r="R70" s="1700"/>
      <c r="S70" s="1700"/>
      <c r="T70" s="1700"/>
      <c r="U70" s="1700"/>
      <c r="V70" s="1700"/>
      <c r="W70" s="1700"/>
      <c r="X70" s="1700"/>
      <c r="Y70" s="1700"/>
      <c r="Z70" s="1700"/>
      <c r="AA70" s="1700"/>
      <c r="AB70" s="1700"/>
      <c r="AC70" s="1700"/>
      <c r="AD70" s="1700"/>
      <c r="AE70" s="1700"/>
      <c r="AF70" s="1700"/>
      <c r="AG70" s="1700"/>
      <c r="AH70" s="1700"/>
      <c r="AI70" s="1700"/>
      <c r="AJ70" s="1700"/>
      <c r="AK70" s="1700"/>
      <c r="AL70" s="1700"/>
      <c r="AM70" s="1700"/>
      <c r="AN70" s="1700"/>
      <c r="AO70" s="1700"/>
      <c r="BZ70" s="2291" t="s">
        <v>486</v>
      </c>
      <c r="CA70" s="2292"/>
      <c r="CB70" s="2292"/>
      <c r="CC70" s="2292"/>
      <c r="CD70" s="2292"/>
      <c r="CE70" s="2292"/>
      <c r="CF70" s="2292"/>
      <c r="CG70" s="2292"/>
      <c r="CH70" s="2292"/>
      <c r="CI70" s="2292"/>
      <c r="CJ70" s="2292"/>
      <c r="CK70" s="2292"/>
      <c r="CL70" s="2292"/>
      <c r="CM70" s="2292"/>
      <c r="CN70" s="2292"/>
      <c r="CO70" s="2292"/>
      <c r="CP70" s="2292"/>
      <c r="CQ70" s="2292"/>
      <c r="CR70" s="2292"/>
      <c r="CS70" s="2292"/>
      <c r="CT70" s="2292"/>
      <c r="CU70" s="2292"/>
      <c r="CV70" s="2292"/>
      <c r="CW70" s="2292"/>
      <c r="CX70" s="2292"/>
      <c r="CY70" s="2292"/>
      <c r="CZ70" s="2292"/>
      <c r="DA70" s="2292"/>
      <c r="DB70" s="2292"/>
      <c r="DC70" s="2292"/>
      <c r="DD70" s="2292"/>
      <c r="DE70" s="2292"/>
      <c r="DF70" s="2292"/>
      <c r="DG70" s="2292"/>
      <c r="DH70" s="2292"/>
      <c r="DI70" s="2292"/>
      <c r="DJ70" s="2292"/>
      <c r="DK70" s="2292"/>
      <c r="DL70" s="2292"/>
      <c r="DM70" s="2292"/>
      <c r="DN70" s="2292"/>
      <c r="DO70" s="2292"/>
      <c r="DP70" s="2292"/>
      <c r="DQ70" s="2292"/>
      <c r="DR70" s="2292"/>
      <c r="DS70" s="2292"/>
      <c r="DT70" s="2292"/>
      <c r="DU70" s="2292"/>
      <c r="DV70" s="2292"/>
      <c r="DW70" s="2292"/>
      <c r="DX70" s="2292"/>
      <c r="DY70" s="2292"/>
      <c r="DZ70" s="2292"/>
      <c r="EA70" s="2292"/>
      <c r="EB70" s="2292"/>
      <c r="EC70" s="2292"/>
      <c r="ED70" s="2292"/>
      <c r="EE70" s="2292"/>
      <c r="EF70" s="2292"/>
      <c r="EG70" s="2292"/>
      <c r="EH70" s="2292"/>
      <c r="EI70" s="2292"/>
      <c r="EJ70" s="2292"/>
      <c r="EK70" s="2292"/>
      <c r="EL70" s="2292"/>
      <c r="EM70" s="2292"/>
      <c r="EN70" s="2292"/>
      <c r="EO70" s="2292"/>
      <c r="EP70" s="2292"/>
      <c r="EQ70" s="2292"/>
      <c r="ER70" s="2292"/>
      <c r="ES70" s="2292"/>
      <c r="ET70" s="2292"/>
      <c r="EU70" s="2292"/>
      <c r="EV70" s="2292"/>
      <c r="EW70" s="2292"/>
      <c r="EX70" s="2292"/>
      <c r="EY70" s="2292"/>
      <c r="EZ70" s="2292"/>
      <c r="FA70" s="2292"/>
      <c r="FB70" s="2292"/>
      <c r="FC70" s="2292"/>
      <c r="FD70" s="2292"/>
      <c r="FE70" s="2292"/>
      <c r="FF70" s="2292"/>
      <c r="FG70" s="2292"/>
      <c r="FH70" s="2292"/>
      <c r="FI70" s="2292"/>
      <c r="FJ70" s="2292"/>
      <c r="FK70" s="2292"/>
      <c r="FL70" s="2292"/>
      <c r="FM70" s="2292"/>
      <c r="FN70" s="2292"/>
      <c r="FO70" s="2292"/>
      <c r="FP70" s="2292"/>
      <c r="FQ70" s="2292"/>
      <c r="FR70" s="2292"/>
      <c r="FS70" s="2292"/>
      <c r="FT70" s="2292"/>
      <c r="FU70" s="2292"/>
      <c r="FV70" s="2292"/>
      <c r="FW70" s="2292"/>
      <c r="FX70" s="2292"/>
      <c r="FY70" s="2292"/>
      <c r="FZ70" s="2292"/>
      <c r="GA70" s="2292"/>
      <c r="GB70" s="2292"/>
      <c r="GC70" s="2292"/>
      <c r="GD70" s="2292"/>
      <c r="GE70" s="2292"/>
      <c r="GF70" s="2292"/>
      <c r="GG70" s="2292"/>
      <c r="GH70" s="2292"/>
      <c r="GI70" s="2292"/>
      <c r="GJ70" s="2292"/>
      <c r="GK70" s="2292"/>
      <c r="GL70" s="2292"/>
      <c r="GM70" s="2292"/>
      <c r="GN70" s="2292"/>
      <c r="GO70" s="2292"/>
      <c r="GP70" s="2292"/>
      <c r="GQ70" s="2292"/>
      <c r="GR70" s="2292"/>
      <c r="GS70" s="2292"/>
      <c r="GT70" s="2292"/>
      <c r="GU70" s="2292"/>
      <c r="GV70" s="2292"/>
      <c r="GW70" s="2292"/>
      <c r="GX70" s="2292"/>
      <c r="GY70" s="2292"/>
      <c r="GZ70" s="2292"/>
      <c r="HA70" s="2292"/>
      <c r="HB70" s="2292"/>
      <c r="HC70" s="2292"/>
      <c r="HD70" s="2292"/>
      <c r="HE70" s="2292"/>
      <c r="HF70" s="2292"/>
      <c r="HG70" s="2292"/>
      <c r="HH70" s="2292"/>
      <c r="HI70" s="2292"/>
      <c r="HJ70" s="2292"/>
      <c r="HK70" s="2292"/>
      <c r="HL70" s="2292"/>
      <c r="HM70" s="2293"/>
      <c r="HN70" s="2294" t="s">
        <v>931</v>
      </c>
      <c r="HO70" s="2295"/>
      <c r="HP70" s="2295"/>
      <c r="HQ70" s="2295"/>
      <c r="HR70" s="2295"/>
      <c r="HS70" s="2295"/>
      <c r="HT70" s="2295"/>
      <c r="HU70" s="2295"/>
      <c r="HV70" s="2295"/>
      <c r="HW70" s="2295"/>
      <c r="HX70" s="2295"/>
      <c r="HY70" s="2295"/>
      <c r="HZ70" s="2295"/>
      <c r="IA70" s="2295"/>
      <c r="IB70" s="2295"/>
      <c r="IC70" s="2295"/>
      <c r="ID70" s="2295"/>
      <c r="IE70" s="2295"/>
      <c r="IF70" s="2295"/>
      <c r="IG70" s="2295"/>
      <c r="IH70" s="2295"/>
      <c r="II70" s="2295"/>
      <c r="IJ70" s="2295"/>
      <c r="IK70" s="2295"/>
      <c r="IL70" s="2295"/>
      <c r="IM70" s="2295"/>
      <c r="IN70" s="2295"/>
      <c r="IO70" s="2295"/>
      <c r="IP70" s="2295"/>
      <c r="IQ70" s="2295"/>
      <c r="IR70" s="2295"/>
      <c r="IS70" s="2295"/>
      <c r="IT70" s="2295"/>
      <c r="IU70" s="2295"/>
      <c r="IV70" s="2295"/>
      <c r="IW70" s="2295"/>
      <c r="IX70" s="2295"/>
      <c r="IY70" s="2295"/>
      <c r="IZ70" s="2295"/>
      <c r="JA70" s="2295"/>
      <c r="JB70" s="2295"/>
      <c r="JC70" s="2295"/>
      <c r="JD70" s="2295"/>
      <c r="JE70" s="2295"/>
      <c r="JF70" s="2295"/>
      <c r="JG70" s="2295"/>
      <c r="JH70" s="2295"/>
      <c r="JI70" s="2295"/>
      <c r="JJ70" s="2295"/>
      <c r="JK70" s="2295"/>
      <c r="JL70" s="2295"/>
      <c r="JM70" s="2295"/>
      <c r="JN70" s="2295"/>
      <c r="JO70" s="2295"/>
      <c r="JP70" s="2295"/>
      <c r="JQ70" s="2295"/>
      <c r="JR70" s="2295"/>
      <c r="JS70" s="2295"/>
      <c r="JT70" s="2295"/>
      <c r="JU70" s="2295"/>
      <c r="JV70" s="2295"/>
      <c r="JW70" s="2295"/>
      <c r="JX70" s="2295"/>
      <c r="JY70" s="2295"/>
      <c r="JZ70" s="2295"/>
      <c r="KA70" s="2295"/>
      <c r="KB70" s="2295"/>
      <c r="KC70" s="2295"/>
      <c r="KD70" s="2295"/>
      <c r="KE70" s="2295"/>
      <c r="KF70" s="2295"/>
      <c r="KG70" s="2295"/>
      <c r="KH70" s="2295"/>
      <c r="KI70" s="2295"/>
      <c r="KJ70" s="2295"/>
      <c r="KK70" s="2295"/>
      <c r="KL70" s="2295"/>
      <c r="KM70" s="2295"/>
      <c r="KN70" s="2295"/>
      <c r="KO70" s="2295"/>
      <c r="KP70" s="2295"/>
      <c r="KQ70" s="2295"/>
      <c r="KR70" s="2295"/>
      <c r="KS70" s="2295"/>
      <c r="KT70" s="2295"/>
      <c r="KU70" s="2295"/>
      <c r="KV70" s="2295"/>
      <c r="KW70" s="2295"/>
      <c r="KX70" s="2295"/>
      <c r="KY70" s="2295"/>
      <c r="KZ70" s="2295"/>
      <c r="LA70" s="2295"/>
      <c r="LB70" s="2295"/>
      <c r="LC70" s="2295"/>
      <c r="LD70" s="2295"/>
      <c r="LE70" s="2295"/>
      <c r="LF70" s="2295"/>
      <c r="LG70" s="2295"/>
      <c r="LH70" s="2295"/>
      <c r="LI70" s="2295"/>
      <c r="LJ70" s="2295"/>
      <c r="LK70" s="2295"/>
      <c r="LL70" s="2295"/>
      <c r="LM70" s="2295"/>
      <c r="LN70" s="2295"/>
      <c r="LO70" s="2295"/>
      <c r="LP70" s="2295"/>
      <c r="LQ70" s="2295"/>
      <c r="LR70" s="2295"/>
      <c r="LS70" s="2295"/>
      <c r="LT70" s="2295"/>
      <c r="LU70" s="2295"/>
      <c r="LV70" s="2295"/>
      <c r="LW70" s="2295"/>
      <c r="LX70" s="2295"/>
      <c r="LY70" s="2295"/>
      <c r="LZ70" s="2295"/>
      <c r="MA70" s="2295"/>
      <c r="MB70" s="2295"/>
      <c r="MC70" s="2295"/>
      <c r="MD70" s="2295"/>
      <c r="ME70" s="2295"/>
      <c r="MF70" s="2295"/>
      <c r="MG70" s="2295"/>
      <c r="MH70" s="2295"/>
      <c r="MI70" s="2295"/>
      <c r="MJ70" s="2295"/>
      <c r="MK70" s="2295"/>
      <c r="ML70" s="2295"/>
      <c r="MM70" s="2295"/>
      <c r="MN70" s="2295"/>
      <c r="MO70" s="2295"/>
      <c r="MP70" s="2295"/>
      <c r="MQ70" s="2295"/>
      <c r="MR70" s="2295"/>
      <c r="MS70" s="2295"/>
      <c r="MT70" s="2295"/>
      <c r="MU70" s="2295"/>
      <c r="MV70" s="2295"/>
      <c r="MW70" s="2295"/>
      <c r="MX70" s="2295"/>
      <c r="MY70" s="2295"/>
      <c r="MZ70" s="2295"/>
      <c r="NA70" s="2296"/>
    </row>
    <row r="71" spans="1:665" s="40" customFormat="1" ht="32.1" customHeight="1" thickBot="1">
      <c r="A71" s="74"/>
      <c r="B71" s="2441" t="s">
        <v>900</v>
      </c>
      <c r="C71" s="2442"/>
      <c r="D71" s="2443"/>
      <c r="E71" s="1697" t="s">
        <v>873</v>
      </c>
      <c r="F71" s="1697"/>
      <c r="G71" s="1697"/>
      <c r="H71" s="1697"/>
      <c r="I71" s="1697"/>
      <c r="J71" s="1697"/>
      <c r="K71" s="1697"/>
      <c r="L71" s="1697"/>
      <c r="M71" s="1697"/>
      <c r="N71" s="1697"/>
      <c r="O71" s="1697"/>
      <c r="P71" s="1697"/>
      <c r="Q71" s="1697"/>
      <c r="R71" s="1697"/>
      <c r="S71" s="1697"/>
      <c r="T71" s="1697"/>
      <c r="U71" s="1697"/>
      <c r="V71" s="1697"/>
      <c r="W71" s="1697"/>
      <c r="X71" s="1697"/>
      <c r="Y71" s="1697"/>
      <c r="Z71" s="1697"/>
      <c r="AA71" s="1697"/>
      <c r="AB71" s="1697"/>
      <c r="AC71" s="1697"/>
      <c r="AD71" s="1697"/>
      <c r="AE71" s="1697"/>
      <c r="AF71" s="1697"/>
      <c r="AG71" s="1697"/>
      <c r="AH71" s="1697"/>
      <c r="AI71" s="1697"/>
      <c r="AJ71" s="1697"/>
      <c r="AK71" s="1697"/>
      <c r="AL71" s="1697"/>
      <c r="AM71" s="1697"/>
      <c r="AN71" s="1697"/>
      <c r="AO71" s="1697"/>
      <c r="AP71" s="1764"/>
      <c r="AQ71" s="1764"/>
      <c r="AR71" s="1764"/>
      <c r="AS71" s="1764"/>
      <c r="AT71" s="1764"/>
      <c r="AU71" s="1764"/>
      <c r="AV71" s="1764"/>
      <c r="AW71" s="1764"/>
      <c r="AX71" s="1764"/>
      <c r="AY71" s="1764"/>
      <c r="AZ71" s="1764">
        <v>2000</v>
      </c>
      <c r="BA71" s="1764">
        <v>2000</v>
      </c>
      <c r="BB71" s="1764">
        <v>2000</v>
      </c>
      <c r="BC71" s="1764">
        <v>2000</v>
      </c>
      <c r="BD71" s="1764">
        <v>2000</v>
      </c>
      <c r="BE71" s="1764">
        <v>2000</v>
      </c>
      <c r="BF71" s="1764">
        <v>2000</v>
      </c>
      <c r="BG71" s="1764">
        <v>2000</v>
      </c>
      <c r="BH71" s="1764">
        <v>2000</v>
      </c>
      <c r="BI71" s="1764">
        <v>2000</v>
      </c>
      <c r="BJ71" s="1764">
        <v>2000</v>
      </c>
      <c r="BK71" s="1764">
        <v>2000</v>
      </c>
      <c r="BL71" s="1764">
        <v>2000</v>
      </c>
      <c r="BM71" s="1764">
        <v>2000</v>
      </c>
      <c r="BN71" s="1764">
        <v>2000</v>
      </c>
      <c r="BO71" s="1764">
        <v>2000</v>
      </c>
      <c r="BP71" s="1764">
        <v>2000</v>
      </c>
      <c r="BQ71" s="1764">
        <v>2000</v>
      </c>
      <c r="BR71" s="1764">
        <v>2000</v>
      </c>
      <c r="BS71" s="1764">
        <v>2000</v>
      </c>
      <c r="BT71" s="1764"/>
      <c r="BU71" s="1764"/>
      <c r="BV71" s="1764">
        <v>2000</v>
      </c>
      <c r="BW71" s="1764">
        <v>2000</v>
      </c>
      <c r="BX71" s="1764">
        <v>2000</v>
      </c>
      <c r="BY71" s="1764">
        <v>2000</v>
      </c>
      <c r="BZ71" s="1764">
        <v>2000</v>
      </c>
      <c r="CA71" s="1764">
        <v>2000</v>
      </c>
      <c r="CB71" s="1764">
        <v>2000</v>
      </c>
      <c r="CC71" s="1764">
        <v>2000</v>
      </c>
      <c r="CD71" s="1764"/>
      <c r="CE71" s="1764"/>
      <c r="CF71" s="1764"/>
      <c r="CG71" s="1764"/>
      <c r="CH71" s="1764"/>
      <c r="CI71" s="1764"/>
      <c r="CJ71" s="1764"/>
      <c r="CK71" s="1764"/>
      <c r="CL71" s="1764"/>
      <c r="CM71" s="1764"/>
      <c r="CN71" s="1764"/>
      <c r="CO71" s="1764"/>
      <c r="CP71" s="1764"/>
      <c r="CQ71" s="1764"/>
      <c r="CR71" s="1764"/>
      <c r="CS71" s="1764"/>
      <c r="CT71" s="1764"/>
      <c r="CU71" s="1764"/>
      <c r="CV71" s="1764"/>
      <c r="CW71" s="1764"/>
      <c r="CX71" s="1764"/>
      <c r="CY71" s="1764"/>
      <c r="CZ71" s="1764"/>
      <c r="DA71" s="1764"/>
      <c r="DB71" s="1764"/>
      <c r="DC71" s="1764"/>
      <c r="DD71" s="1764"/>
      <c r="DE71" s="1764"/>
      <c r="DF71" s="1764"/>
      <c r="DG71" s="1764"/>
      <c r="DH71" s="1764"/>
      <c r="DI71" s="1764"/>
      <c r="DJ71" s="1764"/>
      <c r="DK71" s="1764"/>
      <c r="DL71" s="1764"/>
      <c r="DM71" s="1764"/>
      <c r="DN71" s="1764"/>
      <c r="DO71" s="1764"/>
      <c r="DP71" s="1764"/>
      <c r="DQ71" s="1764"/>
      <c r="DR71" s="1764"/>
      <c r="DS71" s="1764"/>
      <c r="DT71" s="1764"/>
      <c r="DU71" s="1764"/>
      <c r="DV71" s="1764"/>
      <c r="DW71" s="1764"/>
      <c r="DX71" s="1764"/>
      <c r="DY71" s="1764"/>
      <c r="DZ71" s="1764"/>
      <c r="EA71" s="1764"/>
      <c r="EB71" s="1764"/>
      <c r="EC71" s="1764"/>
      <c r="ED71" s="1764"/>
      <c r="EE71" s="1764"/>
      <c r="EF71" s="1764"/>
      <c r="EG71" s="1764"/>
      <c r="EH71" s="1764"/>
      <c r="EI71" s="1764"/>
      <c r="EJ71" s="1764"/>
      <c r="EK71" s="1764"/>
      <c r="EL71" s="1764"/>
      <c r="EM71" s="1764"/>
      <c r="EN71" s="1764"/>
      <c r="EO71" s="1764"/>
      <c r="EP71" s="1764"/>
      <c r="EQ71" s="1764"/>
      <c r="ER71" s="1764"/>
      <c r="ES71" s="1764"/>
      <c r="ET71" s="1764"/>
      <c r="EU71" s="1764"/>
      <c r="EV71" s="1764"/>
      <c r="EW71" s="1764"/>
      <c r="EX71" s="1764"/>
      <c r="EY71" s="1764"/>
      <c r="EZ71" s="1764"/>
      <c r="FA71" s="1764"/>
      <c r="FB71" s="1764"/>
      <c r="FC71" s="1764"/>
      <c r="FD71" s="1764"/>
      <c r="FE71" s="1764"/>
      <c r="FF71" s="1764"/>
      <c r="FG71" s="1764"/>
      <c r="FH71" s="1764"/>
      <c r="FI71" s="1764"/>
      <c r="FJ71" s="1764"/>
      <c r="FK71" s="1764"/>
      <c r="FL71" s="1764"/>
      <c r="FM71" s="1764"/>
      <c r="FN71" s="1764"/>
      <c r="FO71" s="1764"/>
      <c r="FP71" s="1764"/>
      <c r="FQ71" s="1764"/>
      <c r="FR71" s="1764"/>
      <c r="FS71" s="1764"/>
      <c r="FT71" s="1764"/>
      <c r="FU71" s="1764"/>
      <c r="FV71" s="1764"/>
      <c r="FW71" s="1764"/>
      <c r="FX71" s="1764"/>
      <c r="FY71" s="1764"/>
      <c r="FZ71" s="1764"/>
      <c r="GA71" s="1764"/>
      <c r="GB71" s="1764"/>
      <c r="GC71" s="1764"/>
      <c r="GD71" s="1764"/>
      <c r="GE71" s="1764"/>
      <c r="GF71" s="1764"/>
      <c r="GG71" s="1764"/>
      <c r="GH71" s="1764"/>
      <c r="GI71" s="1764"/>
      <c r="GJ71" s="1764"/>
      <c r="GK71" s="1764"/>
      <c r="GL71" s="1764"/>
      <c r="GM71" s="1764"/>
      <c r="GN71" s="1764"/>
      <c r="GO71" s="1764"/>
      <c r="GP71" s="1764"/>
      <c r="GQ71" s="1764"/>
      <c r="GR71" s="1764"/>
      <c r="GS71" s="1764"/>
      <c r="GT71" s="1764"/>
      <c r="GU71" s="1764"/>
      <c r="GV71" s="1764"/>
      <c r="GW71" s="1764"/>
      <c r="GX71" s="1764"/>
      <c r="GY71" s="1764"/>
      <c r="GZ71" s="1608"/>
      <c r="HA71" s="1608"/>
      <c r="HB71" s="1608"/>
      <c r="HC71" s="1608"/>
      <c r="HD71" s="1608"/>
      <c r="HE71" s="1608"/>
      <c r="HF71" s="1608"/>
      <c r="HG71" s="1608"/>
      <c r="HH71" s="1608"/>
      <c r="HI71" s="1608"/>
      <c r="HJ71" s="1608"/>
      <c r="HK71" s="1608"/>
      <c r="HL71" s="1608"/>
      <c r="HM71" s="1608"/>
      <c r="HN71" s="1608"/>
      <c r="HO71" s="1608"/>
      <c r="HP71" s="1608"/>
      <c r="HQ71" s="1608"/>
      <c r="HR71" s="1608"/>
      <c r="HS71" s="1608"/>
      <c r="HT71" s="1608"/>
      <c r="HU71" s="1608"/>
      <c r="HV71" s="1608"/>
      <c r="HW71" s="1608"/>
      <c r="HX71" s="1608"/>
      <c r="HY71" s="1608"/>
      <c r="HZ71" s="1608"/>
      <c r="IA71" s="1608"/>
      <c r="IB71" s="1608"/>
      <c r="IC71" s="1608"/>
      <c r="ID71" s="1608"/>
      <c r="IE71" s="1608"/>
      <c r="IF71" s="1608"/>
      <c r="IG71" s="1608"/>
      <c r="IH71" s="1608"/>
      <c r="II71" s="1608"/>
      <c r="IJ71" s="1608"/>
      <c r="IK71" s="1608"/>
      <c r="IL71" s="1608"/>
      <c r="IM71" s="1608"/>
      <c r="IN71" s="1608"/>
      <c r="IO71" s="1608"/>
      <c r="IP71" s="1608"/>
      <c r="IQ71" s="1608"/>
      <c r="IR71" s="1608"/>
      <c r="IS71" s="1608"/>
      <c r="IT71" s="1608"/>
      <c r="IU71" s="1608"/>
      <c r="IV71" s="1608"/>
      <c r="IW71" s="1608"/>
      <c r="IX71" s="1608"/>
      <c r="IY71" s="1608"/>
      <c r="IZ71" s="1608"/>
      <c r="JA71" s="1608"/>
      <c r="JB71" s="1608"/>
      <c r="JC71" s="1608"/>
      <c r="JD71" s="1608"/>
      <c r="JE71" s="1608"/>
      <c r="JF71" s="1608"/>
      <c r="JG71" s="1608"/>
      <c r="JH71" s="1608"/>
      <c r="JI71" s="1608"/>
      <c r="JJ71" s="1608"/>
      <c r="JK71" s="1608"/>
      <c r="JL71" s="1608"/>
      <c r="JM71" s="1608"/>
      <c r="JN71" s="1608"/>
      <c r="JO71" s="1608"/>
      <c r="JP71" s="1608"/>
      <c r="JQ71" s="1608"/>
      <c r="JR71" s="1608"/>
      <c r="JS71" s="1608"/>
      <c r="JT71" s="1608"/>
      <c r="JU71" s="1608"/>
      <c r="JV71" s="1608"/>
      <c r="JW71" s="1608"/>
      <c r="JX71" s="1608"/>
      <c r="JY71" s="1608"/>
      <c r="JZ71" s="1608"/>
      <c r="KA71" s="1608"/>
      <c r="KB71" s="1608"/>
      <c r="KC71" s="1608"/>
      <c r="KD71" s="1608"/>
      <c r="KE71" s="1608"/>
      <c r="KF71" s="1608"/>
      <c r="KG71" s="1608"/>
      <c r="KH71" s="1608"/>
      <c r="KI71" s="1608"/>
      <c r="KJ71" s="1608"/>
      <c r="KK71" s="1608"/>
      <c r="KL71" s="1608"/>
      <c r="KM71" s="1608"/>
      <c r="KN71" s="1608"/>
      <c r="KO71" s="1608"/>
      <c r="KP71" s="1608"/>
      <c r="KQ71" s="1608"/>
      <c r="KR71" s="1608"/>
      <c r="KS71" s="1608"/>
      <c r="KT71" s="1608"/>
      <c r="KU71" s="1608"/>
      <c r="KV71" s="1608"/>
      <c r="KW71" s="1608"/>
      <c r="KX71" s="1608"/>
      <c r="KY71" s="1608"/>
      <c r="KZ71" s="1608"/>
      <c r="LA71" s="1608"/>
      <c r="LB71" s="1608"/>
      <c r="LC71" s="1608"/>
      <c r="LD71" s="1608"/>
      <c r="LE71" s="1608"/>
      <c r="LF71" s="1608"/>
      <c r="LG71" s="1608"/>
      <c r="LH71" s="1608"/>
      <c r="LI71" s="1608"/>
      <c r="LJ71" s="1608"/>
      <c r="LK71" s="1608"/>
      <c r="LL71" s="1608"/>
      <c r="LM71" s="1608"/>
      <c r="LN71" s="1608"/>
      <c r="LO71" s="1608"/>
      <c r="LP71" s="1608"/>
      <c r="LQ71" s="1608"/>
      <c r="LR71" s="1608"/>
      <c r="LS71" s="1608"/>
      <c r="LT71" s="1608"/>
      <c r="LU71" s="1608"/>
      <c r="LV71" s="1608"/>
      <c r="LW71" s="1608"/>
      <c r="LX71" s="1608"/>
      <c r="LY71" s="1608"/>
      <c r="LZ71" s="1608"/>
      <c r="MA71" s="1608"/>
      <c r="MB71" s="1608"/>
      <c r="MC71" s="1608"/>
      <c r="MD71" s="1608"/>
      <c r="ME71" s="1608"/>
      <c r="MF71" s="1608"/>
      <c r="MG71" s="1608"/>
      <c r="MH71" s="1608"/>
      <c r="MI71" s="1608"/>
      <c r="MJ71" s="1608"/>
      <c r="MK71" s="1608"/>
      <c r="ML71" s="1608"/>
      <c r="MM71" s="1608"/>
      <c r="MN71" s="1608"/>
      <c r="MO71" s="1608"/>
      <c r="MP71" s="1608"/>
      <c r="MQ71" s="1608"/>
      <c r="MR71" s="1608"/>
      <c r="MS71" s="1608"/>
      <c r="MT71" s="1608"/>
      <c r="MU71" s="1608"/>
      <c r="MV71" s="1608"/>
      <c r="MW71" s="1608"/>
      <c r="MX71" s="1608"/>
      <c r="MY71" s="1608"/>
      <c r="MZ71" s="1608"/>
      <c r="NA71" s="1608"/>
      <c r="NB71" s="1608"/>
      <c r="NC71" s="1608"/>
      <c r="ND71" s="1608"/>
      <c r="NE71" s="1608"/>
      <c r="NF71" s="1608"/>
      <c r="NG71" s="1608"/>
      <c r="NH71" s="1608"/>
      <c r="NI71" s="1608"/>
      <c r="NJ71" s="1608"/>
    </row>
    <row r="72" spans="1:665" s="74" customFormat="1" ht="27.6" customHeight="1" thickBot="1">
      <c r="A72" s="191">
        <v>60</v>
      </c>
      <c r="B72" s="74" t="s">
        <v>337</v>
      </c>
      <c r="C72" s="46"/>
      <c r="D72" s="48" t="s">
        <v>334</v>
      </c>
      <c r="E72" s="1694"/>
      <c r="F72" s="1694"/>
      <c r="G72" s="1694"/>
      <c r="H72" s="1694"/>
      <c r="I72" s="1694"/>
      <c r="J72" s="1694"/>
      <c r="K72" s="1694"/>
      <c r="L72" s="1694"/>
      <c r="M72" s="1694"/>
      <c r="N72" s="1694"/>
      <c r="O72" s="1694"/>
      <c r="P72" s="1694"/>
      <c r="Q72" s="1694"/>
      <c r="R72" s="1694"/>
      <c r="S72" s="1694"/>
      <c r="T72" s="1694"/>
      <c r="U72" s="1694"/>
      <c r="V72" s="1694"/>
      <c r="W72" s="1694"/>
      <c r="X72" s="1694"/>
      <c r="Y72" s="1694"/>
      <c r="Z72" s="1694"/>
      <c r="AA72" s="1694"/>
      <c r="AB72" s="1694"/>
      <c r="AC72" s="1694"/>
      <c r="AD72" s="1694"/>
      <c r="AE72" s="1694"/>
      <c r="AF72" s="1694"/>
      <c r="AG72" s="1694"/>
      <c r="AH72" s="1694"/>
      <c r="AI72" s="1694"/>
      <c r="AJ72" s="1694"/>
      <c r="AK72" s="1694"/>
      <c r="AL72" s="1694"/>
      <c r="AM72" s="1694"/>
      <c r="AN72" s="1694"/>
      <c r="AO72" s="1694"/>
      <c r="CD72" s="2285" t="s">
        <v>1048</v>
      </c>
      <c r="CE72" s="2286"/>
      <c r="CF72" s="2287"/>
      <c r="CG72" s="2288" t="s">
        <v>842</v>
      </c>
      <c r="CH72" s="2289"/>
      <c r="CI72" s="2289"/>
      <c r="CJ72" s="2289"/>
      <c r="CK72" s="2290"/>
      <c r="CL72" s="2285" t="s">
        <v>1049</v>
      </c>
      <c r="CM72" s="2286"/>
      <c r="CN72" s="2287"/>
      <c r="CO72" s="2288" t="s">
        <v>842</v>
      </c>
      <c r="CP72" s="2289"/>
      <c r="CQ72" s="2289"/>
      <c r="CR72" s="2289"/>
      <c r="CS72" s="2290"/>
      <c r="CT72" s="2285" t="s">
        <v>1050</v>
      </c>
      <c r="CU72" s="2286"/>
      <c r="CV72" s="2287"/>
      <c r="CW72" s="2288" t="s">
        <v>842</v>
      </c>
      <c r="CX72" s="2289"/>
      <c r="CY72" s="2289"/>
      <c r="CZ72" s="2289"/>
      <c r="DA72" s="2290"/>
      <c r="DB72" s="2285" t="s">
        <v>1051</v>
      </c>
      <c r="DC72" s="2286"/>
      <c r="DD72" s="2287"/>
      <c r="DE72" s="2288" t="s">
        <v>842</v>
      </c>
      <c r="DF72" s="2289"/>
      <c r="DG72" s="2289"/>
      <c r="DH72" s="2289"/>
      <c r="DI72" s="2290"/>
      <c r="DL72" s="2285" t="s">
        <v>1052</v>
      </c>
      <c r="DM72" s="2286"/>
      <c r="DN72" s="2287"/>
      <c r="DO72" s="2288" t="s">
        <v>842</v>
      </c>
      <c r="DP72" s="2289"/>
      <c r="DQ72" s="2289"/>
      <c r="DR72" s="2289"/>
      <c r="DS72" s="2290"/>
      <c r="DV72" s="2285" t="s">
        <v>1053</v>
      </c>
      <c r="DW72" s="2286"/>
      <c r="DX72" s="2287"/>
      <c r="DY72" s="2288" t="s">
        <v>842</v>
      </c>
      <c r="DZ72" s="2289"/>
      <c r="EA72" s="2289"/>
      <c r="EB72" s="2289"/>
      <c r="EC72" s="2290"/>
      <c r="EF72" s="2285" t="s">
        <v>1054</v>
      </c>
      <c r="EG72" s="2286"/>
      <c r="EH72" s="2287"/>
      <c r="EI72" s="2288" t="s">
        <v>842</v>
      </c>
      <c r="EJ72" s="2289"/>
      <c r="EK72" s="2289"/>
      <c r="EL72" s="2289"/>
      <c r="EM72" s="2290"/>
      <c r="ES72" s="2285" t="s">
        <v>1055</v>
      </c>
      <c r="ET72" s="2286"/>
      <c r="EU72" s="2287"/>
      <c r="EV72" s="2288" t="s">
        <v>842</v>
      </c>
      <c r="EW72" s="2289"/>
      <c r="EX72" s="2289"/>
      <c r="EY72" s="2289"/>
      <c r="EZ72" s="2290"/>
      <c r="FD72" s="2285" t="s">
        <v>1056</v>
      </c>
      <c r="FE72" s="2286"/>
      <c r="FF72" s="2287"/>
      <c r="FG72" s="2288" t="s">
        <v>842</v>
      </c>
      <c r="FH72" s="2289"/>
      <c r="FI72" s="2289"/>
      <c r="FJ72" s="2289"/>
      <c r="FK72" s="2290"/>
      <c r="FQ72" s="2285" t="s">
        <v>1057</v>
      </c>
      <c r="FR72" s="2286"/>
      <c r="FS72" s="2287"/>
      <c r="FT72" s="2288" t="s">
        <v>842</v>
      </c>
      <c r="FU72" s="2289"/>
      <c r="FV72" s="2289"/>
      <c r="FW72" s="2289"/>
      <c r="FX72" s="2290"/>
      <c r="GB72" s="2285" t="s">
        <v>1058</v>
      </c>
      <c r="GC72" s="2286"/>
      <c r="GD72" s="2287"/>
      <c r="GE72" s="2288" t="s">
        <v>842</v>
      </c>
      <c r="GF72" s="2289"/>
      <c r="GG72" s="2289"/>
      <c r="GH72" s="2289"/>
      <c r="GI72" s="2290"/>
      <c r="GO72" s="2285" t="s">
        <v>1059</v>
      </c>
      <c r="GP72" s="2286"/>
      <c r="GQ72" s="2287"/>
      <c r="GR72" s="2288" t="s">
        <v>842</v>
      </c>
      <c r="GS72" s="2289"/>
      <c r="GT72" s="2289"/>
      <c r="GU72" s="2289"/>
      <c r="GV72" s="2290"/>
      <c r="GZ72" s="2285" t="s">
        <v>1060</v>
      </c>
      <c r="HA72" s="2286"/>
      <c r="HB72" s="2287"/>
      <c r="HC72" s="2288" t="s">
        <v>842</v>
      </c>
      <c r="HD72" s="2289"/>
      <c r="HE72" s="2289"/>
      <c r="HF72" s="2289"/>
      <c r="HG72" s="2290"/>
      <c r="HM72" s="2285" t="s">
        <v>1061</v>
      </c>
      <c r="HN72" s="2286"/>
      <c r="HO72" s="2287"/>
      <c r="HP72" s="2288" t="s">
        <v>842</v>
      </c>
      <c r="HQ72" s="2289"/>
      <c r="HR72" s="2289"/>
      <c r="HS72" s="2289"/>
      <c r="HT72" s="2290"/>
      <c r="HX72" s="2285" t="s">
        <v>1062</v>
      </c>
      <c r="HY72" s="2286"/>
      <c r="HZ72" s="2287"/>
      <c r="IA72" s="2288" t="s">
        <v>842</v>
      </c>
      <c r="IB72" s="2289"/>
      <c r="IC72" s="2289"/>
      <c r="ID72" s="2289"/>
      <c r="IE72" s="2290"/>
      <c r="IK72" s="2285" t="s">
        <v>1063</v>
      </c>
      <c r="IL72" s="2286"/>
      <c r="IM72" s="2287"/>
      <c r="IN72" s="2288" t="s">
        <v>842</v>
      </c>
      <c r="IO72" s="2289"/>
      <c r="IP72" s="2289"/>
      <c r="IQ72" s="2289"/>
      <c r="IR72" s="2290"/>
      <c r="IV72" s="2285" t="s">
        <v>1064</v>
      </c>
      <c r="IW72" s="2286"/>
      <c r="IX72" s="2287"/>
      <c r="IY72" s="2288" t="s">
        <v>842</v>
      </c>
      <c r="IZ72" s="2289"/>
      <c r="JA72" s="2289"/>
      <c r="JB72" s="2289"/>
      <c r="JC72" s="2290"/>
      <c r="JG72" s="2285" t="s">
        <v>1065</v>
      </c>
      <c r="JH72" s="2286"/>
      <c r="JI72" s="2287"/>
      <c r="JJ72" s="2288" t="s">
        <v>842</v>
      </c>
      <c r="JK72" s="2289"/>
      <c r="JL72" s="2289"/>
      <c r="JM72" s="2289"/>
      <c r="JN72" s="2290"/>
      <c r="JO72" s="2285" t="s">
        <v>1066</v>
      </c>
      <c r="JP72" s="2286"/>
      <c r="JQ72" s="2287"/>
      <c r="JR72" s="2288" t="s">
        <v>842</v>
      </c>
      <c r="JS72" s="2289"/>
      <c r="JT72" s="2289"/>
      <c r="JU72" s="2289"/>
      <c r="JV72" s="2290"/>
      <c r="JW72" s="2285" t="s">
        <v>1074</v>
      </c>
      <c r="JX72" s="2286"/>
      <c r="JY72" s="2287"/>
      <c r="JZ72" s="2288" t="s">
        <v>842</v>
      </c>
      <c r="KA72" s="2289"/>
      <c r="KB72" s="2289"/>
      <c r="KC72" s="2289"/>
      <c r="KD72" s="2290"/>
      <c r="KE72" s="2285" t="s">
        <v>1067</v>
      </c>
      <c r="KF72" s="2286"/>
      <c r="KG72" s="2287"/>
      <c r="KH72" s="2288" t="s">
        <v>842</v>
      </c>
      <c r="KI72" s="2289"/>
      <c r="KJ72" s="2289"/>
      <c r="KK72" s="2289"/>
      <c r="KL72" s="2290"/>
      <c r="KM72" s="2285" t="s">
        <v>1068</v>
      </c>
      <c r="KN72" s="2286"/>
      <c r="KO72" s="2287"/>
      <c r="KP72" s="2288" t="s">
        <v>842</v>
      </c>
      <c r="KQ72" s="2289"/>
      <c r="KR72" s="2289"/>
      <c r="KS72" s="2289"/>
      <c r="KT72" s="2290"/>
      <c r="KY72" s="1772"/>
      <c r="KZ72" s="1773"/>
      <c r="LA72" s="1774"/>
      <c r="LB72" s="1775"/>
      <c r="LC72" s="1775"/>
      <c r="LD72" s="1776"/>
      <c r="LE72" s="1777"/>
      <c r="LF72" s="1778"/>
      <c r="LG72" s="1779"/>
      <c r="LH72" s="1780"/>
      <c r="LI72" s="1781"/>
    </row>
    <row r="73" spans="1:665" s="74" customFormat="1" ht="27.6" customHeight="1" thickBot="1">
      <c r="B73" s="47"/>
      <c r="C73" s="42"/>
      <c r="D73" s="48" t="s">
        <v>335</v>
      </c>
      <c r="E73" s="1697"/>
      <c r="F73" s="1697"/>
      <c r="G73" s="1697"/>
      <c r="H73" s="1697"/>
      <c r="I73" s="1697"/>
      <c r="J73" s="1697"/>
      <c r="K73" s="1697"/>
      <c r="L73" s="1697"/>
      <c r="M73" s="1697"/>
      <c r="N73" s="1697"/>
      <c r="O73" s="1697"/>
      <c r="P73" s="1697"/>
      <c r="Q73" s="1697"/>
      <c r="R73" s="1697"/>
      <c r="S73" s="1697"/>
      <c r="T73" s="1697"/>
      <c r="U73" s="1697"/>
      <c r="V73" s="1697"/>
      <c r="W73" s="1697"/>
      <c r="X73" s="1697"/>
      <c r="Y73" s="1697"/>
      <c r="Z73" s="1697"/>
      <c r="AA73" s="1697"/>
      <c r="AB73" s="1697"/>
      <c r="AC73" s="1697"/>
      <c r="AD73" s="1697"/>
      <c r="AE73" s="1697"/>
      <c r="AF73" s="1697"/>
      <c r="AG73" s="1697"/>
      <c r="AH73" s="1697"/>
      <c r="AI73" s="1697"/>
      <c r="AJ73" s="1697"/>
      <c r="AK73" s="1697"/>
      <c r="AL73" s="1697"/>
      <c r="AM73" s="1697"/>
      <c r="AN73" s="1697"/>
      <c r="AO73" s="1697"/>
      <c r="AT73" s="2479"/>
      <c r="AU73" s="2480"/>
      <c r="AV73" s="2481"/>
      <c r="BI73" s="2479"/>
      <c r="BJ73" s="2480"/>
      <c r="BK73" s="2481"/>
      <c r="CB73" s="1674"/>
      <c r="CC73" s="1674"/>
      <c r="CD73" s="2282">
        <v>1900</v>
      </c>
      <c r="CE73" s="2283"/>
      <c r="CF73" s="2284"/>
      <c r="CG73" s="1595"/>
      <c r="CH73" s="2280"/>
      <c r="CI73" s="2281"/>
      <c r="CJ73" s="1596"/>
      <c r="CK73" s="1597"/>
      <c r="CL73" s="2282">
        <v>1900</v>
      </c>
      <c r="CM73" s="2283"/>
      <c r="CN73" s="2284"/>
      <c r="CO73" s="1595"/>
      <c r="CP73" s="2280"/>
      <c r="CQ73" s="2281"/>
      <c r="CR73" s="1596"/>
      <c r="CS73" s="1597"/>
      <c r="CT73" s="2282">
        <v>1900</v>
      </c>
      <c r="CU73" s="2283"/>
      <c r="CV73" s="2284"/>
      <c r="CW73" s="1595"/>
      <c r="CX73" s="2280"/>
      <c r="CY73" s="2281"/>
      <c r="CZ73" s="1596"/>
      <c r="DA73" s="1597"/>
      <c r="DB73" s="2282">
        <v>1900</v>
      </c>
      <c r="DC73" s="2283"/>
      <c r="DD73" s="2284"/>
      <c r="DE73" s="1595"/>
      <c r="DF73" s="2280"/>
      <c r="DG73" s="2281"/>
      <c r="DH73" s="1596"/>
      <c r="DI73" s="1597"/>
      <c r="DJ73" s="1674"/>
      <c r="DK73" s="1674"/>
      <c r="DL73" s="2282">
        <v>1900</v>
      </c>
      <c r="DM73" s="2283"/>
      <c r="DN73" s="2284"/>
      <c r="DO73" s="1595"/>
      <c r="DP73" s="2280"/>
      <c r="DQ73" s="2281"/>
      <c r="DR73" s="1596"/>
      <c r="DS73" s="1597"/>
      <c r="DT73" s="1674"/>
      <c r="DU73" s="1674"/>
      <c r="DV73" s="2282">
        <v>1900</v>
      </c>
      <c r="DW73" s="2283"/>
      <c r="DX73" s="2284"/>
      <c r="DY73" s="1595"/>
      <c r="DZ73" s="2280"/>
      <c r="EA73" s="2281"/>
      <c r="EB73" s="1596"/>
      <c r="EC73" s="1597"/>
      <c r="ED73" s="1674"/>
      <c r="EE73" s="1674"/>
      <c r="EF73" s="2282">
        <v>1900</v>
      </c>
      <c r="EG73" s="2283"/>
      <c r="EH73" s="2284"/>
      <c r="EI73" s="1595"/>
      <c r="EJ73" s="2280"/>
      <c r="EK73" s="2281"/>
      <c r="EL73" s="1596"/>
      <c r="EM73" s="1597"/>
      <c r="EN73" s="1674"/>
      <c r="EO73" s="1674"/>
      <c r="EP73" s="1674"/>
      <c r="EQ73" s="1674"/>
      <c r="ER73" s="1674"/>
      <c r="ES73" s="2282">
        <v>1900</v>
      </c>
      <c r="ET73" s="2283"/>
      <c r="EU73" s="2284"/>
      <c r="EV73" s="1595"/>
      <c r="EW73" s="2280"/>
      <c r="EX73" s="2281"/>
      <c r="EY73" s="1596"/>
      <c r="EZ73" s="1597"/>
      <c r="FA73" s="1674"/>
      <c r="FB73" s="1674"/>
      <c r="FC73" s="1674"/>
      <c r="FD73" s="2282">
        <v>1900</v>
      </c>
      <c r="FE73" s="2283"/>
      <c r="FF73" s="2284"/>
      <c r="FG73" s="1595"/>
      <c r="FH73" s="2280"/>
      <c r="FI73" s="2281"/>
      <c r="FJ73" s="1596"/>
      <c r="FK73" s="1597"/>
      <c r="FL73" s="1674"/>
      <c r="FM73" s="1674"/>
      <c r="FN73" s="1674"/>
      <c r="FO73" s="1674"/>
      <c r="FP73" s="1674"/>
      <c r="FQ73" s="2282">
        <v>1900</v>
      </c>
      <c r="FR73" s="2283"/>
      <c r="FS73" s="2284"/>
      <c r="FT73" s="1595"/>
      <c r="FU73" s="2280"/>
      <c r="FV73" s="2281"/>
      <c r="FW73" s="1596"/>
      <c r="FX73" s="1597"/>
      <c r="FY73" s="1674"/>
      <c r="FZ73" s="1674"/>
      <c r="GA73" s="1674"/>
      <c r="GB73" s="2282">
        <v>1900</v>
      </c>
      <c r="GC73" s="2283"/>
      <c r="GD73" s="2284"/>
      <c r="GE73" s="1595"/>
      <c r="GF73" s="2280"/>
      <c r="GG73" s="2281"/>
      <c r="GH73" s="1596"/>
      <c r="GI73" s="1597"/>
      <c r="GJ73" s="1674"/>
      <c r="GK73" s="1674"/>
      <c r="GL73" s="1674"/>
      <c r="GM73" s="1674"/>
      <c r="GN73" s="1674"/>
      <c r="GO73" s="2282">
        <v>1900</v>
      </c>
      <c r="GP73" s="2283"/>
      <c r="GQ73" s="2284"/>
      <c r="GR73" s="1595"/>
      <c r="GS73" s="2280"/>
      <c r="GT73" s="2281"/>
      <c r="GU73" s="1596"/>
      <c r="GV73" s="1597"/>
      <c r="GW73" s="1674"/>
      <c r="GX73" s="1674"/>
      <c r="GY73" s="1674"/>
      <c r="GZ73" s="2282">
        <v>1900</v>
      </c>
      <c r="HA73" s="2283"/>
      <c r="HB73" s="2284"/>
      <c r="HC73" s="1595"/>
      <c r="HD73" s="2280"/>
      <c r="HE73" s="2281"/>
      <c r="HF73" s="1596"/>
      <c r="HG73" s="1597"/>
      <c r="HH73" s="1674"/>
      <c r="HI73" s="1674"/>
      <c r="HJ73" s="1674"/>
      <c r="HK73" s="1674"/>
      <c r="HL73" s="1674"/>
      <c r="HM73" s="2282">
        <v>1900</v>
      </c>
      <c r="HN73" s="2283"/>
      <c r="HO73" s="2284"/>
      <c r="HP73" s="1595"/>
      <c r="HQ73" s="2280"/>
      <c r="HR73" s="2281"/>
      <c r="HS73" s="1596"/>
      <c r="HT73" s="1597"/>
      <c r="HU73" s="1674"/>
      <c r="HV73" s="1674"/>
      <c r="HW73" s="1674"/>
      <c r="HX73" s="2282">
        <v>1900</v>
      </c>
      <c r="HY73" s="2283"/>
      <c r="HZ73" s="2284"/>
      <c r="IA73" s="1595"/>
      <c r="IB73" s="2280"/>
      <c r="IC73" s="2281"/>
      <c r="ID73" s="1596"/>
      <c r="IE73" s="1597"/>
      <c r="IF73" s="1674"/>
      <c r="IG73" s="1674"/>
      <c r="IH73" s="1674"/>
      <c r="II73" s="1674"/>
      <c r="IJ73" s="1674"/>
      <c r="IK73" s="2282">
        <v>1900</v>
      </c>
      <c r="IL73" s="2283"/>
      <c r="IM73" s="2284"/>
      <c r="IN73" s="1595"/>
      <c r="IO73" s="2280"/>
      <c r="IP73" s="2281"/>
      <c r="IQ73" s="1596"/>
      <c r="IR73" s="1597"/>
      <c r="IS73" s="1674"/>
      <c r="IT73" s="1674"/>
      <c r="IU73" s="1674"/>
      <c r="IV73" s="2282">
        <v>1900</v>
      </c>
      <c r="IW73" s="2283"/>
      <c r="IX73" s="2284"/>
      <c r="IY73" s="1595"/>
      <c r="IZ73" s="2280"/>
      <c r="JA73" s="2281"/>
      <c r="JB73" s="1596"/>
      <c r="JC73" s="1597"/>
      <c r="JD73" s="1674"/>
      <c r="JE73" s="1674"/>
      <c r="JF73" s="1674"/>
      <c r="JG73" s="2282">
        <v>1900</v>
      </c>
      <c r="JH73" s="2283"/>
      <c r="JI73" s="2284"/>
      <c r="JJ73" s="1595"/>
      <c r="JK73" s="2280"/>
      <c r="JL73" s="2281"/>
      <c r="JM73" s="1596"/>
      <c r="JN73" s="1597"/>
      <c r="JO73" s="2282">
        <v>1900</v>
      </c>
      <c r="JP73" s="2283"/>
      <c r="JQ73" s="2284"/>
      <c r="JR73" s="1595"/>
      <c r="JS73" s="2280"/>
      <c r="JT73" s="2281"/>
      <c r="JU73" s="1596"/>
      <c r="JV73" s="1597"/>
      <c r="JW73" s="2282">
        <v>1900</v>
      </c>
      <c r="JX73" s="2283"/>
      <c r="JY73" s="2284"/>
      <c r="JZ73" s="1595"/>
      <c r="KA73" s="2280"/>
      <c r="KB73" s="2281"/>
      <c r="KC73" s="1596"/>
      <c r="KD73" s="1597"/>
      <c r="KE73" s="2282">
        <v>1900</v>
      </c>
      <c r="KF73" s="2283"/>
      <c r="KG73" s="2284"/>
      <c r="KH73" s="1595"/>
      <c r="KI73" s="2280"/>
      <c r="KJ73" s="2281"/>
      <c r="KK73" s="1596"/>
      <c r="KL73" s="1597"/>
      <c r="KM73" s="2282">
        <v>1900</v>
      </c>
      <c r="KN73" s="2283"/>
      <c r="KO73" s="2284"/>
      <c r="KP73" s="1595"/>
      <c r="KQ73" s="2280"/>
      <c r="KR73" s="2281"/>
      <c r="KS73" s="1596"/>
      <c r="KT73" s="1597"/>
      <c r="KY73" s="1782"/>
      <c r="KZ73" s="1783"/>
      <c r="LA73" s="1784"/>
      <c r="LB73" s="1785"/>
      <c r="LC73" s="1785"/>
      <c r="LD73" s="1786"/>
      <c r="LE73" s="1787"/>
      <c r="LF73" s="1788"/>
      <c r="LG73" s="1789"/>
      <c r="LH73" s="1790"/>
      <c r="LI73" s="1791"/>
      <c r="LJ73" s="1674"/>
      <c r="LK73" s="1674"/>
      <c r="LL73" s="1674"/>
      <c r="LM73" s="1674"/>
      <c r="LN73" s="1674"/>
      <c r="LO73" s="1674"/>
      <c r="LP73" s="1674"/>
      <c r="LQ73" s="1674"/>
      <c r="LR73" s="1674"/>
      <c r="LS73" s="1674"/>
      <c r="LT73" s="1674"/>
      <c r="LU73" s="1674"/>
      <c r="LV73" s="1674"/>
      <c r="LW73" s="1674"/>
      <c r="LX73" s="1674"/>
      <c r="LY73" s="1674"/>
      <c r="LZ73" s="1674"/>
      <c r="MA73" s="1674"/>
      <c r="MB73" s="1674"/>
      <c r="MC73" s="1674"/>
      <c r="MD73" s="1674"/>
      <c r="ME73" s="1674"/>
      <c r="MF73" s="1674"/>
      <c r="MG73" s="1674"/>
      <c r="MH73" s="1674"/>
      <c r="MI73" s="1674"/>
      <c r="MJ73" s="1674"/>
      <c r="MK73" s="1674"/>
      <c r="ML73" s="1674"/>
      <c r="MM73" s="1674"/>
      <c r="MN73" s="1674"/>
      <c r="MO73" s="1674"/>
      <c r="MP73" s="1674"/>
      <c r="MQ73" s="1674"/>
      <c r="MR73" s="1674"/>
    </row>
    <row r="74" spans="1:665" s="1674" customFormat="1" ht="27.6" customHeight="1">
      <c r="B74" s="1676"/>
      <c r="C74" s="1676"/>
      <c r="D74" s="1676"/>
      <c r="E74" s="1697" t="s">
        <v>873</v>
      </c>
      <c r="F74" s="1697"/>
      <c r="G74" s="1697"/>
      <c r="H74" s="1697"/>
      <c r="I74" s="1697"/>
      <c r="J74" s="1697"/>
      <c r="K74" s="1697"/>
      <c r="L74" s="1697"/>
      <c r="M74" s="1697"/>
      <c r="N74" s="1697"/>
      <c r="O74" s="1697"/>
      <c r="P74" s="1697"/>
      <c r="Q74" s="1697"/>
      <c r="R74" s="1697"/>
      <c r="S74" s="1697"/>
      <c r="T74" s="1697"/>
      <c r="U74" s="1697"/>
      <c r="V74" s="1697"/>
      <c r="W74" s="1697"/>
      <c r="X74" s="1697"/>
      <c r="Y74" s="1697"/>
      <c r="Z74" s="1697"/>
      <c r="AA74" s="1697"/>
      <c r="AB74" s="1697"/>
      <c r="AC74" s="1697"/>
      <c r="AD74" s="1697"/>
      <c r="AE74" s="1697"/>
      <c r="AF74" s="1697"/>
      <c r="AG74" s="1697"/>
      <c r="AH74" s="1697"/>
      <c r="AI74" s="1697"/>
      <c r="AJ74" s="1697"/>
      <c r="AK74" s="1697"/>
      <c r="AL74" s="1697"/>
      <c r="AM74" s="1697"/>
      <c r="AN74" s="1697"/>
      <c r="AO74" s="1697"/>
      <c r="AT74" s="1608"/>
      <c r="AU74" s="1608"/>
      <c r="AV74" s="1608"/>
      <c r="BI74" s="1608"/>
      <c r="BJ74" s="1608"/>
      <c r="BK74" s="1608"/>
      <c r="BL74" s="1769"/>
      <c r="BM74" s="1769"/>
      <c r="CB74" s="74"/>
      <c r="CC74" s="74"/>
      <c r="CD74" s="1608">
        <v>900</v>
      </c>
      <c r="CE74" s="1608">
        <v>900</v>
      </c>
      <c r="CF74" s="1608">
        <v>900</v>
      </c>
      <c r="CL74" s="1608">
        <v>900</v>
      </c>
      <c r="CM74" s="1608">
        <v>900</v>
      </c>
      <c r="CN74" s="1608">
        <v>900</v>
      </c>
      <c r="CT74" s="1608">
        <v>900</v>
      </c>
      <c r="CU74" s="1608">
        <v>900</v>
      </c>
      <c r="CV74" s="1608">
        <v>900</v>
      </c>
      <c r="DB74" s="1608">
        <v>900</v>
      </c>
      <c r="DC74" s="1608">
        <v>900</v>
      </c>
      <c r="DD74" s="1608">
        <v>900</v>
      </c>
      <c r="DJ74" s="74"/>
      <c r="DK74" s="74"/>
      <c r="DL74" s="1608">
        <v>900</v>
      </c>
      <c r="DM74" s="1608">
        <v>900</v>
      </c>
      <c r="DN74" s="1608">
        <v>900</v>
      </c>
      <c r="DT74" s="74"/>
      <c r="DU74" s="74"/>
      <c r="DV74" s="1608">
        <v>900</v>
      </c>
      <c r="DW74" s="1608">
        <v>900</v>
      </c>
      <c r="DX74" s="1608">
        <v>900</v>
      </c>
      <c r="ED74" s="74"/>
      <c r="EE74" s="74"/>
      <c r="EF74" s="1608">
        <v>900</v>
      </c>
      <c r="EG74" s="1608">
        <v>900</v>
      </c>
      <c r="EH74" s="1608">
        <v>900</v>
      </c>
      <c r="EN74" s="74"/>
      <c r="EO74" s="74"/>
      <c r="EP74" s="74"/>
      <c r="EQ74" s="74"/>
      <c r="ER74" s="74"/>
      <c r="ES74" s="1608">
        <v>900</v>
      </c>
      <c r="ET74" s="1608">
        <v>900</v>
      </c>
      <c r="EU74" s="1608">
        <v>900</v>
      </c>
      <c r="FA74" s="74"/>
      <c r="FB74" s="74"/>
      <c r="FC74" s="74"/>
      <c r="FD74" s="1608">
        <v>900</v>
      </c>
      <c r="FE74" s="1608">
        <v>900</v>
      </c>
      <c r="FF74" s="1608">
        <v>900</v>
      </c>
      <c r="FL74" s="74"/>
      <c r="FM74" s="74"/>
      <c r="FN74" s="74"/>
      <c r="FO74" s="74"/>
      <c r="FP74" s="74"/>
      <c r="FQ74" s="1608">
        <v>900</v>
      </c>
      <c r="FR74" s="1608">
        <v>900</v>
      </c>
      <c r="FS74" s="1608">
        <v>900</v>
      </c>
      <c r="FY74" s="74"/>
      <c r="FZ74" s="74"/>
      <c r="GA74" s="74"/>
      <c r="GB74" s="1608">
        <v>900</v>
      </c>
      <c r="GC74" s="1608">
        <v>900</v>
      </c>
      <c r="GD74" s="1608">
        <v>900</v>
      </c>
      <c r="GJ74" s="74"/>
      <c r="GK74" s="74"/>
      <c r="GL74" s="74"/>
      <c r="GM74" s="74"/>
      <c r="GN74" s="74"/>
      <c r="GO74" s="1608">
        <v>900</v>
      </c>
      <c r="GP74" s="1608">
        <v>900</v>
      </c>
      <c r="GQ74" s="1608">
        <v>900</v>
      </c>
      <c r="GW74" s="74"/>
      <c r="GX74" s="74"/>
      <c r="GY74" s="74"/>
      <c r="GZ74" s="1608">
        <v>900</v>
      </c>
      <c r="HA74" s="1608">
        <v>900</v>
      </c>
      <c r="HB74" s="1608">
        <v>900</v>
      </c>
      <c r="HH74" s="74"/>
      <c r="HI74" s="74"/>
      <c r="HJ74" s="74"/>
      <c r="HK74" s="74"/>
      <c r="HL74" s="74"/>
      <c r="HM74" s="1608">
        <v>900</v>
      </c>
      <c r="HN74" s="1608">
        <v>900</v>
      </c>
      <c r="HO74" s="1608">
        <v>900</v>
      </c>
      <c r="HU74" s="74"/>
      <c r="HV74" s="74"/>
      <c r="HW74" s="74"/>
      <c r="HX74" s="1608">
        <v>900</v>
      </c>
      <c r="HY74" s="1608">
        <v>900</v>
      </c>
      <c r="HZ74" s="1608">
        <v>900</v>
      </c>
      <c r="IF74" s="74"/>
      <c r="IG74" s="74"/>
      <c r="IH74" s="74"/>
      <c r="II74" s="74"/>
      <c r="IJ74" s="74"/>
      <c r="IK74" s="1608">
        <v>900</v>
      </c>
      <c r="IL74" s="1608">
        <v>900</v>
      </c>
      <c r="IM74" s="1608">
        <v>900</v>
      </c>
      <c r="IS74" s="74"/>
      <c r="IT74" s="74"/>
      <c r="IU74" s="74"/>
      <c r="IV74" s="1608">
        <v>900</v>
      </c>
      <c r="IW74" s="1608">
        <v>900</v>
      </c>
      <c r="IX74" s="1608">
        <v>900</v>
      </c>
      <c r="JD74" s="74"/>
      <c r="JE74" s="74"/>
      <c r="JF74" s="74"/>
      <c r="JG74" s="1608">
        <v>900</v>
      </c>
      <c r="JH74" s="1608">
        <v>900</v>
      </c>
      <c r="JI74" s="1608">
        <v>900</v>
      </c>
      <c r="JO74" s="1608">
        <v>900</v>
      </c>
      <c r="JP74" s="1608">
        <v>900</v>
      </c>
      <c r="JQ74" s="1608">
        <v>900</v>
      </c>
      <c r="JW74" s="1608">
        <v>900</v>
      </c>
      <c r="JX74" s="1608">
        <v>900</v>
      </c>
      <c r="JY74" s="1608">
        <v>900</v>
      </c>
      <c r="KE74" s="1608">
        <v>900</v>
      </c>
      <c r="KF74" s="1608">
        <v>900</v>
      </c>
      <c r="KG74" s="1608">
        <v>900</v>
      </c>
      <c r="KM74" s="1608">
        <v>900</v>
      </c>
      <c r="KN74" s="1608">
        <v>900</v>
      </c>
      <c r="KO74" s="1608">
        <v>900</v>
      </c>
      <c r="KY74" s="74"/>
      <c r="KZ74" s="74"/>
      <c r="LA74" s="74"/>
      <c r="LB74" s="74"/>
      <c r="LC74" s="74"/>
      <c r="LD74" s="74"/>
      <c r="LE74" s="74"/>
      <c r="LF74" s="74"/>
      <c r="LG74" s="74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74"/>
      <c r="LU74" s="74"/>
      <c r="LV74" s="74"/>
      <c r="LW74" s="74"/>
      <c r="LX74" s="74"/>
      <c r="LY74" s="74"/>
      <c r="LZ74" s="74"/>
      <c r="MA74" s="74"/>
      <c r="MB74" s="74"/>
      <c r="MC74" s="74"/>
      <c r="MD74" s="74"/>
      <c r="ME74" s="74"/>
      <c r="MF74" s="74"/>
      <c r="MG74" s="74"/>
      <c r="MH74" s="74"/>
      <c r="MI74" s="74"/>
      <c r="MJ74" s="74"/>
      <c r="MK74" s="74"/>
      <c r="ML74" s="74"/>
      <c r="MM74" s="74"/>
      <c r="MN74" s="74"/>
      <c r="MO74" s="74"/>
      <c r="MP74" s="74"/>
      <c r="MQ74" s="74"/>
      <c r="MR74" s="74"/>
    </row>
    <row r="75" spans="1:665" s="74" customFormat="1" ht="27.6" customHeight="1" thickBot="1">
      <c r="B75" s="49"/>
      <c r="C75" s="50"/>
      <c r="D75" s="134" t="s">
        <v>336</v>
      </c>
      <c r="E75" s="1694"/>
      <c r="F75" s="1694"/>
      <c r="G75" s="1694"/>
      <c r="H75" s="1694"/>
      <c r="I75" s="1694"/>
      <c r="J75" s="1694"/>
      <c r="K75" s="1694"/>
      <c r="L75" s="1694"/>
      <c r="M75" s="1694"/>
      <c r="N75" s="1694"/>
      <c r="O75" s="1694"/>
      <c r="P75" s="1694"/>
      <c r="Q75" s="1694"/>
      <c r="R75" s="1694"/>
      <c r="S75" s="1694"/>
      <c r="T75" s="1694"/>
      <c r="U75" s="1694"/>
      <c r="V75" s="1694"/>
      <c r="W75" s="1694"/>
      <c r="X75" s="1694"/>
      <c r="Y75" s="1694"/>
      <c r="Z75" s="1694"/>
      <c r="AA75" s="1694"/>
      <c r="AB75" s="1694"/>
      <c r="AC75" s="1694"/>
      <c r="AD75" s="1694"/>
      <c r="AE75" s="1694"/>
      <c r="AF75" s="1694"/>
      <c r="AG75" s="1694"/>
      <c r="AH75" s="1694"/>
      <c r="AI75" s="1694"/>
      <c r="AJ75" s="1694"/>
      <c r="AK75" s="1694"/>
      <c r="AL75" s="1694"/>
      <c r="AM75" s="1694"/>
      <c r="AN75" s="1694"/>
      <c r="AO75" s="1694"/>
      <c r="BJ75" s="1661"/>
      <c r="BK75" s="1634"/>
    </row>
    <row r="76" spans="1:665" s="74" customFormat="1" ht="27.6" customHeight="1" thickBot="1">
      <c r="B76" s="51" t="s">
        <v>50</v>
      </c>
      <c r="C76" s="43"/>
      <c r="D76" s="48" t="s">
        <v>338</v>
      </c>
      <c r="E76" s="1694"/>
      <c r="F76" s="1694"/>
      <c r="G76" s="1694"/>
      <c r="H76" s="1694"/>
      <c r="I76" s="1694"/>
      <c r="J76" s="1694"/>
      <c r="K76" s="1694"/>
      <c r="L76" s="1694"/>
      <c r="M76" s="1694"/>
      <c r="N76" s="1694"/>
      <c r="O76" s="1694"/>
      <c r="P76" s="1694"/>
      <c r="Q76" s="1694"/>
      <c r="R76" s="1694"/>
      <c r="S76" s="1694"/>
      <c r="T76" s="1694"/>
      <c r="U76" s="1694"/>
      <c r="V76" s="1694"/>
      <c r="W76" s="1694"/>
      <c r="X76" s="1694"/>
      <c r="Y76" s="1694"/>
      <c r="Z76" s="1694"/>
      <c r="AA76" s="1694"/>
      <c r="AB76" s="1694"/>
      <c r="AC76" s="1694"/>
      <c r="AD76" s="1694"/>
      <c r="AE76" s="1694"/>
      <c r="AF76" s="1694"/>
      <c r="AG76" s="1694"/>
      <c r="AH76" s="1694"/>
      <c r="AI76" s="1694"/>
      <c r="AJ76" s="1694"/>
      <c r="AK76" s="1694"/>
      <c r="AL76" s="1694"/>
      <c r="AM76" s="1694"/>
      <c r="AN76" s="1694"/>
      <c r="AO76" s="1694"/>
      <c r="CG76" s="2285" t="s">
        <v>1048</v>
      </c>
      <c r="CH76" s="2286"/>
      <c r="CI76" s="2287"/>
      <c r="CJ76" s="2288" t="s">
        <v>842</v>
      </c>
      <c r="CK76" s="2289"/>
      <c r="CL76" s="2289"/>
      <c r="CM76" s="2289"/>
      <c r="CN76" s="2290"/>
      <c r="CO76" s="2285" t="s">
        <v>1049</v>
      </c>
      <c r="CP76" s="2286"/>
      <c r="CQ76" s="2287"/>
      <c r="CR76" s="2288" t="s">
        <v>842</v>
      </c>
      <c r="CS76" s="2289"/>
      <c r="CT76" s="2289"/>
      <c r="CU76" s="2289"/>
      <c r="CV76" s="2290"/>
      <c r="CW76" s="2285" t="s">
        <v>1050</v>
      </c>
      <c r="CX76" s="2286"/>
      <c r="CY76" s="2287"/>
      <c r="CZ76" s="2288" t="s">
        <v>842</v>
      </c>
      <c r="DA76" s="2289"/>
      <c r="DB76" s="2289"/>
      <c r="DC76" s="2289"/>
      <c r="DD76" s="2290"/>
      <c r="DE76" s="2285" t="s">
        <v>1051</v>
      </c>
      <c r="DF76" s="2286"/>
      <c r="DG76" s="2287"/>
      <c r="DH76" s="2288" t="s">
        <v>842</v>
      </c>
      <c r="DI76" s="2289"/>
      <c r="DJ76" s="2289"/>
      <c r="DK76" s="2289"/>
      <c r="DL76" s="2290"/>
      <c r="DO76" s="2285" t="s">
        <v>1052</v>
      </c>
      <c r="DP76" s="2286"/>
      <c r="DQ76" s="2287"/>
      <c r="DR76" s="2288" t="s">
        <v>842</v>
      </c>
      <c r="DS76" s="2289"/>
      <c r="DT76" s="2289"/>
      <c r="DU76" s="2289"/>
      <c r="DV76" s="2290"/>
      <c r="DY76" s="2285" t="s">
        <v>1053</v>
      </c>
      <c r="DZ76" s="2286"/>
      <c r="EA76" s="2287"/>
      <c r="EB76" s="2288" t="s">
        <v>842</v>
      </c>
      <c r="EC76" s="2289"/>
      <c r="ED76" s="2289"/>
      <c r="EE76" s="2289"/>
      <c r="EF76" s="2290"/>
      <c r="EI76" s="2285" t="s">
        <v>1054</v>
      </c>
      <c r="EJ76" s="2286"/>
      <c r="EK76" s="2287"/>
      <c r="EL76" s="2288" t="s">
        <v>842</v>
      </c>
      <c r="EM76" s="2289"/>
      <c r="EN76" s="2289"/>
      <c r="EO76" s="2289"/>
      <c r="EP76" s="2290"/>
      <c r="EV76" s="2285" t="s">
        <v>1055</v>
      </c>
      <c r="EW76" s="2286"/>
      <c r="EX76" s="2287"/>
      <c r="EY76" s="2288" t="s">
        <v>842</v>
      </c>
      <c r="EZ76" s="2289"/>
      <c r="FA76" s="2289"/>
      <c r="FB76" s="2289"/>
      <c r="FC76" s="2290"/>
      <c r="FI76" s="2285" t="s">
        <v>1069</v>
      </c>
      <c r="FJ76" s="2286"/>
      <c r="FK76" s="2287"/>
      <c r="FL76" s="2288" t="s">
        <v>842</v>
      </c>
      <c r="FM76" s="2289"/>
      <c r="FN76" s="2289"/>
      <c r="FO76" s="2289"/>
      <c r="FP76" s="2290"/>
      <c r="FT76" s="2285" t="s">
        <v>1057</v>
      </c>
      <c r="FU76" s="2286"/>
      <c r="FV76" s="2287"/>
      <c r="FW76" s="2288" t="s">
        <v>842</v>
      </c>
      <c r="FX76" s="2289"/>
      <c r="FY76" s="2289"/>
      <c r="FZ76" s="2289"/>
      <c r="GA76" s="2290"/>
      <c r="GG76" s="2285" t="s">
        <v>1070</v>
      </c>
      <c r="GH76" s="2286"/>
      <c r="GI76" s="2287"/>
      <c r="GJ76" s="2288" t="s">
        <v>842</v>
      </c>
      <c r="GK76" s="2289"/>
      <c r="GL76" s="2289"/>
      <c r="GM76" s="2289"/>
      <c r="GN76" s="2290"/>
      <c r="GR76" s="2285" t="s">
        <v>1059</v>
      </c>
      <c r="GS76" s="2286"/>
      <c r="GT76" s="2287"/>
      <c r="GU76" s="2288" t="s">
        <v>842</v>
      </c>
      <c r="GV76" s="2289"/>
      <c r="GW76" s="2289"/>
      <c r="GX76" s="2289"/>
      <c r="GY76" s="2290"/>
      <c r="HE76" s="2285" t="s">
        <v>1071</v>
      </c>
      <c r="HF76" s="2286"/>
      <c r="HG76" s="2287"/>
      <c r="HH76" s="2288" t="s">
        <v>842</v>
      </c>
      <c r="HI76" s="2289"/>
      <c r="HJ76" s="2289"/>
      <c r="HK76" s="2289"/>
      <c r="HL76" s="2290"/>
      <c r="HP76" s="2285" t="s">
        <v>1061</v>
      </c>
      <c r="HQ76" s="2286"/>
      <c r="HR76" s="2287"/>
      <c r="HS76" s="2288" t="s">
        <v>842</v>
      </c>
      <c r="HT76" s="2289"/>
      <c r="HU76" s="2289"/>
      <c r="HV76" s="2289"/>
      <c r="HW76" s="2290"/>
      <c r="IC76" s="2285" t="s">
        <v>1072</v>
      </c>
      <c r="ID76" s="2286"/>
      <c r="IE76" s="2287"/>
      <c r="IF76" s="2288" t="s">
        <v>842</v>
      </c>
      <c r="IG76" s="2289"/>
      <c r="IH76" s="2289"/>
      <c r="II76" s="2289"/>
      <c r="IJ76" s="2290"/>
      <c r="IN76" s="2285" t="s">
        <v>1063</v>
      </c>
      <c r="IO76" s="2286"/>
      <c r="IP76" s="2287"/>
      <c r="IQ76" s="2288" t="s">
        <v>842</v>
      </c>
      <c r="IR76" s="2289"/>
      <c r="IS76" s="2289"/>
      <c r="IT76" s="2289"/>
      <c r="IU76" s="2290"/>
      <c r="JA76" s="2285" t="s">
        <v>1073</v>
      </c>
      <c r="JB76" s="2286"/>
      <c r="JC76" s="2287"/>
      <c r="JD76" s="2288" t="s">
        <v>842</v>
      </c>
      <c r="JE76" s="2289"/>
      <c r="JF76" s="2289"/>
      <c r="JG76" s="2289"/>
      <c r="JH76" s="2290"/>
      <c r="JJ76" s="2285" t="s">
        <v>1065</v>
      </c>
      <c r="JK76" s="2286"/>
      <c r="JL76" s="2287"/>
      <c r="JM76" s="2288" t="s">
        <v>842</v>
      </c>
      <c r="JN76" s="2289"/>
      <c r="JO76" s="2289"/>
      <c r="JP76" s="2289"/>
      <c r="JQ76" s="2290"/>
      <c r="JR76" s="2285" t="s">
        <v>1066</v>
      </c>
      <c r="JS76" s="2286"/>
      <c r="JT76" s="2287"/>
      <c r="JU76" s="2288" t="s">
        <v>842</v>
      </c>
      <c r="JV76" s="2289"/>
      <c r="JW76" s="2289"/>
      <c r="JX76" s="2289"/>
      <c r="JY76" s="2290"/>
      <c r="JZ76" s="2285" t="s">
        <v>1074</v>
      </c>
      <c r="KA76" s="2286"/>
      <c r="KB76" s="2287"/>
      <c r="KC76" s="2288" t="s">
        <v>842</v>
      </c>
      <c r="KD76" s="2289"/>
      <c r="KE76" s="2289"/>
      <c r="KF76" s="2289"/>
      <c r="KG76" s="2290"/>
      <c r="KH76" s="2285" t="s">
        <v>1067</v>
      </c>
      <c r="KI76" s="2286"/>
      <c r="KJ76" s="2287"/>
      <c r="KK76" s="2288" t="s">
        <v>842</v>
      </c>
      <c r="KL76" s="2289"/>
      <c r="KM76" s="2289"/>
      <c r="KN76" s="2289"/>
      <c r="KO76" s="2290"/>
      <c r="KP76" s="2285" t="s">
        <v>1068</v>
      </c>
      <c r="KQ76" s="2286"/>
      <c r="KR76" s="2287"/>
      <c r="KS76" s="2288" t="s">
        <v>842</v>
      </c>
      <c r="KT76" s="2289"/>
      <c r="KU76" s="2289"/>
      <c r="KV76" s="2289"/>
      <c r="KW76" s="2290"/>
      <c r="LE76" s="1772"/>
      <c r="LF76" s="1773"/>
      <c r="LG76" s="1774"/>
      <c r="LH76" s="1775"/>
      <c r="LI76" s="1775"/>
      <c r="LJ76" s="1776"/>
      <c r="LK76" s="1777"/>
      <c r="LL76" s="1778"/>
      <c r="LM76" s="1779"/>
      <c r="LN76" s="1780"/>
      <c r="LO76" s="1781"/>
    </row>
    <row r="77" spans="1:665" s="74" customFormat="1" ht="27.6" customHeight="1" thickBot="1">
      <c r="B77" s="51"/>
      <c r="C77" s="44"/>
      <c r="D77" s="52" t="s">
        <v>52</v>
      </c>
      <c r="E77" s="1694"/>
      <c r="F77" s="1694"/>
      <c r="G77" s="1694"/>
      <c r="H77" s="1694"/>
      <c r="I77" s="1694"/>
      <c r="J77" s="1694"/>
      <c r="K77" s="1694"/>
      <c r="L77" s="1694"/>
      <c r="M77" s="1694"/>
      <c r="N77" s="1694"/>
      <c r="O77" s="1694"/>
      <c r="P77" s="1694"/>
      <c r="Q77" s="1694"/>
      <c r="R77" s="1694"/>
      <c r="S77" s="1694"/>
      <c r="T77" s="1694"/>
      <c r="U77" s="1694"/>
      <c r="V77" s="1694"/>
      <c r="W77" s="1694"/>
      <c r="X77" s="1694"/>
      <c r="Y77" s="1694"/>
      <c r="Z77" s="1694"/>
      <c r="AA77" s="1694"/>
      <c r="AB77" s="1694"/>
      <c r="AC77" s="1694"/>
      <c r="AD77" s="1694"/>
      <c r="AE77" s="1694"/>
      <c r="AF77" s="1694"/>
      <c r="AG77" s="1694"/>
      <c r="AH77" s="1694"/>
      <c r="AI77" s="1694"/>
      <c r="AJ77" s="1694"/>
      <c r="AK77" s="1694"/>
      <c r="AL77" s="1694"/>
      <c r="AM77" s="1694"/>
      <c r="AN77" s="1694"/>
      <c r="AO77" s="1694"/>
      <c r="CB77" s="1674"/>
      <c r="CC77" s="1674"/>
      <c r="CD77" s="1674"/>
      <c r="CE77" s="1674"/>
      <c r="CF77" s="1674"/>
      <c r="CG77" s="2282">
        <v>1900</v>
      </c>
      <c r="CH77" s="2283"/>
      <c r="CI77" s="2284"/>
      <c r="CJ77" s="1595"/>
      <c r="CK77" s="2280"/>
      <c r="CL77" s="2281"/>
      <c r="CM77" s="1596"/>
      <c r="CN77" s="1597"/>
      <c r="CO77" s="2282">
        <v>1900</v>
      </c>
      <c r="CP77" s="2283"/>
      <c r="CQ77" s="2284"/>
      <c r="CR77" s="1595"/>
      <c r="CS77" s="2280"/>
      <c r="CT77" s="2281"/>
      <c r="CU77" s="1596"/>
      <c r="CV77" s="1597"/>
      <c r="CW77" s="2282">
        <v>1900</v>
      </c>
      <c r="CX77" s="2283"/>
      <c r="CY77" s="2284"/>
      <c r="CZ77" s="1595"/>
      <c r="DA77" s="2280"/>
      <c r="DB77" s="2281"/>
      <c r="DC77" s="1596"/>
      <c r="DD77" s="1597"/>
      <c r="DE77" s="2282">
        <v>1900</v>
      </c>
      <c r="DF77" s="2283"/>
      <c r="DG77" s="2284"/>
      <c r="DH77" s="1595"/>
      <c r="DI77" s="2280"/>
      <c r="DJ77" s="2281"/>
      <c r="DK77" s="1596"/>
      <c r="DL77" s="1597"/>
      <c r="DM77" s="1674"/>
      <c r="DN77" s="1674"/>
      <c r="DO77" s="2282">
        <v>1900</v>
      </c>
      <c r="DP77" s="2283"/>
      <c r="DQ77" s="2284"/>
      <c r="DR77" s="1595"/>
      <c r="DS77" s="2280"/>
      <c r="DT77" s="2281"/>
      <c r="DU77" s="1596"/>
      <c r="DV77" s="1597"/>
      <c r="DW77" s="1674"/>
      <c r="DX77" s="1674"/>
      <c r="DY77" s="2282">
        <v>1900</v>
      </c>
      <c r="DZ77" s="2283"/>
      <c r="EA77" s="2284"/>
      <c r="EB77" s="1595"/>
      <c r="EC77" s="2280"/>
      <c r="ED77" s="2281"/>
      <c r="EE77" s="1596"/>
      <c r="EF77" s="1597"/>
      <c r="EG77" s="1674"/>
      <c r="EH77" s="1674"/>
      <c r="EI77" s="2282">
        <v>1900</v>
      </c>
      <c r="EJ77" s="2283"/>
      <c r="EK77" s="2284"/>
      <c r="EL77" s="1595"/>
      <c r="EM77" s="2280"/>
      <c r="EN77" s="2281"/>
      <c r="EO77" s="1596"/>
      <c r="EP77" s="1597"/>
      <c r="EQ77" s="1674"/>
      <c r="ER77" s="1674"/>
      <c r="ES77" s="1674"/>
      <c r="ET77" s="1674"/>
      <c r="EU77" s="1674"/>
      <c r="EV77" s="2282">
        <v>1900</v>
      </c>
      <c r="EW77" s="2283"/>
      <c r="EX77" s="2284"/>
      <c r="EY77" s="1595"/>
      <c r="EZ77" s="2280"/>
      <c r="FA77" s="2281"/>
      <c r="FB77" s="1596"/>
      <c r="FC77" s="1597"/>
      <c r="FD77" s="1674"/>
      <c r="FE77" s="1674"/>
      <c r="FF77" s="1674"/>
      <c r="FG77" s="1674"/>
      <c r="FH77" s="1674"/>
      <c r="FI77" s="2282">
        <v>1900</v>
      </c>
      <c r="FJ77" s="2283"/>
      <c r="FK77" s="2284"/>
      <c r="FL77" s="1595"/>
      <c r="FM77" s="2280"/>
      <c r="FN77" s="2281"/>
      <c r="FO77" s="1596"/>
      <c r="FP77" s="1597"/>
      <c r="FQ77" s="1674"/>
      <c r="FR77" s="1674"/>
      <c r="FS77" s="1674"/>
      <c r="FT77" s="2282">
        <v>1900</v>
      </c>
      <c r="FU77" s="2283"/>
      <c r="FV77" s="2284"/>
      <c r="FW77" s="1595"/>
      <c r="FX77" s="2280"/>
      <c r="FY77" s="2281"/>
      <c r="FZ77" s="1596"/>
      <c r="GA77" s="1597"/>
      <c r="GB77" s="1674"/>
      <c r="GC77" s="1674"/>
      <c r="GD77" s="1674"/>
      <c r="GE77" s="1674"/>
      <c r="GF77" s="1674"/>
      <c r="GG77" s="2282">
        <v>1900</v>
      </c>
      <c r="GH77" s="2283"/>
      <c r="GI77" s="2284"/>
      <c r="GJ77" s="1595"/>
      <c r="GK77" s="2280"/>
      <c r="GL77" s="2281"/>
      <c r="GM77" s="1596"/>
      <c r="GN77" s="1597"/>
      <c r="GO77" s="1674"/>
      <c r="GP77" s="1674"/>
      <c r="GQ77" s="1674"/>
      <c r="GR77" s="2282">
        <v>1900</v>
      </c>
      <c r="GS77" s="2283"/>
      <c r="GT77" s="2284"/>
      <c r="GU77" s="1595"/>
      <c r="GV77" s="2280"/>
      <c r="GW77" s="2281"/>
      <c r="GX77" s="1596"/>
      <c r="GY77" s="1597"/>
      <c r="GZ77" s="1674"/>
      <c r="HA77" s="1674"/>
      <c r="HB77" s="1674"/>
      <c r="HC77" s="1674"/>
      <c r="HD77" s="1674"/>
      <c r="HE77" s="2282">
        <v>1900</v>
      </c>
      <c r="HF77" s="2283"/>
      <c r="HG77" s="2284"/>
      <c r="HH77" s="1595"/>
      <c r="HI77" s="2280"/>
      <c r="HJ77" s="2281"/>
      <c r="HK77" s="1596"/>
      <c r="HL77" s="1597"/>
      <c r="HM77" s="1674"/>
      <c r="HN77" s="1674"/>
      <c r="HO77" s="1674"/>
      <c r="HP77" s="2282">
        <v>1900</v>
      </c>
      <c r="HQ77" s="2283"/>
      <c r="HR77" s="2284"/>
      <c r="HS77" s="1595"/>
      <c r="HT77" s="2280"/>
      <c r="HU77" s="2281"/>
      <c r="HV77" s="1596"/>
      <c r="HW77" s="1597"/>
      <c r="HX77" s="1674"/>
      <c r="HY77" s="1674"/>
      <c r="HZ77" s="1674"/>
      <c r="IA77" s="1674"/>
      <c r="IB77" s="1674"/>
      <c r="IC77" s="2282">
        <v>1900</v>
      </c>
      <c r="ID77" s="2283"/>
      <c r="IE77" s="2284"/>
      <c r="IF77" s="1595"/>
      <c r="IG77" s="2280"/>
      <c r="IH77" s="2281"/>
      <c r="II77" s="1596"/>
      <c r="IJ77" s="1597"/>
      <c r="IK77" s="1674"/>
      <c r="IL77" s="1674"/>
      <c r="IM77" s="1674"/>
      <c r="IN77" s="2282">
        <v>1900</v>
      </c>
      <c r="IO77" s="2283"/>
      <c r="IP77" s="2284"/>
      <c r="IQ77" s="1595"/>
      <c r="IR77" s="2280"/>
      <c r="IS77" s="2281"/>
      <c r="IT77" s="1596"/>
      <c r="IU77" s="1597"/>
      <c r="IV77" s="1674"/>
      <c r="IW77" s="1674"/>
      <c r="IX77" s="1674"/>
      <c r="IY77" s="1674"/>
      <c r="IZ77" s="1674"/>
      <c r="JA77" s="2282">
        <v>1900</v>
      </c>
      <c r="JB77" s="2283"/>
      <c r="JC77" s="2284"/>
      <c r="JD77" s="1595"/>
      <c r="JE77" s="2280"/>
      <c r="JF77" s="2281"/>
      <c r="JG77" s="1596"/>
      <c r="JH77" s="1597"/>
      <c r="JI77" s="1674"/>
      <c r="JJ77" s="2282">
        <v>1900</v>
      </c>
      <c r="JK77" s="2283"/>
      <c r="JL77" s="2284"/>
      <c r="JM77" s="1595"/>
      <c r="JN77" s="2280"/>
      <c r="JO77" s="2281"/>
      <c r="JP77" s="1596"/>
      <c r="JQ77" s="1597"/>
      <c r="JR77" s="2282">
        <v>1900</v>
      </c>
      <c r="JS77" s="2283"/>
      <c r="JT77" s="2284"/>
      <c r="JU77" s="1595"/>
      <c r="JV77" s="2280"/>
      <c r="JW77" s="2281"/>
      <c r="JX77" s="1596"/>
      <c r="JY77" s="1597"/>
      <c r="JZ77" s="2282">
        <v>1900</v>
      </c>
      <c r="KA77" s="2283"/>
      <c r="KB77" s="2284"/>
      <c r="KC77" s="1595"/>
      <c r="KD77" s="2280"/>
      <c r="KE77" s="2281"/>
      <c r="KF77" s="1596"/>
      <c r="KG77" s="1597"/>
      <c r="KH77" s="2282">
        <v>1900</v>
      </c>
      <c r="KI77" s="2283"/>
      <c r="KJ77" s="2284"/>
      <c r="KK77" s="1595"/>
      <c r="KL77" s="2280"/>
      <c r="KM77" s="2281"/>
      <c r="KN77" s="1596"/>
      <c r="KO77" s="1597"/>
      <c r="KP77" s="2282">
        <v>1900</v>
      </c>
      <c r="KQ77" s="2283"/>
      <c r="KR77" s="2284"/>
      <c r="KS77" s="1595"/>
      <c r="KT77" s="2280"/>
      <c r="KU77" s="2281"/>
      <c r="KV77" s="1596"/>
      <c r="KW77" s="1597"/>
      <c r="KX77" s="1674"/>
      <c r="KY77" s="1674"/>
      <c r="LE77" s="1782"/>
      <c r="LF77" s="1783"/>
      <c r="LG77" s="1784"/>
      <c r="LH77" s="1785"/>
      <c r="LI77" s="1785"/>
      <c r="LJ77" s="1786"/>
      <c r="LK77" s="1787"/>
      <c r="LL77" s="1788"/>
      <c r="LM77" s="1789"/>
      <c r="LN77" s="1790"/>
      <c r="LO77" s="1791"/>
      <c r="LP77" s="1674"/>
      <c r="LQ77" s="1674"/>
      <c r="LR77" s="1674"/>
      <c r="LS77" s="1674"/>
      <c r="LT77" s="1674"/>
      <c r="LU77" s="1674"/>
      <c r="LV77" s="1674"/>
      <c r="LW77" s="1674"/>
      <c r="LX77" s="1674"/>
      <c r="LY77" s="1674"/>
      <c r="LZ77" s="1674"/>
      <c r="MA77" s="1674"/>
      <c r="MB77" s="1674"/>
      <c r="MC77" s="1674"/>
      <c r="MD77" s="1674"/>
      <c r="ME77" s="1674"/>
      <c r="MF77" s="1674"/>
      <c r="MG77" s="1674"/>
      <c r="MH77" s="1674"/>
      <c r="MI77" s="1674"/>
      <c r="MJ77" s="1674"/>
      <c r="MK77" s="1674"/>
      <c r="ML77" s="1674"/>
      <c r="MM77" s="1674"/>
      <c r="MN77" s="1674"/>
      <c r="MO77" s="1674"/>
      <c r="MP77" s="1674"/>
      <c r="MQ77" s="1674"/>
      <c r="MR77" s="1674"/>
    </row>
    <row r="78" spans="1:665" s="1674" customFormat="1" ht="27.6" customHeight="1">
      <c r="B78" s="1686"/>
      <c r="C78" s="1686"/>
      <c r="D78" s="1686"/>
      <c r="E78" s="1697" t="s">
        <v>873</v>
      </c>
      <c r="F78" s="1697"/>
      <c r="G78" s="1697"/>
      <c r="H78" s="1697"/>
      <c r="I78" s="1697"/>
      <c r="J78" s="1697"/>
      <c r="K78" s="1697"/>
      <c r="L78" s="1697"/>
      <c r="M78" s="1697"/>
      <c r="N78" s="1697"/>
      <c r="O78" s="1697"/>
      <c r="P78" s="1697"/>
      <c r="Q78" s="1697"/>
      <c r="R78" s="1697"/>
      <c r="S78" s="1697"/>
      <c r="T78" s="1697"/>
      <c r="U78" s="1697"/>
      <c r="V78" s="1697"/>
      <c r="W78" s="1697"/>
      <c r="X78" s="1697"/>
      <c r="Y78" s="1697"/>
      <c r="Z78" s="1697"/>
      <c r="AA78" s="1697"/>
      <c r="AB78" s="1697"/>
      <c r="AC78" s="1697"/>
      <c r="AD78" s="1697"/>
      <c r="AE78" s="1697"/>
      <c r="AF78" s="1697"/>
      <c r="AG78" s="1697"/>
      <c r="AH78" s="1697"/>
      <c r="AI78" s="1697"/>
      <c r="AJ78" s="1697"/>
      <c r="AK78" s="1697"/>
      <c r="AL78" s="1697"/>
      <c r="AM78" s="1697"/>
      <c r="AN78" s="1697"/>
      <c r="AO78" s="1697"/>
      <c r="BJ78" s="1685"/>
      <c r="BK78" s="1685"/>
      <c r="BL78" s="1769"/>
      <c r="BM78" s="1769"/>
      <c r="CB78" s="74"/>
      <c r="CC78" s="74"/>
      <c r="CD78" s="74"/>
      <c r="CE78" s="74"/>
      <c r="CF78" s="74"/>
      <c r="CG78" s="1608">
        <v>900</v>
      </c>
      <c r="CH78" s="1608">
        <v>900</v>
      </c>
      <c r="CI78" s="1608">
        <v>900</v>
      </c>
      <c r="CO78" s="1608">
        <v>900</v>
      </c>
      <c r="CP78" s="1608">
        <v>900</v>
      </c>
      <c r="CQ78" s="1608">
        <v>900</v>
      </c>
      <c r="CW78" s="1608">
        <v>900</v>
      </c>
      <c r="CX78" s="1608">
        <v>900</v>
      </c>
      <c r="CY78" s="1608">
        <v>900</v>
      </c>
      <c r="DE78" s="1608">
        <v>900</v>
      </c>
      <c r="DF78" s="1608">
        <v>900</v>
      </c>
      <c r="DG78" s="1608">
        <v>900</v>
      </c>
      <c r="DM78" s="74"/>
      <c r="DN78" s="74"/>
      <c r="DO78" s="1608">
        <v>900</v>
      </c>
      <c r="DP78" s="1608">
        <v>900</v>
      </c>
      <c r="DQ78" s="1608">
        <v>900</v>
      </c>
      <c r="DW78" s="74"/>
      <c r="DX78" s="74"/>
      <c r="DY78" s="1608">
        <v>900</v>
      </c>
      <c r="DZ78" s="1608">
        <v>900</v>
      </c>
      <c r="EA78" s="1608">
        <v>900</v>
      </c>
      <c r="EG78" s="74"/>
      <c r="EH78" s="74"/>
      <c r="EI78" s="1608">
        <v>900</v>
      </c>
      <c r="EJ78" s="1608">
        <v>900</v>
      </c>
      <c r="EK78" s="1608">
        <v>900</v>
      </c>
      <c r="EQ78" s="74"/>
      <c r="ER78" s="74"/>
      <c r="ES78" s="74"/>
      <c r="ET78" s="74"/>
      <c r="EU78" s="74"/>
      <c r="EV78" s="1608">
        <v>900</v>
      </c>
      <c r="EW78" s="1608">
        <v>900</v>
      </c>
      <c r="EX78" s="1608">
        <v>900</v>
      </c>
      <c r="FD78" s="74"/>
      <c r="FE78" s="74"/>
      <c r="FF78" s="74"/>
      <c r="FG78" s="74"/>
      <c r="FH78" s="74"/>
      <c r="FI78" s="1608">
        <v>900</v>
      </c>
      <c r="FJ78" s="1608">
        <v>900</v>
      </c>
      <c r="FK78" s="1608">
        <v>900</v>
      </c>
      <c r="FQ78" s="74"/>
      <c r="FR78" s="74"/>
      <c r="FS78" s="74"/>
      <c r="FT78" s="1608">
        <v>900</v>
      </c>
      <c r="FU78" s="1608">
        <v>900</v>
      </c>
      <c r="FV78" s="1608">
        <v>900</v>
      </c>
      <c r="GB78" s="74"/>
      <c r="GC78" s="74"/>
      <c r="GD78" s="74"/>
      <c r="GE78" s="74"/>
      <c r="GF78" s="74"/>
      <c r="GG78" s="1608">
        <v>900</v>
      </c>
      <c r="GH78" s="1608">
        <v>900</v>
      </c>
      <c r="GI78" s="1608">
        <v>900</v>
      </c>
      <c r="GO78" s="74"/>
      <c r="GP78" s="74"/>
      <c r="GQ78" s="74"/>
      <c r="GR78" s="1608">
        <v>900</v>
      </c>
      <c r="GS78" s="1608">
        <v>900</v>
      </c>
      <c r="GT78" s="1608">
        <v>900</v>
      </c>
      <c r="GZ78" s="74"/>
      <c r="HA78" s="74"/>
      <c r="HB78" s="74"/>
      <c r="HC78" s="74"/>
      <c r="HD78" s="74"/>
      <c r="HE78" s="1608">
        <v>900</v>
      </c>
      <c r="HF78" s="1608">
        <v>900</v>
      </c>
      <c r="HG78" s="1608">
        <v>900</v>
      </c>
      <c r="HM78" s="74"/>
      <c r="HN78" s="74"/>
      <c r="HO78" s="74"/>
      <c r="HP78" s="1608">
        <v>900</v>
      </c>
      <c r="HQ78" s="1608">
        <v>900</v>
      </c>
      <c r="HR78" s="1608">
        <v>900</v>
      </c>
      <c r="HX78" s="74"/>
      <c r="HY78" s="74"/>
      <c r="HZ78" s="74"/>
      <c r="IA78" s="74"/>
      <c r="IB78" s="74"/>
      <c r="IC78" s="1608">
        <v>900</v>
      </c>
      <c r="ID78" s="1608">
        <v>900</v>
      </c>
      <c r="IE78" s="1608">
        <v>900</v>
      </c>
      <c r="IK78" s="74"/>
      <c r="IL78" s="74"/>
      <c r="IM78" s="74"/>
      <c r="IN78" s="1608">
        <v>900</v>
      </c>
      <c r="IO78" s="1608">
        <v>900</v>
      </c>
      <c r="IP78" s="1608">
        <v>900</v>
      </c>
      <c r="IV78" s="74"/>
      <c r="IW78" s="74"/>
      <c r="IX78" s="74"/>
      <c r="IY78" s="74"/>
      <c r="IZ78" s="74"/>
      <c r="JA78" s="1608">
        <v>900</v>
      </c>
      <c r="JB78" s="1608">
        <v>900</v>
      </c>
      <c r="JC78" s="1608">
        <v>900</v>
      </c>
      <c r="JI78" s="74"/>
      <c r="JJ78" s="1608">
        <v>900</v>
      </c>
      <c r="JK78" s="1608">
        <v>900</v>
      </c>
      <c r="JL78" s="1608">
        <v>900</v>
      </c>
      <c r="JR78" s="1608">
        <v>900</v>
      </c>
      <c r="JS78" s="1608">
        <v>900</v>
      </c>
      <c r="JT78" s="1608">
        <v>900</v>
      </c>
      <c r="JZ78" s="1608">
        <v>900</v>
      </c>
      <c r="KA78" s="1608">
        <v>900</v>
      </c>
      <c r="KB78" s="1608">
        <v>900</v>
      </c>
      <c r="KH78" s="1608">
        <v>900</v>
      </c>
      <c r="KI78" s="1608">
        <v>900</v>
      </c>
      <c r="KJ78" s="1608">
        <v>900</v>
      </c>
      <c r="KP78" s="1608">
        <v>900</v>
      </c>
      <c r="KQ78" s="1608">
        <v>900</v>
      </c>
      <c r="KR78" s="1608">
        <v>900</v>
      </c>
      <c r="KX78" s="74"/>
      <c r="KY78" s="74"/>
      <c r="LE78" s="74"/>
      <c r="LF78" s="74"/>
      <c r="LG78" s="74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74"/>
      <c r="LU78" s="74"/>
      <c r="LV78" s="74"/>
      <c r="LW78" s="74"/>
      <c r="LX78" s="74"/>
      <c r="LY78" s="74"/>
      <c r="LZ78" s="74"/>
      <c r="MA78" s="74"/>
      <c r="MB78" s="74"/>
      <c r="MC78" s="74"/>
      <c r="MD78" s="74"/>
      <c r="ME78" s="74"/>
      <c r="MF78" s="74"/>
      <c r="MG78" s="74"/>
      <c r="MH78" s="74"/>
      <c r="MI78" s="74"/>
      <c r="MJ78" s="74"/>
      <c r="MK78" s="74"/>
      <c r="ML78" s="74"/>
      <c r="MM78" s="74"/>
      <c r="MN78" s="74"/>
      <c r="MO78" s="74"/>
      <c r="MP78" s="74"/>
      <c r="MQ78" s="74"/>
      <c r="MR78" s="74"/>
    </row>
    <row r="79" spans="1:665" s="74" customFormat="1" ht="27.6" customHeight="1" thickBot="1">
      <c r="B79" s="53"/>
      <c r="C79" s="274" t="s">
        <v>288</v>
      </c>
      <c r="D79" s="1620"/>
      <c r="E79" s="1694"/>
      <c r="F79" s="1694"/>
      <c r="G79" s="1694"/>
      <c r="H79" s="1694"/>
      <c r="I79" s="1694"/>
      <c r="J79" s="1694"/>
      <c r="K79" s="1694"/>
      <c r="L79" s="1694"/>
      <c r="M79" s="1694"/>
      <c r="N79" s="1694"/>
      <c r="O79" s="1694"/>
      <c r="P79" s="1694"/>
      <c r="Q79" s="1694"/>
      <c r="R79" s="1694"/>
      <c r="S79" s="1694"/>
      <c r="T79" s="1694"/>
      <c r="U79" s="1694"/>
      <c r="V79" s="1694"/>
      <c r="W79" s="1694"/>
      <c r="X79" s="1694"/>
      <c r="Y79" s="1694"/>
      <c r="Z79" s="1694"/>
      <c r="AA79" s="1694"/>
      <c r="AB79" s="1694"/>
      <c r="AC79" s="1694"/>
      <c r="AD79" s="1694"/>
      <c r="AE79" s="1694"/>
      <c r="AF79" s="1694"/>
      <c r="AG79" s="1694"/>
      <c r="AH79" s="1694"/>
      <c r="AI79" s="1694"/>
      <c r="AJ79" s="1694"/>
      <c r="AK79" s="1694"/>
      <c r="AL79" s="1694"/>
      <c r="AM79" s="1694"/>
      <c r="AN79" s="1694"/>
      <c r="AO79" s="1694"/>
      <c r="BJ79" s="1770"/>
      <c r="BK79" s="1770"/>
      <c r="BL79" s="1771"/>
      <c r="BM79" s="1771"/>
    </row>
    <row r="80" spans="1:665" s="74" customFormat="1" ht="27.6" customHeight="1" thickBot="1">
      <c r="B80" s="54" t="s">
        <v>51</v>
      </c>
      <c r="C80" s="275"/>
      <c r="D80" s="1621" t="s">
        <v>289</v>
      </c>
      <c r="E80" s="1694"/>
      <c r="F80" s="1694"/>
      <c r="G80" s="1694"/>
      <c r="H80" s="1694"/>
      <c r="I80" s="1694"/>
      <c r="J80" s="1694"/>
      <c r="K80" s="1694"/>
      <c r="L80" s="1694"/>
      <c r="M80" s="1694"/>
      <c r="N80" s="1694"/>
      <c r="O80" s="1694"/>
      <c r="P80" s="1694"/>
      <c r="Q80" s="1694"/>
      <c r="R80" s="1694"/>
      <c r="S80" s="1694"/>
      <c r="T80" s="1694"/>
      <c r="U80" s="1694"/>
      <c r="V80" s="1694"/>
      <c r="W80" s="1694"/>
      <c r="X80" s="1694"/>
      <c r="Y80" s="1694"/>
      <c r="Z80" s="1694"/>
      <c r="AA80" s="1694"/>
      <c r="AB80" s="1694"/>
      <c r="AC80" s="1694"/>
      <c r="AD80" s="1694"/>
      <c r="AE80" s="1694"/>
      <c r="AF80" s="1694"/>
      <c r="AG80" s="1694"/>
      <c r="AH80" s="1694"/>
      <c r="AI80" s="1694"/>
      <c r="AJ80" s="1694"/>
      <c r="AK80" s="1694"/>
      <c r="AL80" s="1694"/>
      <c r="AM80" s="1694"/>
      <c r="AN80" s="1694"/>
      <c r="AO80" s="1694"/>
      <c r="CJ80" s="2285" t="s">
        <v>1048</v>
      </c>
      <c r="CK80" s="2286"/>
      <c r="CL80" s="2287"/>
      <c r="CM80" s="2288" t="s">
        <v>842</v>
      </c>
      <c r="CN80" s="2289"/>
      <c r="CO80" s="2289"/>
      <c r="CP80" s="2289"/>
      <c r="CQ80" s="2290"/>
      <c r="CR80" s="2285" t="s">
        <v>1049</v>
      </c>
      <c r="CS80" s="2286"/>
      <c r="CT80" s="2287"/>
      <c r="CU80" s="2288" t="s">
        <v>842</v>
      </c>
      <c r="CV80" s="2289"/>
      <c r="CW80" s="2289"/>
      <c r="CX80" s="2289"/>
      <c r="CY80" s="2290"/>
      <c r="CZ80" s="2285" t="s">
        <v>1050</v>
      </c>
      <c r="DA80" s="2286"/>
      <c r="DB80" s="2287"/>
      <c r="DC80" s="2288" t="s">
        <v>842</v>
      </c>
      <c r="DD80" s="2289"/>
      <c r="DE80" s="2289"/>
      <c r="DF80" s="2289"/>
      <c r="DG80" s="2290"/>
      <c r="DH80" s="2285" t="s">
        <v>1051</v>
      </c>
      <c r="DI80" s="2286"/>
      <c r="DJ80" s="2287"/>
      <c r="DK80" s="2288" t="s">
        <v>842</v>
      </c>
      <c r="DL80" s="2289"/>
      <c r="DM80" s="2289"/>
      <c r="DN80" s="2289"/>
      <c r="DO80" s="2290"/>
      <c r="DR80" s="2285" t="s">
        <v>1052</v>
      </c>
      <c r="DS80" s="2286"/>
      <c r="DT80" s="2287"/>
      <c r="DU80" s="2288" t="s">
        <v>842</v>
      </c>
      <c r="DV80" s="2289"/>
      <c r="DW80" s="2289"/>
      <c r="DX80" s="2289"/>
      <c r="DY80" s="2290"/>
      <c r="EB80" s="2285" t="s">
        <v>1053</v>
      </c>
      <c r="EC80" s="2286"/>
      <c r="ED80" s="2287"/>
      <c r="EE80" s="2288" t="s">
        <v>842</v>
      </c>
      <c r="EF80" s="2289"/>
      <c r="EG80" s="2289"/>
      <c r="EH80" s="2289"/>
      <c r="EI80" s="2290"/>
      <c r="EL80" s="2285" t="s">
        <v>1054</v>
      </c>
      <c r="EM80" s="2286"/>
      <c r="EN80" s="2287"/>
      <c r="EO80" s="2288" t="s">
        <v>842</v>
      </c>
      <c r="EP80" s="2289"/>
      <c r="EQ80" s="2289"/>
      <c r="ER80" s="2289"/>
      <c r="ES80" s="2290"/>
      <c r="FA80" s="2285" t="s">
        <v>1056</v>
      </c>
      <c r="FB80" s="2286"/>
      <c r="FC80" s="2287"/>
      <c r="FD80" s="2288" t="s">
        <v>842</v>
      </c>
      <c r="FE80" s="2289"/>
      <c r="FF80" s="2289"/>
      <c r="FG80" s="2289"/>
      <c r="FH80" s="2290"/>
      <c r="FL80" s="2285" t="s">
        <v>1069</v>
      </c>
      <c r="FM80" s="2286"/>
      <c r="FN80" s="2287"/>
      <c r="FO80" s="2288" t="s">
        <v>842</v>
      </c>
      <c r="FP80" s="2289"/>
      <c r="FQ80" s="2289"/>
      <c r="FR80" s="2289"/>
      <c r="FS80" s="2290"/>
      <c r="FY80" s="2285" t="s">
        <v>1058</v>
      </c>
      <c r="FZ80" s="2286"/>
      <c r="GA80" s="2287"/>
      <c r="GB80" s="2288" t="s">
        <v>842</v>
      </c>
      <c r="GC80" s="2289"/>
      <c r="GD80" s="2289"/>
      <c r="GE80" s="2289"/>
      <c r="GF80" s="2290"/>
      <c r="GJ80" s="2285" t="s">
        <v>1070</v>
      </c>
      <c r="GK80" s="2286"/>
      <c r="GL80" s="2287"/>
      <c r="GM80" s="2288" t="s">
        <v>842</v>
      </c>
      <c r="GN80" s="2289"/>
      <c r="GO80" s="2289"/>
      <c r="GP80" s="2289"/>
      <c r="GQ80" s="2290"/>
      <c r="GW80" s="2285" t="s">
        <v>1060</v>
      </c>
      <c r="GX80" s="2286"/>
      <c r="GY80" s="2287"/>
      <c r="GZ80" s="2288" t="s">
        <v>842</v>
      </c>
      <c r="HA80" s="2289"/>
      <c r="HB80" s="2289"/>
      <c r="HC80" s="2289"/>
      <c r="HD80" s="2290"/>
      <c r="HH80" s="2285" t="s">
        <v>1071</v>
      </c>
      <c r="HI80" s="2286"/>
      <c r="HJ80" s="2287"/>
      <c r="HK80" s="2288" t="s">
        <v>842</v>
      </c>
      <c r="HL80" s="2289"/>
      <c r="HM80" s="2289"/>
      <c r="HN80" s="2289"/>
      <c r="HO80" s="2290"/>
      <c r="HU80" s="2285" t="s">
        <v>1062</v>
      </c>
      <c r="HV80" s="2286"/>
      <c r="HW80" s="2287"/>
      <c r="HX80" s="2288" t="s">
        <v>842</v>
      </c>
      <c r="HY80" s="2289"/>
      <c r="HZ80" s="2289"/>
      <c r="IA80" s="2289"/>
      <c r="IB80" s="2290"/>
      <c r="IF80" s="2285" t="s">
        <v>1072</v>
      </c>
      <c r="IG80" s="2286"/>
      <c r="IH80" s="2287"/>
      <c r="II80" s="2288" t="s">
        <v>842</v>
      </c>
      <c r="IJ80" s="2289"/>
      <c r="IK80" s="2289"/>
      <c r="IL80" s="2289"/>
      <c r="IM80" s="2290"/>
      <c r="IS80" s="2285" t="s">
        <v>1064</v>
      </c>
      <c r="IT80" s="2286"/>
      <c r="IU80" s="2287"/>
      <c r="IV80" s="2288" t="s">
        <v>842</v>
      </c>
      <c r="IW80" s="2289"/>
      <c r="IX80" s="2289"/>
      <c r="IY80" s="2289"/>
      <c r="IZ80" s="2290"/>
      <c r="JD80" s="2285" t="s">
        <v>1073</v>
      </c>
      <c r="JE80" s="2286"/>
      <c r="JF80" s="2287"/>
      <c r="JG80" s="2288" t="s">
        <v>842</v>
      </c>
      <c r="JH80" s="2289"/>
      <c r="JI80" s="2289"/>
      <c r="JJ80" s="2289"/>
      <c r="JK80" s="2290"/>
      <c r="JM80" s="2285" t="s">
        <v>1065</v>
      </c>
      <c r="JN80" s="2286"/>
      <c r="JO80" s="2287"/>
      <c r="JP80" s="2288" t="s">
        <v>842</v>
      </c>
      <c r="JQ80" s="2289"/>
      <c r="JR80" s="2289"/>
      <c r="JS80" s="2289"/>
      <c r="JT80" s="2290"/>
      <c r="JU80" s="2285" t="s">
        <v>1066</v>
      </c>
      <c r="JV80" s="2286"/>
      <c r="JW80" s="2287"/>
      <c r="JX80" s="2288" t="s">
        <v>842</v>
      </c>
      <c r="JY80" s="2289"/>
      <c r="JZ80" s="2289"/>
      <c r="KA80" s="2289"/>
      <c r="KB80" s="2290"/>
      <c r="KC80" s="2285" t="s">
        <v>1074</v>
      </c>
      <c r="KD80" s="2286"/>
      <c r="KE80" s="2287"/>
      <c r="KF80" s="2288" t="s">
        <v>842</v>
      </c>
      <c r="KG80" s="2289"/>
      <c r="KH80" s="2289"/>
      <c r="KI80" s="2289"/>
      <c r="KJ80" s="2290"/>
      <c r="KK80" s="2285" t="s">
        <v>1067</v>
      </c>
      <c r="KL80" s="2286"/>
      <c r="KM80" s="2287"/>
      <c r="KN80" s="2288" t="s">
        <v>842</v>
      </c>
      <c r="KO80" s="2289"/>
      <c r="KP80" s="2289"/>
      <c r="KQ80" s="2289"/>
      <c r="KR80" s="2290"/>
      <c r="KS80" s="2285" t="s">
        <v>1068</v>
      </c>
      <c r="KT80" s="2286"/>
      <c r="KU80" s="2287"/>
      <c r="KV80" s="2288" t="s">
        <v>842</v>
      </c>
      <c r="KW80" s="2289"/>
      <c r="KX80" s="2289"/>
      <c r="KY80" s="2289"/>
      <c r="KZ80" s="2290"/>
      <c r="LK80" s="1772"/>
      <c r="LL80" s="1773"/>
      <c r="LM80" s="1774"/>
      <c r="LN80" s="1775"/>
      <c r="LO80" s="1775"/>
      <c r="LP80" s="1776"/>
      <c r="LQ80" s="1777"/>
      <c r="LR80" s="1778"/>
      <c r="LS80" s="1779"/>
      <c r="LT80" s="1780"/>
      <c r="LU80" s="1781"/>
    </row>
    <row r="81" spans="1:665" s="74" customFormat="1" ht="27.6" customHeight="1" thickBot="1">
      <c r="B81" s="54"/>
      <c r="C81" s="276"/>
      <c r="D81" s="134" t="s">
        <v>290</v>
      </c>
      <c r="E81" s="1694"/>
      <c r="F81" s="1694"/>
      <c r="G81" s="1694"/>
      <c r="H81" s="1694"/>
      <c r="I81" s="1694"/>
      <c r="J81" s="1694"/>
      <c r="K81" s="1694"/>
      <c r="L81" s="1694"/>
      <c r="M81" s="1694"/>
      <c r="N81" s="1694"/>
      <c r="O81" s="1694"/>
      <c r="P81" s="1694"/>
      <c r="Q81" s="1694"/>
      <c r="R81" s="1694"/>
      <c r="S81" s="1694"/>
      <c r="T81" s="1694"/>
      <c r="U81" s="1694"/>
      <c r="V81" s="1694"/>
      <c r="W81" s="1694"/>
      <c r="X81" s="1694"/>
      <c r="Y81" s="1694"/>
      <c r="Z81" s="1694"/>
      <c r="AA81" s="1694"/>
      <c r="AB81" s="1694"/>
      <c r="AC81" s="1694"/>
      <c r="AD81" s="1694"/>
      <c r="AE81" s="1694"/>
      <c r="AF81" s="1694"/>
      <c r="AG81" s="1694"/>
      <c r="AH81" s="1694"/>
      <c r="AI81" s="1694"/>
      <c r="AJ81" s="1694"/>
      <c r="AK81" s="1694"/>
      <c r="AL81" s="1694"/>
      <c r="AM81" s="1694"/>
      <c r="AN81" s="1694"/>
      <c r="AO81" s="1694"/>
      <c r="CB81" s="1674"/>
      <c r="CC81" s="1674"/>
      <c r="CD81" s="1674"/>
      <c r="CE81" s="1674"/>
      <c r="CF81" s="1674"/>
      <c r="CG81" s="1674"/>
      <c r="CH81" s="1674"/>
      <c r="CI81" s="1674"/>
      <c r="CJ81" s="2282">
        <v>1900</v>
      </c>
      <c r="CK81" s="2283"/>
      <c r="CL81" s="2284"/>
      <c r="CM81" s="1595"/>
      <c r="CN81" s="2280"/>
      <c r="CO81" s="2281"/>
      <c r="CP81" s="1596"/>
      <c r="CQ81" s="1597"/>
      <c r="CR81" s="2282">
        <v>1900</v>
      </c>
      <c r="CS81" s="2283"/>
      <c r="CT81" s="2284"/>
      <c r="CU81" s="1595"/>
      <c r="CV81" s="2280"/>
      <c r="CW81" s="2281"/>
      <c r="CX81" s="1596"/>
      <c r="CY81" s="1597"/>
      <c r="CZ81" s="2282">
        <v>1900</v>
      </c>
      <c r="DA81" s="2283"/>
      <c r="DB81" s="2284"/>
      <c r="DC81" s="1595"/>
      <c r="DD81" s="2280"/>
      <c r="DE81" s="2281"/>
      <c r="DF81" s="1596"/>
      <c r="DG81" s="1597"/>
      <c r="DH81" s="2282">
        <v>1900</v>
      </c>
      <c r="DI81" s="2283"/>
      <c r="DJ81" s="2284"/>
      <c r="DK81" s="1595"/>
      <c r="DL81" s="2280"/>
      <c r="DM81" s="2281"/>
      <c r="DN81" s="1596"/>
      <c r="DO81" s="1597"/>
      <c r="DP81" s="1674"/>
      <c r="DQ81" s="1674"/>
      <c r="DR81" s="2282">
        <v>1900</v>
      </c>
      <c r="DS81" s="2283"/>
      <c r="DT81" s="2284"/>
      <c r="DU81" s="1595"/>
      <c r="DV81" s="2280"/>
      <c r="DW81" s="2281"/>
      <c r="DX81" s="1596"/>
      <c r="DY81" s="1597"/>
      <c r="DZ81" s="1674"/>
      <c r="EA81" s="1674"/>
      <c r="EB81" s="2282">
        <v>1900</v>
      </c>
      <c r="EC81" s="2283"/>
      <c r="ED81" s="2284"/>
      <c r="EE81" s="1595"/>
      <c r="EF81" s="2280"/>
      <c r="EG81" s="2281"/>
      <c r="EH81" s="1596"/>
      <c r="EI81" s="1597"/>
      <c r="EJ81" s="1674"/>
      <c r="EK81" s="1674"/>
      <c r="EL81" s="2282">
        <v>1900</v>
      </c>
      <c r="EM81" s="2283"/>
      <c r="EN81" s="2284"/>
      <c r="EO81" s="1595"/>
      <c r="EP81" s="2280"/>
      <c r="EQ81" s="2281"/>
      <c r="ER81" s="1596"/>
      <c r="ES81" s="1597"/>
      <c r="ET81" s="1674"/>
      <c r="EU81" s="1674"/>
      <c r="EV81" s="1674"/>
      <c r="EW81" s="1674"/>
      <c r="EX81" s="1674"/>
      <c r="EY81" s="1674"/>
      <c r="EZ81" s="1674"/>
      <c r="FA81" s="2282">
        <v>1900</v>
      </c>
      <c r="FB81" s="2283"/>
      <c r="FC81" s="2284"/>
      <c r="FD81" s="1595"/>
      <c r="FE81" s="2280"/>
      <c r="FF81" s="2281"/>
      <c r="FG81" s="1596"/>
      <c r="FH81" s="1597"/>
      <c r="FI81" s="1674"/>
      <c r="FJ81" s="1674"/>
      <c r="FK81" s="1674"/>
      <c r="FL81" s="2282">
        <v>1900</v>
      </c>
      <c r="FM81" s="2283"/>
      <c r="FN81" s="2284"/>
      <c r="FO81" s="1595"/>
      <c r="FP81" s="2280"/>
      <c r="FQ81" s="2281"/>
      <c r="FR81" s="1596"/>
      <c r="FS81" s="1597"/>
      <c r="FT81" s="1674"/>
      <c r="FU81" s="1674"/>
      <c r="FV81" s="1674"/>
      <c r="FW81" s="1674"/>
      <c r="FY81" s="2282">
        <v>1900</v>
      </c>
      <c r="FZ81" s="2283"/>
      <c r="GA81" s="2284"/>
      <c r="GB81" s="1595"/>
      <c r="GC81" s="2280"/>
      <c r="GD81" s="2281"/>
      <c r="GE81" s="1596"/>
      <c r="GF81" s="1597"/>
      <c r="GG81" s="1674"/>
      <c r="GH81" s="1674"/>
      <c r="GI81" s="1674"/>
      <c r="GJ81" s="2282">
        <v>1900</v>
      </c>
      <c r="GK81" s="2283"/>
      <c r="GL81" s="2284"/>
      <c r="GM81" s="1595"/>
      <c r="GN81" s="2280"/>
      <c r="GO81" s="2281"/>
      <c r="GP81" s="1596"/>
      <c r="GQ81" s="1597"/>
      <c r="GR81" s="1674"/>
      <c r="GS81" s="1674"/>
      <c r="GT81" s="1674"/>
      <c r="GU81" s="1674"/>
      <c r="GV81" s="1674"/>
      <c r="GW81" s="2282">
        <v>1900</v>
      </c>
      <c r="GX81" s="2283"/>
      <c r="GY81" s="2284"/>
      <c r="GZ81" s="1595"/>
      <c r="HA81" s="2280"/>
      <c r="HB81" s="2281"/>
      <c r="HC81" s="1596"/>
      <c r="HD81" s="1597"/>
      <c r="HE81" s="1674"/>
      <c r="HF81" s="1674"/>
      <c r="HG81" s="1674"/>
      <c r="HH81" s="2282">
        <v>1900</v>
      </c>
      <c r="HI81" s="2283"/>
      <c r="HJ81" s="2284"/>
      <c r="HK81" s="1595"/>
      <c r="HL81" s="2280"/>
      <c r="HM81" s="2281"/>
      <c r="HN81" s="1596"/>
      <c r="HO81" s="1597"/>
      <c r="HP81" s="1674"/>
      <c r="HQ81" s="1674"/>
      <c r="HR81" s="1674"/>
      <c r="HS81" s="1674"/>
      <c r="HT81" s="1674"/>
      <c r="HU81" s="2282">
        <v>1900</v>
      </c>
      <c r="HV81" s="2283"/>
      <c r="HW81" s="2284"/>
      <c r="HX81" s="1595"/>
      <c r="HY81" s="2280"/>
      <c r="HZ81" s="2281"/>
      <c r="IA81" s="1596"/>
      <c r="IB81" s="1597"/>
      <c r="IC81" s="1674"/>
      <c r="ID81" s="1674"/>
      <c r="IE81" s="1674"/>
      <c r="IF81" s="2282">
        <v>1900</v>
      </c>
      <c r="IG81" s="2283"/>
      <c r="IH81" s="2284"/>
      <c r="II81" s="1595"/>
      <c r="IJ81" s="2280"/>
      <c r="IK81" s="2281"/>
      <c r="IL81" s="1596"/>
      <c r="IM81" s="1597"/>
      <c r="IN81" s="1674"/>
      <c r="IO81" s="1674"/>
      <c r="IP81" s="1674"/>
      <c r="IQ81" s="1674"/>
      <c r="IR81" s="1674"/>
      <c r="IS81" s="2282">
        <v>1900</v>
      </c>
      <c r="IT81" s="2283"/>
      <c r="IU81" s="2284"/>
      <c r="IV81" s="1595"/>
      <c r="IW81" s="2280"/>
      <c r="IX81" s="2281"/>
      <c r="IY81" s="1596"/>
      <c r="IZ81" s="1597"/>
      <c r="JA81" s="1674"/>
      <c r="JB81" s="1674"/>
      <c r="JC81" s="1674"/>
      <c r="JD81" s="2282">
        <v>1900</v>
      </c>
      <c r="JE81" s="2283"/>
      <c r="JF81" s="2284"/>
      <c r="JG81" s="1595"/>
      <c r="JH81" s="2280"/>
      <c r="JI81" s="2281"/>
      <c r="JJ81" s="1596"/>
      <c r="JK81" s="1597"/>
      <c r="JL81" s="1674"/>
      <c r="JM81" s="2282">
        <v>1900</v>
      </c>
      <c r="JN81" s="2283"/>
      <c r="JO81" s="2284"/>
      <c r="JP81" s="1595"/>
      <c r="JQ81" s="2280"/>
      <c r="JR81" s="2281"/>
      <c r="JS81" s="1596"/>
      <c r="JT81" s="1597"/>
      <c r="JU81" s="2282">
        <v>1900</v>
      </c>
      <c r="JV81" s="2283"/>
      <c r="JW81" s="2284"/>
      <c r="JX81" s="1595"/>
      <c r="JY81" s="2280"/>
      <c r="JZ81" s="2281"/>
      <c r="KA81" s="1596"/>
      <c r="KB81" s="1597"/>
      <c r="KC81" s="2282">
        <v>1900</v>
      </c>
      <c r="KD81" s="2283"/>
      <c r="KE81" s="2284"/>
      <c r="KF81" s="1595"/>
      <c r="KG81" s="2280"/>
      <c r="KH81" s="2281"/>
      <c r="KI81" s="1596"/>
      <c r="KJ81" s="1597"/>
      <c r="KK81" s="2282">
        <v>1900</v>
      </c>
      <c r="KL81" s="2283"/>
      <c r="KM81" s="2284"/>
      <c r="KN81" s="1595"/>
      <c r="KO81" s="2280"/>
      <c r="KP81" s="2281"/>
      <c r="KQ81" s="1596"/>
      <c r="KR81" s="1597"/>
      <c r="KS81" s="2282">
        <v>1900</v>
      </c>
      <c r="KT81" s="2283"/>
      <c r="KU81" s="2284"/>
      <c r="KV81" s="1595"/>
      <c r="KW81" s="2280"/>
      <c r="KX81" s="2281"/>
      <c r="KY81" s="1596"/>
      <c r="KZ81" s="1597"/>
      <c r="LK81" s="1782"/>
      <c r="LL81" s="1783"/>
      <c r="LM81" s="1784"/>
      <c r="LN81" s="1785"/>
      <c r="LO81" s="1785"/>
      <c r="LP81" s="1786"/>
      <c r="LQ81" s="1787"/>
      <c r="LR81" s="1788"/>
      <c r="LS81" s="1789"/>
      <c r="LT81" s="1790"/>
      <c r="LU81" s="1791"/>
      <c r="LV81" s="1674"/>
      <c r="LW81" s="1674"/>
      <c r="LX81" s="1674"/>
      <c r="LY81" s="1674"/>
      <c r="LZ81" s="1674"/>
      <c r="MA81" s="1674"/>
      <c r="MB81" s="1674"/>
      <c r="MC81" s="1674"/>
      <c r="MD81" s="1674"/>
      <c r="ME81" s="1674"/>
      <c r="MF81" s="1674"/>
      <c r="MG81" s="1674"/>
      <c r="MH81" s="1674"/>
      <c r="MI81" s="1674"/>
      <c r="MJ81" s="1674"/>
      <c r="MK81" s="1674"/>
      <c r="ML81" s="1674"/>
      <c r="MM81" s="1674"/>
      <c r="MN81" s="1674"/>
      <c r="MO81" s="1674"/>
      <c r="MP81" s="1674"/>
      <c r="MQ81" s="1674"/>
      <c r="MR81" s="1674"/>
    </row>
    <row r="82" spans="1:665" s="1674" customFormat="1" ht="27.6" customHeight="1">
      <c r="B82" s="1675"/>
      <c r="C82" s="1675"/>
      <c r="D82" s="1675"/>
      <c r="E82" s="1697" t="s">
        <v>873</v>
      </c>
      <c r="F82" s="1697"/>
      <c r="G82" s="1697"/>
      <c r="H82" s="1697"/>
      <c r="I82" s="1697"/>
      <c r="J82" s="1697"/>
      <c r="K82" s="1697"/>
      <c r="L82" s="1697"/>
      <c r="M82" s="1697"/>
      <c r="N82" s="1697"/>
      <c r="O82" s="1697"/>
      <c r="P82" s="1697"/>
      <c r="Q82" s="1697"/>
      <c r="R82" s="1697"/>
      <c r="S82" s="1697"/>
      <c r="T82" s="1697"/>
      <c r="U82" s="1697"/>
      <c r="V82" s="1697"/>
      <c r="W82" s="1697"/>
      <c r="X82" s="1697"/>
      <c r="Y82" s="1697"/>
      <c r="Z82" s="1697"/>
      <c r="AA82" s="1697"/>
      <c r="AB82" s="1697"/>
      <c r="AC82" s="1697"/>
      <c r="AD82" s="1697"/>
      <c r="AE82" s="1697"/>
      <c r="AF82" s="1697"/>
      <c r="AG82" s="1697"/>
      <c r="AH82" s="1697"/>
      <c r="AI82" s="1697"/>
      <c r="AJ82" s="1697"/>
      <c r="AK82" s="1697"/>
      <c r="AL82" s="1697"/>
      <c r="AM82" s="1697"/>
      <c r="AN82" s="1697"/>
      <c r="AO82" s="1697"/>
      <c r="BJ82" s="1677"/>
      <c r="BK82" s="1677"/>
      <c r="CB82" s="69"/>
      <c r="CC82" s="69"/>
      <c r="CD82" s="69"/>
      <c r="CE82" s="69"/>
      <c r="CF82" s="69"/>
      <c r="CG82" s="69"/>
      <c r="CH82" s="69"/>
      <c r="CI82" s="69"/>
      <c r="CJ82" s="1608">
        <v>900</v>
      </c>
      <c r="CK82" s="1608">
        <v>900</v>
      </c>
      <c r="CL82" s="1608">
        <v>900</v>
      </c>
      <c r="CR82" s="1608">
        <v>900</v>
      </c>
      <c r="CS82" s="1608">
        <v>900</v>
      </c>
      <c r="CT82" s="1608">
        <v>900</v>
      </c>
      <c r="CZ82" s="1608">
        <v>900</v>
      </c>
      <c r="DA82" s="1608">
        <v>900</v>
      </c>
      <c r="DB82" s="1608">
        <v>900</v>
      </c>
      <c r="DH82" s="1608">
        <v>900</v>
      </c>
      <c r="DI82" s="1608">
        <v>900</v>
      </c>
      <c r="DJ82" s="1608">
        <v>900</v>
      </c>
      <c r="DP82" s="74"/>
      <c r="DQ82" s="74"/>
      <c r="DR82" s="1608">
        <v>900</v>
      </c>
      <c r="DS82" s="1608">
        <v>900</v>
      </c>
      <c r="DT82" s="1608">
        <v>900</v>
      </c>
      <c r="DZ82" s="74"/>
      <c r="EA82" s="74"/>
      <c r="EB82" s="1608">
        <v>900</v>
      </c>
      <c r="EC82" s="1608">
        <v>900</v>
      </c>
      <c r="ED82" s="1608">
        <v>900</v>
      </c>
      <c r="EJ82" s="74"/>
      <c r="EK82" s="74"/>
      <c r="EL82" s="1608">
        <v>900</v>
      </c>
      <c r="EM82" s="1608">
        <v>900</v>
      </c>
      <c r="EN82" s="1608">
        <v>900</v>
      </c>
      <c r="ET82" s="74"/>
      <c r="EU82" s="74"/>
      <c r="EV82" s="69"/>
      <c r="EW82" s="69"/>
      <c r="EX82" s="69"/>
      <c r="EY82" s="69"/>
      <c r="EZ82" s="69"/>
      <c r="FA82" s="1608">
        <v>900</v>
      </c>
      <c r="FB82" s="1608">
        <v>900</v>
      </c>
      <c r="FC82" s="1608">
        <v>900</v>
      </c>
      <c r="FI82" s="69"/>
      <c r="FJ82" s="69"/>
      <c r="FK82" s="69"/>
      <c r="FL82" s="1608">
        <v>900</v>
      </c>
      <c r="FM82" s="1608">
        <v>900</v>
      </c>
      <c r="FN82" s="1608">
        <v>900</v>
      </c>
      <c r="FT82" s="69"/>
      <c r="FU82" s="69"/>
      <c r="FV82" s="69"/>
      <c r="FW82" s="69"/>
      <c r="FY82" s="1608">
        <v>900</v>
      </c>
      <c r="FZ82" s="1608">
        <v>900</v>
      </c>
      <c r="GA82" s="1608">
        <v>900</v>
      </c>
      <c r="GG82" s="69"/>
      <c r="GH82" s="69"/>
      <c r="GI82" s="69"/>
      <c r="GJ82" s="1608">
        <v>900</v>
      </c>
      <c r="GK82" s="1608">
        <v>900</v>
      </c>
      <c r="GL82" s="1608">
        <v>900</v>
      </c>
      <c r="GR82" s="69"/>
      <c r="GS82" s="69"/>
      <c r="GT82" s="69"/>
      <c r="GU82" s="69"/>
      <c r="GV82" s="69"/>
      <c r="GW82" s="1608">
        <v>900</v>
      </c>
      <c r="GX82" s="1608">
        <v>900</v>
      </c>
      <c r="GY82" s="1608">
        <v>900</v>
      </c>
      <c r="HE82" s="74"/>
      <c r="HF82" s="74"/>
      <c r="HG82" s="74"/>
      <c r="HH82" s="1608">
        <v>900</v>
      </c>
      <c r="HI82" s="1608">
        <v>900</v>
      </c>
      <c r="HJ82" s="1608">
        <v>900</v>
      </c>
      <c r="HP82" s="74"/>
      <c r="HQ82" s="74"/>
      <c r="HR82" s="74"/>
      <c r="HS82" s="74"/>
      <c r="HT82" s="74"/>
      <c r="HU82" s="1608">
        <v>900</v>
      </c>
      <c r="HV82" s="1608">
        <v>900</v>
      </c>
      <c r="HW82" s="1608">
        <v>900</v>
      </c>
      <c r="IC82" s="74"/>
      <c r="ID82" s="74"/>
      <c r="IE82" s="74"/>
      <c r="IF82" s="1608">
        <v>900</v>
      </c>
      <c r="IG82" s="1608">
        <v>900</v>
      </c>
      <c r="IH82" s="1608">
        <v>900</v>
      </c>
      <c r="IN82" s="74"/>
      <c r="IO82" s="74"/>
      <c r="IP82" s="74"/>
      <c r="IQ82" s="74"/>
      <c r="IR82" s="74"/>
      <c r="IS82" s="1608">
        <v>900</v>
      </c>
      <c r="IT82" s="1608">
        <v>900</v>
      </c>
      <c r="IU82" s="1608">
        <v>900</v>
      </c>
      <c r="JA82" s="69"/>
      <c r="JB82" s="69"/>
      <c r="JC82" s="69"/>
      <c r="JD82" s="1608">
        <v>900</v>
      </c>
      <c r="JE82" s="1608">
        <v>900</v>
      </c>
      <c r="JF82" s="1608">
        <v>900</v>
      </c>
      <c r="JL82" s="69"/>
      <c r="JM82" s="1608">
        <v>900</v>
      </c>
      <c r="JN82" s="1608">
        <v>900</v>
      </c>
      <c r="JO82" s="1608">
        <v>900</v>
      </c>
      <c r="JU82" s="1608">
        <v>900</v>
      </c>
      <c r="JV82" s="1608">
        <v>900</v>
      </c>
      <c r="JW82" s="1608">
        <v>900</v>
      </c>
      <c r="KC82" s="1608">
        <v>900</v>
      </c>
      <c r="KD82" s="1608">
        <v>900</v>
      </c>
      <c r="KE82" s="1608">
        <v>900</v>
      </c>
      <c r="KK82" s="1608">
        <v>900</v>
      </c>
      <c r="KL82" s="1608">
        <v>900</v>
      </c>
      <c r="KM82" s="1608">
        <v>900</v>
      </c>
      <c r="KS82" s="1608">
        <v>900</v>
      </c>
      <c r="KT82" s="1608">
        <v>900</v>
      </c>
      <c r="KU82" s="1608">
        <v>900</v>
      </c>
      <c r="LK82" s="69"/>
      <c r="LL82" s="69"/>
      <c r="LM82" s="69"/>
      <c r="LN82" s="69"/>
      <c r="LO82" s="69"/>
      <c r="LP82" s="69"/>
      <c r="LQ82" s="69"/>
      <c r="LR82" s="69"/>
      <c r="LS82" s="69"/>
      <c r="LT82" s="69"/>
      <c r="LU82" s="69"/>
      <c r="LV82" s="69"/>
      <c r="LW82" s="69"/>
      <c r="LX82" s="69"/>
      <c r="LY82" s="69"/>
      <c r="LZ82" s="69"/>
      <c r="MA82" s="69"/>
      <c r="MB82" s="69"/>
      <c r="MC82" s="69"/>
      <c r="MD82" s="69"/>
      <c r="ME82" s="69"/>
      <c r="MF82" s="69"/>
      <c r="MG82" s="69"/>
      <c r="MH82" s="69"/>
      <c r="MI82" s="69"/>
      <c r="MJ82" s="69"/>
      <c r="MK82" s="69"/>
      <c r="ML82" s="69"/>
      <c r="MM82" s="69"/>
      <c r="MN82" s="69"/>
      <c r="MO82" s="69"/>
      <c r="MP82" s="69"/>
      <c r="MQ82" s="69"/>
      <c r="MR82" s="69"/>
    </row>
    <row r="83" spans="1:665" s="69" customFormat="1" ht="27.6" customHeight="1">
      <c r="A83" s="74"/>
      <c r="B83" s="74"/>
      <c r="C83" s="277"/>
      <c r="D83" s="134" t="s">
        <v>291</v>
      </c>
      <c r="E83" s="1694"/>
      <c r="F83" s="1694"/>
      <c r="G83" s="1694"/>
      <c r="H83" s="1694"/>
      <c r="I83" s="1694"/>
      <c r="J83" s="1694"/>
      <c r="K83" s="1694"/>
      <c r="L83" s="1694"/>
      <c r="M83" s="1694"/>
      <c r="N83" s="1694"/>
      <c r="O83" s="1694"/>
      <c r="P83" s="1694"/>
      <c r="Q83" s="1694"/>
      <c r="R83" s="1694"/>
      <c r="S83" s="1694"/>
      <c r="T83" s="1694"/>
      <c r="U83" s="1694"/>
      <c r="V83" s="1694"/>
      <c r="W83" s="1694"/>
      <c r="X83" s="1694"/>
      <c r="Y83" s="1694"/>
      <c r="Z83" s="1694"/>
      <c r="AA83" s="1694"/>
      <c r="AB83" s="1694"/>
      <c r="AC83" s="1694"/>
      <c r="AD83" s="1694"/>
      <c r="AE83" s="1694"/>
      <c r="AF83" s="1694"/>
      <c r="AG83" s="1694"/>
      <c r="AH83" s="1694"/>
      <c r="AI83" s="1694"/>
      <c r="AJ83" s="1694"/>
      <c r="AK83" s="1694"/>
      <c r="AL83" s="1694"/>
      <c r="AM83" s="1694"/>
      <c r="AN83" s="1694"/>
      <c r="AO83" s="1694"/>
      <c r="CP83" s="2275">
        <v>1</v>
      </c>
      <c r="CQ83" s="2276"/>
      <c r="CR83" s="2275">
        <v>2</v>
      </c>
      <c r="CS83" s="2276"/>
      <c r="CT83" s="2275">
        <v>3</v>
      </c>
      <c r="CU83" s="2277"/>
      <c r="CV83" s="2277"/>
      <c r="CW83" s="2276"/>
      <c r="CX83" s="2275">
        <v>1</v>
      </c>
      <c r="CY83" s="2276"/>
      <c r="CZ83" s="2275">
        <v>2</v>
      </c>
      <c r="DA83" s="2276"/>
      <c r="DB83" s="2275">
        <v>3</v>
      </c>
      <c r="DC83" s="2277"/>
      <c r="DD83" s="2277"/>
      <c r="DE83" s="2276"/>
      <c r="DF83" s="2275">
        <v>1</v>
      </c>
      <c r="DG83" s="2276"/>
      <c r="DH83" s="2275">
        <v>2</v>
      </c>
      <c r="DI83" s="2276"/>
      <c r="DJ83" s="2275">
        <v>3</v>
      </c>
      <c r="DK83" s="2277"/>
      <c r="DL83" s="2277"/>
      <c r="DM83" s="2276"/>
      <c r="DN83" s="2275">
        <v>1</v>
      </c>
      <c r="DO83" s="2276"/>
      <c r="DP83" s="2275">
        <v>2</v>
      </c>
      <c r="DQ83" s="2276"/>
      <c r="DR83" s="2275">
        <v>3</v>
      </c>
      <c r="DS83" s="2277"/>
      <c r="DT83" s="2277"/>
      <c r="DU83" s="2276"/>
      <c r="DX83" s="2275">
        <v>1</v>
      </c>
      <c r="DY83" s="2276"/>
      <c r="DZ83" s="2275">
        <v>2</v>
      </c>
      <c r="EA83" s="2276"/>
      <c r="EB83" s="2275">
        <v>3</v>
      </c>
      <c r="EC83" s="2277"/>
      <c r="ED83" s="2277"/>
      <c r="EE83" s="2276"/>
      <c r="EH83" s="2275">
        <v>1</v>
      </c>
      <c r="EI83" s="2276"/>
      <c r="EJ83" s="2275">
        <v>2</v>
      </c>
      <c r="EK83" s="2276"/>
      <c r="EL83" s="2275">
        <v>3</v>
      </c>
      <c r="EM83" s="2277"/>
      <c r="EN83" s="2277"/>
      <c r="EO83" s="2276"/>
      <c r="ER83" s="2275">
        <v>1</v>
      </c>
      <c r="ES83" s="2276"/>
      <c r="ET83" s="2275">
        <v>2</v>
      </c>
      <c r="EU83" s="2276"/>
      <c r="EV83" s="2275">
        <v>3</v>
      </c>
      <c r="EW83" s="2277"/>
      <c r="EX83" s="2277"/>
      <c r="EY83" s="2276"/>
      <c r="FB83" s="2275">
        <v>1</v>
      </c>
      <c r="FC83" s="2276"/>
      <c r="FD83" s="2275">
        <v>2</v>
      </c>
      <c r="FE83" s="2276"/>
      <c r="FF83" s="2275">
        <v>3</v>
      </c>
      <c r="FG83" s="2277"/>
      <c r="FH83" s="2277"/>
      <c r="FI83" s="2276"/>
      <c r="FJ83" s="2275">
        <v>1</v>
      </c>
      <c r="FK83" s="2276"/>
      <c r="FL83" s="2275">
        <v>2</v>
      </c>
      <c r="FM83" s="2276"/>
      <c r="FN83" s="2275">
        <v>3</v>
      </c>
      <c r="FO83" s="2277"/>
      <c r="FP83" s="2277"/>
      <c r="FQ83" s="2276"/>
      <c r="FR83" s="2275">
        <v>1</v>
      </c>
      <c r="FS83" s="2276"/>
      <c r="FT83" s="2275">
        <v>2</v>
      </c>
      <c r="FU83" s="2276"/>
      <c r="FV83" s="2275">
        <v>3</v>
      </c>
      <c r="FW83" s="2277"/>
      <c r="FX83" s="2277"/>
      <c r="FY83" s="2276"/>
      <c r="FZ83" s="2275">
        <v>1</v>
      </c>
      <c r="GA83" s="2276"/>
      <c r="GB83" s="2275">
        <v>2</v>
      </c>
      <c r="GC83" s="2276"/>
      <c r="GD83" s="2275">
        <v>3</v>
      </c>
      <c r="GE83" s="2277"/>
      <c r="GF83" s="2277"/>
      <c r="GG83" s="2276"/>
      <c r="GH83" s="2275">
        <v>1</v>
      </c>
      <c r="GI83" s="2276"/>
      <c r="GJ83" s="2275">
        <v>2</v>
      </c>
      <c r="GK83" s="2276"/>
      <c r="GL83" s="2275">
        <v>3</v>
      </c>
      <c r="GM83" s="2277"/>
      <c r="GN83" s="2277"/>
      <c r="GO83" s="2276"/>
      <c r="GP83" s="2275">
        <v>1</v>
      </c>
      <c r="GQ83" s="2276"/>
      <c r="GR83" s="2275">
        <v>2</v>
      </c>
      <c r="GS83" s="2276"/>
      <c r="GT83" s="2275">
        <v>3</v>
      </c>
      <c r="GU83" s="2277"/>
      <c r="GV83" s="2277"/>
      <c r="GW83" s="2276"/>
      <c r="GX83" s="2275">
        <v>1</v>
      </c>
      <c r="GY83" s="2276"/>
      <c r="GZ83" s="2275">
        <v>2</v>
      </c>
      <c r="HA83" s="2276"/>
      <c r="HB83" s="2275">
        <v>3</v>
      </c>
      <c r="HC83" s="2277"/>
      <c r="HD83" s="2277"/>
      <c r="HE83" s="2276"/>
      <c r="HF83" s="2275">
        <v>1</v>
      </c>
      <c r="HG83" s="2276"/>
      <c r="HH83" s="2275">
        <v>2</v>
      </c>
      <c r="HI83" s="2276"/>
      <c r="HJ83" s="2275">
        <v>3</v>
      </c>
      <c r="HK83" s="2277"/>
      <c r="HL83" s="2277"/>
      <c r="HM83" s="2276"/>
      <c r="HN83" s="2275">
        <v>1</v>
      </c>
      <c r="HO83" s="2276"/>
      <c r="HP83" s="2275">
        <v>2</v>
      </c>
      <c r="HQ83" s="2276"/>
      <c r="HR83" s="2275">
        <v>3</v>
      </c>
      <c r="HS83" s="2277"/>
      <c r="HT83" s="2277"/>
      <c r="HU83" s="2276"/>
      <c r="HV83" s="2275">
        <v>1</v>
      </c>
      <c r="HW83" s="2276"/>
      <c r="HX83" s="2275">
        <v>2</v>
      </c>
      <c r="HY83" s="2276"/>
      <c r="HZ83" s="2275">
        <v>3</v>
      </c>
      <c r="IA83" s="2277"/>
      <c r="IB83" s="2277"/>
      <c r="IC83" s="2276"/>
      <c r="ID83" s="2275">
        <v>1</v>
      </c>
      <c r="IE83" s="2276"/>
      <c r="IF83" s="2275">
        <v>2</v>
      </c>
      <c r="IG83" s="2276"/>
      <c r="IH83" s="2275">
        <v>3</v>
      </c>
      <c r="II83" s="2277"/>
      <c r="IJ83" s="2277"/>
      <c r="IK83" s="2276"/>
      <c r="IL83" s="2275">
        <v>1</v>
      </c>
      <c r="IM83" s="2276"/>
      <c r="IN83" s="2275">
        <v>2</v>
      </c>
      <c r="IO83" s="2276"/>
      <c r="IP83" s="2275">
        <v>3</v>
      </c>
      <c r="IQ83" s="2277"/>
      <c r="IR83" s="2277"/>
      <c r="IS83" s="2276"/>
      <c r="IT83" s="2275">
        <v>1</v>
      </c>
      <c r="IU83" s="2276"/>
      <c r="IV83" s="2275">
        <v>2</v>
      </c>
      <c r="IW83" s="2276"/>
      <c r="IX83" s="2275">
        <v>3</v>
      </c>
      <c r="IY83" s="2277"/>
      <c r="IZ83" s="2277"/>
      <c r="JA83" s="2276"/>
      <c r="JB83" s="2275">
        <v>1</v>
      </c>
      <c r="JC83" s="2276"/>
      <c r="JD83" s="2275">
        <v>2</v>
      </c>
      <c r="JE83" s="2276"/>
      <c r="JF83" s="2275">
        <v>3</v>
      </c>
      <c r="JG83" s="2277"/>
      <c r="JH83" s="2277"/>
      <c r="JI83" s="2276"/>
      <c r="JJ83" s="2275">
        <v>1</v>
      </c>
      <c r="JK83" s="2276"/>
      <c r="JL83" s="2275">
        <v>2</v>
      </c>
      <c r="JM83" s="2276"/>
      <c r="JN83" s="2275">
        <v>3</v>
      </c>
      <c r="JO83" s="2277"/>
      <c r="JP83" s="2277"/>
      <c r="JQ83" s="2276"/>
      <c r="JS83" s="2275">
        <v>1</v>
      </c>
      <c r="JT83" s="2276"/>
      <c r="JU83" s="2275">
        <v>2</v>
      </c>
      <c r="JV83" s="2276"/>
      <c r="JW83" s="2275">
        <v>3</v>
      </c>
      <c r="JX83" s="2277"/>
      <c r="JY83" s="2277"/>
      <c r="JZ83" s="2276"/>
      <c r="KA83" s="2275">
        <v>1</v>
      </c>
      <c r="KB83" s="2276"/>
      <c r="KC83" s="2275">
        <v>2</v>
      </c>
      <c r="KD83" s="2276"/>
      <c r="KE83" s="2275">
        <v>3</v>
      </c>
      <c r="KF83" s="2277"/>
      <c r="KG83" s="2277"/>
      <c r="KH83" s="2276"/>
      <c r="KI83" s="2275">
        <v>1</v>
      </c>
      <c r="KJ83" s="2276"/>
      <c r="KK83" s="2275">
        <v>2</v>
      </c>
      <c r="KL83" s="2276"/>
      <c r="KM83" s="2275">
        <v>3</v>
      </c>
      <c r="KN83" s="2277"/>
      <c r="KO83" s="2277"/>
      <c r="KP83" s="2276"/>
      <c r="KQ83" s="2275">
        <v>1</v>
      </c>
      <c r="KR83" s="2276"/>
      <c r="KS83" s="2275">
        <v>2</v>
      </c>
      <c r="KT83" s="2276"/>
      <c r="KU83" s="2275">
        <v>3</v>
      </c>
      <c r="KV83" s="2277"/>
      <c r="KW83" s="2277"/>
      <c r="KX83" s="2276"/>
      <c r="KY83" s="2275">
        <v>1</v>
      </c>
      <c r="KZ83" s="2276"/>
      <c r="LA83" s="2275">
        <v>2</v>
      </c>
      <c r="LB83" s="2276"/>
      <c r="LC83" s="2275">
        <v>3</v>
      </c>
      <c r="LD83" s="2277"/>
      <c r="LE83" s="2277"/>
      <c r="LF83" s="2276"/>
    </row>
    <row r="84" spans="1:665" s="69" customFormat="1" ht="27.6" customHeight="1">
      <c r="A84" s="2436" t="s">
        <v>292</v>
      </c>
      <c r="B84" s="2437"/>
      <c r="C84" s="2438"/>
      <c r="D84" s="1765"/>
      <c r="E84" s="1694"/>
      <c r="F84" s="1694"/>
      <c r="G84" s="1694"/>
      <c r="H84" s="1694"/>
      <c r="I84" s="1694"/>
      <c r="J84" s="1694"/>
      <c r="K84" s="1694"/>
      <c r="L84" s="1694"/>
      <c r="M84" s="1694"/>
      <c r="N84" s="1694"/>
      <c r="O84" s="1694"/>
      <c r="P84" s="1694"/>
      <c r="Q84" s="1694"/>
      <c r="R84" s="1694"/>
      <c r="S84" s="1694"/>
      <c r="T84" s="1694"/>
      <c r="U84" s="1694"/>
      <c r="V84" s="1694"/>
      <c r="W84" s="1694"/>
      <c r="X84" s="1694"/>
      <c r="Y84" s="1694"/>
      <c r="Z84" s="1694"/>
      <c r="AA84" s="1694"/>
      <c r="AB84" s="1694"/>
      <c r="AC84" s="1694"/>
      <c r="AD84" s="1694"/>
      <c r="AE84" s="1694"/>
      <c r="AF84" s="1694"/>
      <c r="AG84" s="1694"/>
      <c r="AH84" s="1694"/>
      <c r="AI84" s="1694"/>
      <c r="AJ84" s="1694"/>
      <c r="AK84" s="1694"/>
      <c r="AL84" s="1694"/>
      <c r="AM84" s="1694"/>
      <c r="AN84" s="1694"/>
      <c r="AO84" s="1694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2500">
        <v>422</v>
      </c>
      <c r="CV84" s="2501"/>
      <c r="CW84" s="2278" t="s">
        <v>1075</v>
      </c>
      <c r="CX84" s="2278"/>
      <c r="CY84" s="2278"/>
      <c r="CZ84" s="2278"/>
      <c r="DA84" s="2278"/>
      <c r="DB84" s="2279"/>
      <c r="DC84" s="2500">
        <v>423</v>
      </c>
      <c r="DD84" s="2501"/>
      <c r="DE84" s="2278" t="s">
        <v>1075</v>
      </c>
      <c r="DF84" s="2278"/>
      <c r="DG84" s="2278"/>
      <c r="DH84" s="2278"/>
      <c r="DI84" s="2278"/>
      <c r="DJ84" s="2279"/>
      <c r="DK84" s="2500">
        <v>424</v>
      </c>
      <c r="DL84" s="2501"/>
      <c r="DM84" s="2278" t="s">
        <v>1076</v>
      </c>
      <c r="DN84" s="2278"/>
      <c r="DO84" s="2278"/>
      <c r="DP84" s="2278"/>
      <c r="DQ84" s="2278"/>
      <c r="DR84" s="2279"/>
      <c r="DS84" s="2500">
        <v>425</v>
      </c>
      <c r="DT84" s="2501"/>
      <c r="DU84" s="2278" t="s">
        <v>1077</v>
      </c>
      <c r="DV84" s="2278"/>
      <c r="DW84" s="2278"/>
      <c r="DX84" s="2278"/>
      <c r="DY84" s="2278"/>
      <c r="DZ84" s="2278"/>
      <c r="EA84" s="2278"/>
      <c r="EB84" s="2279"/>
      <c r="EC84" s="2500">
        <v>426</v>
      </c>
      <c r="ED84" s="2501"/>
      <c r="EE84" s="2278" t="s">
        <v>1077</v>
      </c>
      <c r="EF84" s="2278"/>
      <c r="EG84" s="2278"/>
      <c r="EH84" s="2278"/>
      <c r="EI84" s="2278"/>
      <c r="EJ84" s="2278"/>
      <c r="EK84" s="2278"/>
      <c r="EL84" s="2279"/>
      <c r="EM84" s="2500">
        <v>427</v>
      </c>
      <c r="EN84" s="2501"/>
      <c r="EO84" s="2278" t="s">
        <v>1078</v>
      </c>
      <c r="EP84" s="2278"/>
      <c r="EQ84" s="2278"/>
      <c r="ER84" s="2278"/>
      <c r="ES84" s="2278"/>
      <c r="ET84" s="2278"/>
      <c r="EU84" s="2278"/>
      <c r="EV84" s="2279"/>
      <c r="EW84" s="2500">
        <v>428</v>
      </c>
      <c r="EX84" s="2501"/>
      <c r="EY84" s="2278" t="s">
        <v>1078</v>
      </c>
      <c r="EZ84" s="2278"/>
      <c r="FA84" s="2278"/>
      <c r="FB84" s="2278"/>
      <c r="FC84" s="2278"/>
      <c r="FD84" s="2278"/>
      <c r="FE84" s="2278"/>
      <c r="FF84" s="2279"/>
      <c r="FG84" s="2500">
        <v>429</v>
      </c>
      <c r="FH84" s="2501"/>
      <c r="FI84" s="2278" t="s">
        <v>953</v>
      </c>
      <c r="FJ84" s="2278"/>
      <c r="FK84" s="2278"/>
      <c r="FL84" s="2278"/>
      <c r="FM84" s="2278"/>
      <c r="FN84" s="2279"/>
      <c r="FO84" s="2500">
        <v>430</v>
      </c>
      <c r="FP84" s="2501"/>
      <c r="FQ84" s="2278" t="s">
        <v>953</v>
      </c>
      <c r="FR84" s="2278"/>
      <c r="FS84" s="2278"/>
      <c r="FT84" s="2278"/>
      <c r="FU84" s="2278"/>
      <c r="FV84" s="2279"/>
      <c r="FW84" s="2500">
        <v>431</v>
      </c>
      <c r="FX84" s="2501"/>
      <c r="FY84" s="2278" t="s">
        <v>953</v>
      </c>
      <c r="FZ84" s="2278"/>
      <c r="GA84" s="2278"/>
      <c r="GB84" s="2278"/>
      <c r="GC84" s="2278"/>
      <c r="GD84" s="2279"/>
      <c r="GE84" s="2500">
        <v>432</v>
      </c>
      <c r="GF84" s="2501"/>
      <c r="GG84" s="2278" t="s">
        <v>953</v>
      </c>
      <c r="GH84" s="2278"/>
      <c r="GI84" s="2278"/>
      <c r="GJ84" s="2278"/>
      <c r="GK84" s="2278"/>
      <c r="GL84" s="2279"/>
      <c r="GM84" s="2500">
        <v>433</v>
      </c>
      <c r="GN84" s="2501"/>
      <c r="GO84" s="2278" t="s">
        <v>953</v>
      </c>
      <c r="GP84" s="2278"/>
      <c r="GQ84" s="2278"/>
      <c r="GR84" s="2278"/>
      <c r="GS84" s="2278"/>
      <c r="GT84" s="2279"/>
      <c r="GU84" s="2500">
        <v>434</v>
      </c>
      <c r="GV84" s="2501"/>
      <c r="GW84" s="2278" t="s">
        <v>953</v>
      </c>
      <c r="GX84" s="2278"/>
      <c r="GY84" s="2278"/>
      <c r="GZ84" s="2278"/>
      <c r="HA84" s="2278"/>
      <c r="HB84" s="2279"/>
      <c r="HC84" s="2500">
        <v>435</v>
      </c>
      <c r="HD84" s="2501"/>
      <c r="HE84" s="2278" t="s">
        <v>953</v>
      </c>
      <c r="HF84" s="2278"/>
      <c r="HG84" s="2278"/>
      <c r="HH84" s="2278"/>
      <c r="HI84" s="2278"/>
      <c r="HJ84" s="2279"/>
      <c r="HK84" s="2500">
        <v>436</v>
      </c>
      <c r="HL84" s="2501"/>
      <c r="HM84" s="2278" t="s">
        <v>953</v>
      </c>
      <c r="HN84" s="2278"/>
      <c r="HO84" s="2278"/>
      <c r="HP84" s="2278"/>
      <c r="HQ84" s="2278"/>
      <c r="HR84" s="2279"/>
      <c r="HS84" s="2500">
        <v>437</v>
      </c>
      <c r="HT84" s="2501"/>
      <c r="HU84" s="2278" t="s">
        <v>953</v>
      </c>
      <c r="HV84" s="2278"/>
      <c r="HW84" s="2278"/>
      <c r="HX84" s="2278"/>
      <c r="HY84" s="2278"/>
      <c r="HZ84" s="2279"/>
      <c r="IA84" s="2500">
        <v>438</v>
      </c>
      <c r="IB84" s="2501"/>
      <c r="IC84" s="2278" t="s">
        <v>953</v>
      </c>
      <c r="ID84" s="2278"/>
      <c r="IE84" s="2278"/>
      <c r="IF84" s="2278"/>
      <c r="IG84" s="2278"/>
      <c r="IH84" s="2279"/>
      <c r="II84" s="2500">
        <v>439</v>
      </c>
      <c r="IJ84" s="2501"/>
      <c r="IK84" s="2278" t="s">
        <v>953</v>
      </c>
      <c r="IL84" s="2278"/>
      <c r="IM84" s="2278"/>
      <c r="IN84" s="2278"/>
      <c r="IO84" s="2278"/>
      <c r="IP84" s="2279"/>
      <c r="IQ84" s="2500">
        <v>440</v>
      </c>
      <c r="IR84" s="2501"/>
      <c r="IS84" s="2278" t="s">
        <v>953</v>
      </c>
      <c r="IT84" s="2278"/>
      <c r="IU84" s="2278"/>
      <c r="IV84" s="2278"/>
      <c r="IW84" s="2278"/>
      <c r="IX84" s="2279"/>
      <c r="IY84" s="2500">
        <v>441</v>
      </c>
      <c r="IZ84" s="2501"/>
      <c r="JA84" s="2278" t="s">
        <v>953</v>
      </c>
      <c r="JB84" s="2278"/>
      <c r="JC84" s="2278"/>
      <c r="JD84" s="2278"/>
      <c r="JE84" s="2278"/>
      <c r="JF84" s="2279"/>
      <c r="JG84" s="2500">
        <v>442</v>
      </c>
      <c r="JH84" s="2501"/>
      <c r="JI84" s="2278" t="s">
        <v>953</v>
      </c>
      <c r="JJ84" s="2278"/>
      <c r="JK84" s="2278"/>
      <c r="JL84" s="2278"/>
      <c r="JM84" s="2278"/>
      <c r="JN84" s="2279"/>
      <c r="JO84" s="2500">
        <v>443</v>
      </c>
      <c r="JP84" s="2501"/>
      <c r="JQ84" s="2278" t="s">
        <v>953</v>
      </c>
      <c r="JR84" s="2278"/>
      <c r="JS84" s="2278"/>
      <c r="JT84" s="2278"/>
      <c r="JU84" s="2278"/>
      <c r="JV84" s="2279"/>
      <c r="JW84" s="75"/>
      <c r="JX84" s="2500">
        <v>444</v>
      </c>
      <c r="JY84" s="2501"/>
      <c r="JZ84" s="2278" t="s">
        <v>1075</v>
      </c>
      <c r="KA84" s="2278"/>
      <c r="KB84" s="2278"/>
      <c r="KC84" s="2278"/>
      <c r="KD84" s="2278"/>
      <c r="KE84" s="2279"/>
      <c r="KF84" s="2500">
        <v>445</v>
      </c>
      <c r="KG84" s="2501"/>
      <c r="KH84" s="2278" t="s">
        <v>1075</v>
      </c>
      <c r="KI84" s="2278"/>
      <c r="KJ84" s="2278"/>
      <c r="KK84" s="2278"/>
      <c r="KL84" s="2278"/>
      <c r="KM84" s="2279"/>
      <c r="KN84" s="2500">
        <v>446</v>
      </c>
      <c r="KO84" s="2501"/>
      <c r="KP84" s="2278" t="s">
        <v>1075</v>
      </c>
      <c r="KQ84" s="2278"/>
      <c r="KR84" s="2278"/>
      <c r="KS84" s="2278"/>
      <c r="KT84" s="2278"/>
      <c r="KU84" s="2279"/>
      <c r="KV84" s="2500">
        <v>447</v>
      </c>
      <c r="KW84" s="2501"/>
      <c r="KX84" s="2278" t="s">
        <v>1075</v>
      </c>
      <c r="KY84" s="2278"/>
      <c r="KZ84" s="2278"/>
      <c r="LA84" s="2278"/>
      <c r="LB84" s="2278"/>
      <c r="LC84" s="2279"/>
      <c r="LD84" s="2500">
        <v>448</v>
      </c>
      <c r="LE84" s="2501"/>
      <c r="LF84" s="2278" t="s">
        <v>1085</v>
      </c>
      <c r="LG84" s="2278"/>
      <c r="LH84" s="2278"/>
      <c r="LI84" s="2278"/>
      <c r="LJ84" s="2278"/>
      <c r="LK84" s="2279"/>
      <c r="LL84" s="75"/>
      <c r="LM84" s="75"/>
      <c r="LN84" s="75"/>
      <c r="LO84" s="75"/>
      <c r="LP84" s="75"/>
      <c r="LQ84" s="75"/>
      <c r="LR84" s="75"/>
      <c r="LS84" s="75"/>
      <c r="LT84" s="75"/>
      <c r="LU84" s="75"/>
      <c r="LV84" s="75"/>
      <c r="LW84" s="75"/>
      <c r="LX84" s="75"/>
      <c r="LY84" s="75"/>
      <c r="LZ84" s="75"/>
      <c r="MA84" s="75"/>
      <c r="MB84" s="75"/>
      <c r="MC84" s="75"/>
      <c r="MD84" s="75"/>
      <c r="ME84" s="75"/>
      <c r="MF84" s="75"/>
      <c r="MG84" s="75"/>
      <c r="MH84" s="75"/>
      <c r="MI84" s="75"/>
      <c r="MJ84" s="75"/>
      <c r="MK84" s="75"/>
      <c r="ML84" s="75"/>
      <c r="MM84" s="75"/>
      <c r="MN84" s="75"/>
      <c r="MO84" s="75"/>
      <c r="MP84" s="75"/>
      <c r="MQ84" s="75"/>
      <c r="MR84" s="75"/>
      <c r="MS84" s="75"/>
      <c r="MT84" s="75"/>
      <c r="MU84" s="75"/>
      <c r="MV84" s="75"/>
    </row>
    <row r="85" spans="1:665" ht="27.6" customHeight="1">
      <c r="A85" s="508"/>
      <c r="B85" s="508"/>
      <c r="C85" s="508"/>
      <c r="D85" s="1618"/>
      <c r="E85" s="1700"/>
      <c r="F85" s="1700"/>
      <c r="G85" s="1700"/>
      <c r="H85" s="1700"/>
      <c r="I85" s="1700"/>
      <c r="J85" s="1700"/>
      <c r="K85" s="1700"/>
      <c r="L85" s="1700"/>
      <c r="M85" s="1700"/>
      <c r="N85" s="1700"/>
      <c r="O85" s="1700"/>
      <c r="P85" s="1700"/>
      <c r="Q85" s="1700"/>
      <c r="R85" s="1700"/>
      <c r="S85" s="1700"/>
      <c r="T85" s="1700"/>
      <c r="U85" s="1700"/>
      <c r="V85" s="1700"/>
      <c r="W85" s="1700"/>
      <c r="X85" s="1700"/>
      <c r="Y85" s="1700"/>
      <c r="Z85" s="1700"/>
      <c r="AA85" s="1700"/>
      <c r="AB85" s="1700"/>
      <c r="AC85" s="1700"/>
      <c r="AD85" s="1700"/>
      <c r="AE85" s="1700"/>
      <c r="AF85" s="1700"/>
      <c r="AG85" s="1700"/>
      <c r="AH85" s="1700"/>
      <c r="AI85" s="1700"/>
      <c r="AJ85" s="1700"/>
      <c r="AK85" s="1700"/>
      <c r="AL85" s="1700"/>
      <c r="AM85" s="1700"/>
      <c r="AN85" s="1700"/>
      <c r="AO85" s="1700"/>
      <c r="BC85" s="74"/>
      <c r="BD85" s="74"/>
      <c r="BE85" s="74"/>
      <c r="BF85" s="74"/>
      <c r="BG85" s="74"/>
      <c r="BH85" s="74"/>
      <c r="CG85" s="1607"/>
      <c r="CH85" s="1607"/>
      <c r="CI85" s="1607"/>
      <c r="CJ85" s="1607"/>
      <c r="CK85" s="1607"/>
      <c r="CL85" s="2502" t="s">
        <v>485</v>
      </c>
      <c r="CM85" s="2503"/>
      <c r="CN85" s="2503"/>
      <c r="CO85" s="2503"/>
      <c r="CP85" s="2503"/>
      <c r="CQ85" s="2503"/>
      <c r="CR85" s="2503"/>
      <c r="CS85" s="2503"/>
      <c r="CT85" s="2503"/>
      <c r="CU85" s="2503"/>
      <c r="CV85" s="2503"/>
      <c r="CW85" s="2503"/>
      <c r="CX85" s="2503"/>
      <c r="CY85" s="2503"/>
      <c r="CZ85" s="2503"/>
      <c r="DA85" s="2503"/>
      <c r="DB85" s="2503"/>
      <c r="DC85" s="2503"/>
      <c r="DD85" s="2503"/>
      <c r="DE85" s="2503"/>
      <c r="DF85" s="2503"/>
      <c r="DG85" s="2503"/>
      <c r="DH85" s="2503"/>
      <c r="DI85" s="2503"/>
      <c r="DJ85" s="2503"/>
      <c r="DK85" s="2503"/>
      <c r="DL85" s="2503"/>
      <c r="DM85" s="2503"/>
      <c r="DN85" s="2503"/>
      <c r="DO85" s="2503"/>
      <c r="DP85" s="2503"/>
      <c r="DQ85" s="2503"/>
      <c r="DR85" s="2503"/>
      <c r="DS85" s="2503"/>
      <c r="DT85" s="2503"/>
      <c r="DU85" s="2503"/>
      <c r="DV85" s="2503"/>
      <c r="DW85" s="2503"/>
      <c r="DX85" s="2503"/>
      <c r="DY85" s="2503"/>
      <c r="DZ85" s="2503"/>
      <c r="EA85" s="2503"/>
      <c r="EB85" s="2503"/>
      <c r="EC85" s="2503"/>
      <c r="ED85" s="2503"/>
      <c r="EE85" s="2503"/>
      <c r="EF85" s="2503"/>
      <c r="EG85" s="2503"/>
      <c r="EH85" s="2503"/>
      <c r="EI85" s="2503"/>
      <c r="EJ85" s="2503"/>
      <c r="EK85" s="2503"/>
      <c r="EL85" s="2503"/>
      <c r="EM85" s="2503"/>
      <c r="EN85" s="2503"/>
      <c r="EO85" s="2503"/>
      <c r="EP85" s="2503"/>
      <c r="EQ85" s="2503"/>
      <c r="ER85" s="2503"/>
      <c r="ES85" s="2503"/>
      <c r="ET85" s="2503"/>
      <c r="EU85" s="2503"/>
      <c r="EV85" s="2503"/>
      <c r="EW85" s="2503"/>
      <c r="EX85" s="2503"/>
      <c r="EY85" s="2503"/>
      <c r="EZ85" s="2503"/>
      <c r="FA85" s="2503"/>
      <c r="FB85" s="2503"/>
      <c r="FC85" s="2503"/>
      <c r="FD85" s="2503"/>
      <c r="FE85" s="2503"/>
      <c r="FF85" s="2503"/>
      <c r="FG85" s="2503"/>
      <c r="FH85" s="2503"/>
      <c r="FI85" s="2503"/>
      <c r="FJ85" s="2503"/>
      <c r="FK85" s="2503"/>
      <c r="FL85" s="2503"/>
      <c r="FM85" s="2503"/>
      <c r="FN85" s="2503"/>
      <c r="FO85" s="2503"/>
      <c r="FP85" s="2503"/>
      <c r="FQ85" s="2503"/>
      <c r="FR85" s="2503"/>
      <c r="FS85" s="2503"/>
      <c r="FT85" s="2503"/>
      <c r="FU85" s="2503"/>
      <c r="FV85" s="2503"/>
      <c r="FW85" s="2503"/>
      <c r="FX85" s="2503"/>
      <c r="FY85" s="2503"/>
      <c r="FZ85" s="2503"/>
      <c r="GA85" s="2503"/>
      <c r="GB85" s="2503"/>
      <c r="GC85" s="2503"/>
      <c r="GD85" s="2503"/>
      <c r="GE85" s="2503"/>
      <c r="GF85" s="2503"/>
      <c r="GG85" s="2503"/>
      <c r="GH85" s="2503"/>
      <c r="GI85" s="2503"/>
      <c r="GJ85" s="2503"/>
      <c r="GK85" s="2503"/>
      <c r="GL85" s="2503"/>
      <c r="GM85" s="2503"/>
      <c r="GN85" s="2503"/>
      <c r="GO85" s="2503"/>
      <c r="GP85" s="2503"/>
      <c r="GQ85" s="2503"/>
      <c r="GR85" s="2503"/>
      <c r="GS85" s="2503"/>
      <c r="GT85" s="2503"/>
      <c r="GU85" s="2503"/>
      <c r="GV85" s="2503"/>
      <c r="GW85" s="2503"/>
      <c r="GX85" s="2503"/>
      <c r="GY85" s="2503"/>
      <c r="GZ85" s="2503"/>
      <c r="HA85" s="2503"/>
      <c r="HB85" s="2503"/>
      <c r="HC85" s="2503"/>
      <c r="HD85" s="2503"/>
      <c r="HE85" s="2503"/>
      <c r="HF85" s="2503"/>
      <c r="HG85" s="2503"/>
      <c r="HH85" s="2503"/>
      <c r="HI85" s="2503"/>
      <c r="HJ85" s="2503"/>
      <c r="HK85" s="2503"/>
      <c r="HL85" s="2503"/>
      <c r="HM85" s="2504"/>
      <c r="HN85" s="2294" t="s">
        <v>485</v>
      </c>
      <c r="HO85" s="2295"/>
      <c r="HP85" s="2295"/>
      <c r="HQ85" s="2295"/>
      <c r="HR85" s="2295"/>
      <c r="HS85" s="2295"/>
      <c r="HT85" s="2295"/>
      <c r="HU85" s="2295"/>
      <c r="HV85" s="2295"/>
      <c r="HW85" s="2295"/>
      <c r="HX85" s="2295"/>
      <c r="HY85" s="2295"/>
      <c r="HZ85" s="2295"/>
      <c r="IA85" s="2295"/>
      <c r="IB85" s="2295"/>
      <c r="IC85" s="2295"/>
      <c r="ID85" s="2295"/>
      <c r="IE85" s="2295"/>
      <c r="IF85" s="2295"/>
      <c r="IG85" s="2295"/>
      <c r="IH85" s="2295"/>
      <c r="II85" s="2295"/>
      <c r="IJ85" s="2295"/>
      <c r="IK85" s="2295"/>
      <c r="IL85" s="2295"/>
      <c r="IM85" s="2295"/>
      <c r="IN85" s="2295"/>
      <c r="IO85" s="2295"/>
      <c r="IP85" s="2295"/>
      <c r="IQ85" s="2295"/>
      <c r="IR85" s="2295"/>
      <c r="IS85" s="2295"/>
      <c r="IT85" s="2295"/>
      <c r="IU85" s="2295"/>
      <c r="IV85" s="2295"/>
      <c r="IW85" s="2295"/>
      <c r="IX85" s="2295"/>
      <c r="IY85" s="2295"/>
      <c r="IZ85" s="2295"/>
      <c r="JA85" s="2295"/>
      <c r="JB85" s="2295"/>
      <c r="JC85" s="2295"/>
      <c r="JD85" s="2295"/>
      <c r="JE85" s="2295"/>
      <c r="JF85" s="2295"/>
      <c r="JG85" s="2295"/>
      <c r="JH85" s="2295"/>
      <c r="JI85" s="2295"/>
      <c r="JJ85" s="2295"/>
      <c r="JK85" s="2295"/>
      <c r="JL85" s="2295"/>
      <c r="JM85" s="2295"/>
      <c r="JN85" s="2295"/>
      <c r="JO85" s="2295"/>
      <c r="JP85" s="2295"/>
      <c r="JQ85" s="2295"/>
      <c r="JR85" s="2295"/>
      <c r="JS85" s="2295"/>
      <c r="JT85" s="2295"/>
      <c r="JU85" s="2295"/>
      <c r="JV85" s="2295"/>
      <c r="JW85" s="2295"/>
      <c r="JX85" s="2295"/>
      <c r="JY85" s="2295"/>
      <c r="JZ85" s="2295"/>
      <c r="KA85" s="2295"/>
      <c r="KB85" s="2295"/>
      <c r="KC85" s="2295"/>
      <c r="KD85" s="2295"/>
      <c r="KE85" s="2295"/>
      <c r="KF85" s="2295"/>
      <c r="KG85" s="2295"/>
      <c r="KH85" s="2295"/>
      <c r="KI85" s="2295"/>
      <c r="KJ85" s="2295"/>
      <c r="KK85" s="2295"/>
      <c r="KL85" s="2295"/>
      <c r="KM85" s="2295"/>
      <c r="KN85" s="2295"/>
      <c r="KO85" s="2295"/>
      <c r="KP85" s="2295"/>
      <c r="KQ85" s="2295"/>
      <c r="KR85" s="2295"/>
      <c r="KS85" s="2295"/>
      <c r="KT85" s="2295"/>
      <c r="KU85" s="2295"/>
      <c r="KV85" s="2295"/>
      <c r="KW85" s="2295"/>
      <c r="KX85" s="2295"/>
      <c r="KY85" s="2295"/>
      <c r="KZ85" s="2295"/>
      <c r="LA85" s="2295"/>
      <c r="LB85" s="2295"/>
      <c r="LC85" s="2295"/>
      <c r="LD85" s="2295"/>
      <c r="LE85" s="2295"/>
      <c r="LF85" s="2295"/>
      <c r="LG85" s="2295"/>
      <c r="LH85" s="2295"/>
      <c r="LI85" s="2295"/>
      <c r="LJ85" s="2295"/>
      <c r="LK85" s="2295"/>
      <c r="LL85" s="2295"/>
      <c r="LM85" s="2295"/>
      <c r="LN85" s="2295"/>
      <c r="LO85" s="2295"/>
      <c r="LP85" s="2295"/>
      <c r="LQ85" s="2295"/>
      <c r="LR85" s="2295"/>
      <c r="LS85" s="2295"/>
      <c r="LT85" s="2295"/>
      <c r="LU85" s="2295"/>
      <c r="LV85" s="2295"/>
      <c r="LW85" s="2295"/>
      <c r="LX85" s="2295"/>
      <c r="LY85" s="2295"/>
      <c r="LZ85" s="2295"/>
      <c r="MA85" s="2295"/>
      <c r="MB85" s="2295"/>
      <c r="MC85" s="2295"/>
      <c r="MD85" s="2295"/>
      <c r="ME85" s="2295"/>
      <c r="MF85" s="2295"/>
      <c r="MG85" s="2295"/>
      <c r="MH85" s="2295"/>
      <c r="MI85" s="2295"/>
      <c r="MJ85" s="2295"/>
      <c r="MK85" s="2295"/>
      <c r="ML85" s="2295"/>
      <c r="MM85" s="2295"/>
      <c r="MN85" s="2295"/>
      <c r="MO85" s="2296"/>
    </row>
    <row r="86" spans="1:665" ht="27.6" customHeight="1">
      <c r="A86" s="513"/>
      <c r="B86" s="74"/>
      <c r="C86" s="512"/>
      <c r="D86" s="134"/>
      <c r="E86" s="1694"/>
      <c r="F86" s="1694"/>
      <c r="G86" s="1694"/>
      <c r="H86" s="1694"/>
      <c r="I86" s="1694"/>
      <c r="J86" s="1694"/>
      <c r="K86" s="1694"/>
      <c r="L86" s="1694"/>
      <c r="M86" s="1694"/>
      <c r="N86" s="1694"/>
      <c r="O86" s="1694"/>
      <c r="P86" s="1694"/>
      <c r="Q86" s="1694"/>
      <c r="R86" s="1694"/>
      <c r="S86" s="1694"/>
      <c r="T86" s="1694"/>
      <c r="U86" s="1694"/>
      <c r="V86" s="1694"/>
      <c r="W86" s="1694"/>
      <c r="X86" s="1694"/>
      <c r="Y86" s="1694"/>
      <c r="Z86" s="1694"/>
      <c r="AA86" s="1694"/>
      <c r="AB86" s="1694"/>
      <c r="AC86" s="1694"/>
      <c r="AD86" s="1694"/>
      <c r="AE86" s="1694"/>
      <c r="AF86" s="1694"/>
      <c r="AG86" s="1694"/>
      <c r="AH86" s="1694"/>
      <c r="AI86" s="1694"/>
      <c r="AJ86" s="1694"/>
      <c r="AK86" s="1694"/>
      <c r="AL86" s="1694"/>
      <c r="AM86" s="1694"/>
      <c r="AN86" s="1694"/>
      <c r="AO86" s="169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1607"/>
      <c r="CC86" s="1607"/>
      <c r="CD86" s="1607"/>
      <c r="CE86" s="1607"/>
      <c r="CF86" s="1607"/>
      <c r="CG86" s="1607"/>
      <c r="CH86" s="1607"/>
      <c r="CI86" s="1607"/>
      <c r="CJ86" s="1607"/>
      <c r="CK86" s="1607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48"/>
      <c r="DN86" s="48"/>
      <c r="DO86" s="48"/>
      <c r="DP86" s="48"/>
      <c r="DQ86" s="48"/>
      <c r="DR86" s="48"/>
      <c r="DS86" s="48"/>
      <c r="DT86" s="48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LD86" s="2505" t="s">
        <v>496</v>
      </c>
      <c r="LE86" s="2506"/>
      <c r="LF86" s="2506"/>
      <c r="LG86" s="2506"/>
      <c r="LH86" s="2506"/>
      <c r="LI86" s="2506"/>
      <c r="LJ86" s="2506"/>
      <c r="LK86" s="2506"/>
      <c r="LL86" s="2506"/>
      <c r="LM86" s="2506"/>
      <c r="LN86" s="2506"/>
      <c r="LO86" s="2507"/>
      <c r="LP86" s="74"/>
      <c r="LQ86" s="74"/>
      <c r="LR86" s="74"/>
      <c r="LS86" s="2505" t="s">
        <v>497</v>
      </c>
      <c r="LT86" s="2506"/>
      <c r="LU86" s="2506"/>
      <c r="LV86" s="2506"/>
      <c r="LW86" s="2506"/>
      <c r="LX86" s="2506"/>
      <c r="LY86" s="2506"/>
      <c r="LZ86" s="2506"/>
      <c r="MA86" s="2506"/>
      <c r="MB86" s="2506"/>
      <c r="MC86" s="2506"/>
      <c r="MD86" s="2507"/>
      <c r="ME86" s="74"/>
      <c r="MF86" s="74"/>
      <c r="MG86" s="74"/>
      <c r="MH86" s="2508" t="s">
        <v>498</v>
      </c>
      <c r="MI86" s="2509"/>
      <c r="MJ86" s="2509"/>
      <c r="MK86" s="2509"/>
      <c r="ML86" s="2509"/>
      <c r="MM86" s="2509"/>
      <c r="MN86" s="2509"/>
      <c r="MO86" s="2509"/>
      <c r="MP86" s="2509"/>
      <c r="MQ86" s="2509"/>
      <c r="MR86" s="2509"/>
      <c r="MS86" s="2510"/>
    </row>
    <row r="87" spans="1:665" ht="27.6" customHeight="1">
      <c r="A87" s="185"/>
      <c r="B87" s="63"/>
      <c r="C87" s="186"/>
      <c r="D87" s="1619">
        <f>D2</f>
        <v>44223</v>
      </c>
      <c r="E87" s="1694"/>
      <c r="F87" s="1631">
        <v>0</v>
      </c>
      <c r="G87" s="1640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1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f>IF(BN87=24,1,BN87+1)</f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f>IF(HB87=24,1,HB87+1)</f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" customHeight="1" thickBot="1">
      <c r="A88" s="508"/>
      <c r="B88" s="508"/>
      <c r="C88" s="508"/>
      <c r="D88" s="1618"/>
      <c r="E88" s="1700"/>
      <c r="F88" s="2264" t="s">
        <v>962</v>
      </c>
      <c r="G88" s="2265"/>
      <c r="H88" s="2265"/>
      <c r="I88" s="2265"/>
      <c r="J88" s="2265"/>
      <c r="K88" s="2265"/>
      <c r="L88" s="2265"/>
      <c r="M88" s="2265"/>
      <c r="N88" s="2265"/>
      <c r="O88" s="2265"/>
      <c r="P88" s="2265"/>
      <c r="Q88" s="2265"/>
      <c r="R88" s="2265"/>
      <c r="S88" s="2265"/>
      <c r="T88" s="2265"/>
      <c r="U88" s="2265"/>
      <c r="V88" s="2265"/>
      <c r="W88" s="2265"/>
      <c r="X88" s="2265"/>
      <c r="Y88" s="2265"/>
      <c r="Z88" s="2265"/>
      <c r="AA88" s="2265"/>
      <c r="AB88" s="2265"/>
      <c r="AC88" s="2265"/>
      <c r="AD88" s="2265"/>
      <c r="AE88" s="2265"/>
      <c r="AF88" s="2265"/>
      <c r="AG88" s="2265"/>
      <c r="AH88" s="2265"/>
      <c r="AI88" s="2265"/>
      <c r="AJ88" s="2265"/>
      <c r="AK88" s="2265"/>
      <c r="AL88" s="2265"/>
      <c r="AM88" s="2265"/>
      <c r="AN88" s="2265"/>
      <c r="AO88" s="2265"/>
      <c r="AP88" s="2265"/>
      <c r="AQ88" s="2265"/>
      <c r="AR88" s="2265"/>
      <c r="AS88" s="2265"/>
      <c r="AT88" s="2265"/>
      <c r="AU88" s="2265"/>
      <c r="AV88" s="2265"/>
      <c r="AW88" s="2265"/>
      <c r="AX88" s="2265"/>
      <c r="AY88" s="2265"/>
      <c r="AZ88" s="2265"/>
      <c r="BA88" s="2265"/>
      <c r="BB88" s="2265"/>
      <c r="BC88" s="2265"/>
      <c r="BD88" s="2265"/>
      <c r="BE88" s="2265"/>
      <c r="BF88" s="2265"/>
      <c r="BG88" s="2265"/>
      <c r="BH88" s="2265"/>
      <c r="BI88" s="2265"/>
      <c r="BJ88" s="2265"/>
      <c r="BK88" s="2265"/>
      <c r="BL88" s="2265"/>
      <c r="BM88" s="2265"/>
      <c r="BN88" s="2265"/>
      <c r="BO88" s="2265"/>
      <c r="BP88" s="2265"/>
      <c r="BQ88" s="2265"/>
      <c r="BR88" s="2265"/>
      <c r="BS88" s="2265"/>
      <c r="BT88" s="2265"/>
      <c r="BU88" s="2265"/>
      <c r="BV88" s="2265"/>
      <c r="BW88" s="2265"/>
      <c r="BX88" s="2265"/>
      <c r="BY88" s="2266"/>
      <c r="BZ88" s="2267" t="s">
        <v>481</v>
      </c>
      <c r="CA88" s="2268"/>
      <c r="CB88" s="2268"/>
      <c r="CC88" s="2268"/>
      <c r="CD88" s="2268"/>
      <c r="CE88" s="2268"/>
      <c r="CF88" s="2268"/>
      <c r="CG88" s="2268"/>
      <c r="CH88" s="2268"/>
      <c r="CI88" s="2268"/>
      <c r="CJ88" s="2268"/>
      <c r="CK88" s="2268"/>
      <c r="CL88" s="2268"/>
      <c r="CM88" s="2268"/>
      <c r="CN88" s="2268"/>
      <c r="CO88" s="2268"/>
      <c r="CP88" s="2268"/>
      <c r="CQ88" s="2268"/>
      <c r="CR88" s="2268"/>
      <c r="CS88" s="2268"/>
      <c r="CT88" s="2268"/>
      <c r="CU88" s="2268"/>
      <c r="CV88" s="2268"/>
      <c r="CW88" s="2268"/>
      <c r="CX88" s="2268"/>
      <c r="CY88" s="2268"/>
      <c r="CZ88" s="2268"/>
      <c r="DA88" s="2268"/>
      <c r="DB88" s="2268"/>
      <c r="DC88" s="2268"/>
      <c r="DD88" s="2268"/>
      <c r="DE88" s="2268"/>
      <c r="DF88" s="2268"/>
      <c r="DG88" s="2268"/>
      <c r="DH88" s="2268"/>
      <c r="DI88" s="2268"/>
      <c r="DJ88" s="2268"/>
      <c r="DK88" s="2268"/>
      <c r="DL88" s="2268"/>
      <c r="DM88" s="2268"/>
      <c r="DN88" s="2268"/>
      <c r="DO88" s="2268"/>
      <c r="DP88" s="2268"/>
      <c r="DQ88" s="2268"/>
      <c r="DR88" s="2268"/>
      <c r="DS88" s="2268"/>
      <c r="DT88" s="2268"/>
      <c r="DU88" s="2268"/>
      <c r="DV88" s="2268"/>
      <c r="DW88" s="2268"/>
      <c r="DX88" s="2268"/>
      <c r="DY88" s="2268"/>
      <c r="DZ88" s="2268"/>
      <c r="EA88" s="2268"/>
      <c r="EB88" s="2268"/>
      <c r="EC88" s="2268"/>
      <c r="ED88" s="2268"/>
      <c r="EE88" s="2268"/>
      <c r="EF88" s="2268"/>
      <c r="EG88" s="2268"/>
      <c r="EH88" s="2268"/>
      <c r="EI88" s="2268"/>
      <c r="EJ88" s="2268"/>
      <c r="EK88" s="2268"/>
      <c r="EL88" s="2268"/>
      <c r="EM88" s="2268"/>
      <c r="EN88" s="2268"/>
      <c r="EO88" s="2268"/>
      <c r="EP88" s="2268"/>
      <c r="EQ88" s="2268"/>
      <c r="ER88" s="2268"/>
      <c r="ES88" s="2268"/>
      <c r="ET88" s="2268"/>
      <c r="EU88" s="2268"/>
      <c r="EV88" s="2268"/>
      <c r="EW88" s="2268"/>
      <c r="EX88" s="2268"/>
      <c r="EY88" s="2268"/>
      <c r="EZ88" s="2268"/>
      <c r="FA88" s="2268"/>
      <c r="FB88" s="2268"/>
      <c r="FC88" s="2268"/>
      <c r="FD88" s="2268"/>
      <c r="FE88" s="2268"/>
      <c r="FF88" s="2268"/>
      <c r="FG88" s="2268"/>
      <c r="FH88" s="2268"/>
      <c r="FI88" s="2268"/>
      <c r="FJ88" s="2268"/>
      <c r="FK88" s="2268"/>
      <c r="FL88" s="2268"/>
      <c r="FM88" s="2268"/>
      <c r="FN88" s="2268"/>
      <c r="FO88" s="2268"/>
      <c r="FP88" s="2268"/>
      <c r="FQ88" s="2268"/>
      <c r="FR88" s="2268"/>
      <c r="FS88" s="2268"/>
      <c r="FT88" s="2268"/>
      <c r="FU88" s="2268"/>
      <c r="FV88" s="2268"/>
      <c r="FW88" s="2268"/>
      <c r="FX88" s="2268"/>
      <c r="FY88" s="2268"/>
      <c r="FZ88" s="2268"/>
      <c r="GA88" s="2268"/>
      <c r="GB88" s="2268"/>
      <c r="GC88" s="2268"/>
      <c r="GD88" s="2268"/>
      <c r="GE88" s="2268"/>
      <c r="GF88" s="2268"/>
      <c r="GG88" s="2268"/>
      <c r="GH88" s="2268"/>
      <c r="GI88" s="2268"/>
      <c r="GJ88" s="2268"/>
      <c r="GK88" s="2268"/>
      <c r="GL88" s="2268"/>
      <c r="GM88" s="2268"/>
      <c r="GN88" s="2268"/>
      <c r="GO88" s="2268"/>
      <c r="GP88" s="2268"/>
      <c r="GQ88" s="2268"/>
      <c r="GR88" s="2268"/>
      <c r="GS88" s="2268"/>
      <c r="GT88" s="2268"/>
      <c r="GU88" s="2268"/>
      <c r="GV88" s="2268"/>
      <c r="GW88" s="2268"/>
      <c r="GX88" s="2268"/>
      <c r="GY88" s="2268"/>
      <c r="GZ88" s="2268"/>
      <c r="HA88" s="2268"/>
      <c r="HB88" s="2268"/>
      <c r="HC88" s="2268"/>
      <c r="HD88" s="2268"/>
      <c r="HE88" s="2268"/>
      <c r="HF88" s="2268"/>
      <c r="HG88" s="2268"/>
      <c r="HH88" s="2268"/>
      <c r="HI88" s="2268"/>
      <c r="HJ88" s="2268"/>
      <c r="HK88" s="2268"/>
      <c r="HL88" s="2268"/>
      <c r="HM88" s="2269"/>
      <c r="HN88" s="2264" t="s">
        <v>962</v>
      </c>
      <c r="HO88" s="2265"/>
      <c r="HP88" s="2265"/>
      <c r="HQ88" s="2265"/>
      <c r="HR88" s="2265"/>
      <c r="HS88" s="2265"/>
      <c r="HT88" s="2265"/>
      <c r="HU88" s="2265"/>
      <c r="HV88" s="2265"/>
      <c r="HW88" s="2265"/>
      <c r="HX88" s="2265"/>
      <c r="HY88" s="2265"/>
      <c r="HZ88" s="2265"/>
      <c r="IA88" s="2265"/>
      <c r="IB88" s="2265"/>
      <c r="IC88" s="2265"/>
      <c r="ID88" s="2265"/>
      <c r="IE88" s="2265"/>
      <c r="IF88" s="2265"/>
      <c r="IG88" s="2265"/>
      <c r="IH88" s="2265"/>
      <c r="II88" s="2265"/>
      <c r="IJ88" s="2265"/>
      <c r="IK88" s="2265"/>
      <c r="IL88" s="2265"/>
      <c r="IM88" s="2265"/>
      <c r="IN88" s="2265"/>
      <c r="IO88" s="2265"/>
      <c r="IP88" s="2265"/>
      <c r="IQ88" s="2265"/>
      <c r="IR88" s="2265"/>
      <c r="IS88" s="2265"/>
      <c r="IT88" s="2265"/>
      <c r="IU88" s="2265"/>
      <c r="IV88" s="2265"/>
      <c r="IW88" s="2265"/>
      <c r="IX88" s="2265"/>
      <c r="IY88" s="2265"/>
      <c r="IZ88" s="2265"/>
      <c r="JA88" s="2265"/>
      <c r="JB88" s="2265"/>
      <c r="JC88" s="2265"/>
      <c r="JD88" s="2265"/>
      <c r="JE88" s="2265"/>
      <c r="JF88" s="2265"/>
      <c r="JG88" s="2265"/>
      <c r="JH88" s="2265"/>
      <c r="JI88" s="2265"/>
      <c r="JJ88" s="2265"/>
      <c r="JK88" s="2265"/>
      <c r="JL88" s="2265"/>
      <c r="JM88" s="2265"/>
      <c r="JN88" s="2265"/>
      <c r="JO88" s="2265"/>
      <c r="JP88" s="2265"/>
      <c r="JQ88" s="2265"/>
      <c r="JR88" s="2265"/>
      <c r="JS88" s="2265"/>
      <c r="JT88" s="2265"/>
      <c r="JU88" s="2265"/>
      <c r="JV88" s="2265"/>
      <c r="JW88" s="2265"/>
      <c r="JX88" s="2265"/>
      <c r="JY88" s="2265"/>
      <c r="JZ88" s="2265"/>
      <c r="KA88" s="2265"/>
      <c r="KB88" s="2265"/>
      <c r="KC88" s="2265"/>
      <c r="KD88" s="2265"/>
      <c r="KE88" s="2265"/>
      <c r="KF88" s="2265"/>
      <c r="KG88" s="2265"/>
      <c r="KH88" s="2265"/>
      <c r="KI88" s="2265"/>
      <c r="KJ88" s="2265"/>
      <c r="KK88" s="2265"/>
      <c r="KL88" s="2265"/>
      <c r="KM88" s="2265"/>
      <c r="KN88" s="2265"/>
      <c r="KO88" s="2265"/>
      <c r="KP88" s="2265"/>
      <c r="KQ88" s="2265"/>
      <c r="KR88" s="2265"/>
      <c r="KS88" s="2265"/>
      <c r="KT88" s="2265"/>
      <c r="KU88" s="2265"/>
      <c r="KV88" s="2265"/>
      <c r="KW88" s="2265"/>
      <c r="KX88" s="2265"/>
      <c r="KY88" s="2265"/>
      <c r="KZ88" s="2265"/>
      <c r="LA88" s="2265"/>
      <c r="LB88" s="2265"/>
      <c r="LC88" s="2265"/>
      <c r="LD88" s="2265"/>
      <c r="LE88" s="2265"/>
      <c r="LF88" s="2265"/>
      <c r="LG88" s="2265"/>
      <c r="LH88" s="2265"/>
      <c r="LI88" s="2265"/>
      <c r="LJ88" s="2265"/>
      <c r="LK88" s="2265"/>
      <c r="LL88" s="2265"/>
      <c r="LM88" s="2265"/>
      <c r="LN88" s="2265"/>
      <c r="LO88" s="2265"/>
      <c r="LP88" s="2265"/>
      <c r="LQ88" s="2265"/>
      <c r="LR88" s="2265"/>
      <c r="LS88" s="2265"/>
      <c r="LT88" s="2265"/>
      <c r="LU88" s="2265"/>
      <c r="LV88" s="2265"/>
      <c r="LW88" s="2265"/>
      <c r="LX88" s="2265"/>
      <c r="LY88" s="2265"/>
      <c r="LZ88" s="2265"/>
      <c r="MA88" s="2265"/>
      <c r="MB88" s="2265"/>
      <c r="MC88" s="2265"/>
      <c r="MD88" s="2265"/>
      <c r="ME88" s="2265"/>
      <c r="MF88" s="2265"/>
      <c r="MG88" s="2265"/>
      <c r="MH88" s="2265"/>
      <c r="MI88" s="2265"/>
      <c r="MJ88" s="2265"/>
      <c r="MK88" s="2265"/>
      <c r="ML88" s="2265"/>
      <c r="MM88" s="2265"/>
      <c r="MN88" s="2265"/>
      <c r="MO88" s="2265"/>
      <c r="MP88" s="2265"/>
      <c r="MQ88" s="2265"/>
      <c r="MR88" s="2265"/>
      <c r="MS88" s="2265"/>
      <c r="MT88" s="2265"/>
      <c r="MU88" s="2265"/>
      <c r="MV88" s="2265"/>
      <c r="MW88" s="2265"/>
      <c r="MX88" s="2265"/>
      <c r="MY88" s="2265"/>
      <c r="MZ88" s="2265"/>
      <c r="NA88" s="2266"/>
    </row>
    <row r="89" spans="1:665" ht="27.6" customHeight="1" thickBot="1">
      <c r="A89" s="2467" t="s">
        <v>199</v>
      </c>
      <c r="B89" s="2467"/>
      <c r="C89" s="2468"/>
      <c r="D89" s="2439" t="s">
        <v>200</v>
      </c>
      <c r="E89" s="1694"/>
      <c r="F89" s="75"/>
      <c r="G89" s="75"/>
      <c r="R89" s="75"/>
      <c r="W89" s="1792"/>
      <c r="AB89" s="2259" t="s">
        <v>966</v>
      </c>
      <c r="AC89" s="2259"/>
      <c r="AD89" s="2259"/>
      <c r="AE89" s="2260"/>
      <c r="AF89" s="2261" t="s">
        <v>808</v>
      </c>
      <c r="AG89" s="2262"/>
      <c r="AH89" s="2262"/>
      <c r="AI89" s="2262"/>
      <c r="AJ89" s="2262"/>
      <c r="AK89" s="2262"/>
      <c r="AL89" s="2262"/>
      <c r="AM89" s="2262"/>
      <c r="AN89" s="2262"/>
      <c r="AO89" s="2262"/>
      <c r="AP89" s="2263"/>
      <c r="AQ89" s="74"/>
      <c r="AR89" s="74"/>
      <c r="AS89" s="74"/>
      <c r="AZ89" s="74"/>
      <c r="BA89" s="74"/>
      <c r="BB89" s="74"/>
      <c r="BC89" s="2259" t="s">
        <v>967</v>
      </c>
      <c r="BD89" s="2259"/>
      <c r="BE89" s="2259"/>
      <c r="BF89" s="2260"/>
      <c r="BG89" s="2261" t="s">
        <v>808</v>
      </c>
      <c r="BH89" s="2262"/>
      <c r="BI89" s="2262"/>
      <c r="BJ89" s="2262"/>
      <c r="BK89" s="2262"/>
      <c r="BL89" s="2262"/>
      <c r="BM89" s="2262"/>
      <c r="BN89" s="2262"/>
      <c r="BO89" s="2262"/>
      <c r="BP89" s="2262"/>
      <c r="BQ89" s="2263"/>
      <c r="BR89" s="74"/>
      <c r="BS89" s="74"/>
      <c r="BT89" s="74"/>
      <c r="BZ89" s="1792"/>
      <c r="CA89" s="1792"/>
      <c r="CB89" s="1792"/>
      <c r="CC89" s="2259" t="s">
        <v>968</v>
      </c>
      <c r="CD89" s="2259"/>
      <c r="CE89" s="2259"/>
      <c r="CF89" s="2260"/>
      <c r="CG89" s="2261" t="s">
        <v>808</v>
      </c>
      <c r="CH89" s="2262"/>
      <c r="CI89" s="2262"/>
      <c r="CJ89" s="2262"/>
      <c r="CK89" s="2262"/>
      <c r="CL89" s="2262"/>
      <c r="CM89" s="2262"/>
      <c r="CN89" s="2262"/>
      <c r="CO89" s="2262"/>
      <c r="CP89" s="2262"/>
      <c r="CQ89" s="2263"/>
      <c r="CR89" s="74"/>
      <c r="CS89" s="74"/>
      <c r="CT89" s="74"/>
      <c r="DA89" s="74"/>
      <c r="DB89" s="74"/>
      <c r="DC89" s="74"/>
      <c r="DD89" s="2259" t="s">
        <v>969</v>
      </c>
      <c r="DE89" s="2259"/>
      <c r="DF89" s="2259"/>
      <c r="DG89" s="2260"/>
      <c r="DH89" s="2261" t="s">
        <v>808</v>
      </c>
      <c r="DI89" s="2262"/>
      <c r="DJ89" s="2262"/>
      <c r="DK89" s="2262"/>
      <c r="DL89" s="2262"/>
      <c r="DM89" s="2262"/>
      <c r="DN89" s="2262"/>
      <c r="DO89" s="2262"/>
      <c r="DP89" s="2262"/>
      <c r="DQ89" s="2262"/>
      <c r="DR89" s="2263"/>
      <c r="DS89" s="74"/>
      <c r="DT89" s="74"/>
      <c r="DU89" s="74"/>
      <c r="FI89" s="2511" t="s">
        <v>963</v>
      </c>
      <c r="FJ89" s="2512"/>
      <c r="FK89" s="2512"/>
      <c r="FL89" s="2512"/>
      <c r="FM89" s="2512"/>
      <c r="FN89" s="2512"/>
      <c r="FO89" s="2512"/>
      <c r="FP89" s="2512"/>
      <c r="FQ89" s="2512"/>
      <c r="FR89" s="2512"/>
      <c r="FS89" s="2512"/>
      <c r="FT89" s="2513"/>
      <c r="FU89" s="2297" t="s">
        <v>809</v>
      </c>
      <c r="FV89" s="2298"/>
      <c r="FW89" s="2298"/>
      <c r="FX89" s="2298"/>
      <c r="FY89" s="2298"/>
      <c r="FZ89" s="2298"/>
      <c r="GA89" s="2298"/>
      <c r="GB89" s="2298"/>
      <c r="GC89" s="2298"/>
      <c r="GD89" s="2299"/>
      <c r="GE89" s="2300" t="s">
        <v>964</v>
      </c>
      <c r="GF89" s="2301"/>
      <c r="GG89" s="2301"/>
      <c r="GH89" s="2302"/>
      <c r="GI89" s="2297" t="s">
        <v>809</v>
      </c>
      <c r="GJ89" s="2298"/>
      <c r="GK89" s="2298"/>
      <c r="GL89" s="2298"/>
      <c r="GM89" s="2298"/>
      <c r="GN89" s="2298"/>
      <c r="GO89" s="2298"/>
      <c r="GP89" s="2298"/>
      <c r="GQ89" s="2298"/>
      <c r="GR89" s="2299"/>
      <c r="GS89" s="2300" t="s">
        <v>964</v>
      </c>
      <c r="GT89" s="2301"/>
      <c r="GU89" s="2301"/>
      <c r="GV89" s="2302"/>
      <c r="GW89" s="2303" t="s">
        <v>965</v>
      </c>
      <c r="GX89" s="2304"/>
      <c r="HA89" s="1607"/>
      <c r="HB89" s="1607"/>
      <c r="HC89" s="1607"/>
      <c r="HD89" s="1607"/>
      <c r="HE89" s="1607"/>
      <c r="HF89" s="1607"/>
      <c r="HG89" s="1607"/>
      <c r="HH89" s="1607"/>
      <c r="HI89" s="1607"/>
      <c r="HJ89" s="1607"/>
      <c r="HK89" s="1607"/>
      <c r="HL89" s="1607"/>
      <c r="HM89" s="1607"/>
      <c r="HN89" s="1607"/>
      <c r="HO89" s="1607"/>
      <c r="HP89" s="1607"/>
      <c r="HQ89" s="1607"/>
      <c r="HR89" s="1607"/>
      <c r="HS89" s="1607"/>
      <c r="HT89" s="1607"/>
      <c r="HU89" s="1607"/>
      <c r="HV89" s="1607"/>
      <c r="HW89" s="1607"/>
      <c r="HX89" s="1607"/>
      <c r="HY89" s="1607"/>
      <c r="HZ89" s="1607"/>
      <c r="IA89" s="1607"/>
      <c r="IB89" s="1607"/>
      <c r="IC89" s="1607"/>
      <c r="ID89" s="1607"/>
      <c r="KE89" s="1792"/>
      <c r="KJ89" s="2259" t="s">
        <v>1080</v>
      </c>
      <c r="KK89" s="2259"/>
      <c r="KL89" s="2259"/>
      <c r="KM89" s="2260"/>
      <c r="KN89" s="2261" t="s">
        <v>808</v>
      </c>
      <c r="KO89" s="2262"/>
      <c r="KP89" s="2262"/>
      <c r="KQ89" s="2262"/>
      <c r="KR89" s="2262"/>
      <c r="KS89" s="2262"/>
      <c r="KT89" s="2262"/>
      <c r="KU89" s="2262"/>
      <c r="KV89" s="2262"/>
      <c r="KW89" s="2262"/>
      <c r="KX89" s="2263"/>
      <c r="KY89" s="74"/>
      <c r="KZ89" s="74"/>
      <c r="LA89" s="74"/>
      <c r="LH89" s="74"/>
      <c r="LI89" s="74"/>
      <c r="LJ89" s="74"/>
      <c r="LK89" s="2259" t="s">
        <v>1081</v>
      </c>
      <c r="LL89" s="2259"/>
      <c r="LM89" s="2259"/>
      <c r="LN89" s="2260"/>
      <c r="LO89" s="2261" t="s">
        <v>808</v>
      </c>
      <c r="LP89" s="2262"/>
      <c r="LQ89" s="2262"/>
      <c r="LR89" s="2262"/>
      <c r="LS89" s="2262"/>
      <c r="LT89" s="2262"/>
      <c r="LU89" s="2262"/>
      <c r="LV89" s="2262"/>
      <c r="LW89" s="2262"/>
      <c r="LX89" s="2262"/>
      <c r="LY89" s="2263"/>
      <c r="LZ89" s="74"/>
      <c r="MA89" s="74"/>
      <c r="MB89" s="74"/>
      <c r="MH89" s="1792"/>
      <c r="MI89" s="1792"/>
      <c r="MJ89" s="1792"/>
      <c r="MK89" s="2259" t="s">
        <v>1082</v>
      </c>
      <c r="ML89" s="2259"/>
      <c r="MM89" s="2259"/>
      <c r="MN89" s="2260"/>
      <c r="MO89" s="2261" t="s">
        <v>808</v>
      </c>
      <c r="MP89" s="2262"/>
      <c r="MQ89" s="2262"/>
      <c r="MR89" s="2262"/>
      <c r="MS89" s="2262"/>
      <c r="MT89" s="2262"/>
      <c r="MU89" s="2262"/>
      <c r="MV89" s="2262"/>
      <c r="MW89" s="2262"/>
      <c r="MX89" s="2262"/>
      <c r="MY89" s="2263"/>
      <c r="MZ89" s="74"/>
      <c r="NA89" s="74"/>
      <c r="NB89" s="74"/>
      <c r="NI89" s="74"/>
      <c r="NJ89" s="74"/>
      <c r="NK89" s="74"/>
      <c r="NL89" s="2259" t="s">
        <v>1083</v>
      </c>
      <c r="NM89" s="2259"/>
      <c r="NN89" s="2259"/>
      <c r="NO89" s="2260"/>
      <c r="NP89" s="2261" t="s">
        <v>808</v>
      </c>
      <c r="NQ89" s="2262"/>
      <c r="NR89" s="2262"/>
      <c r="NS89" s="2262"/>
      <c r="NT89" s="2262"/>
      <c r="NU89" s="2262"/>
      <c r="NV89" s="2262"/>
      <c r="NW89" s="2262"/>
      <c r="NX89" s="2262"/>
      <c r="NY89" s="2262"/>
      <c r="NZ89" s="2263"/>
      <c r="OA89" s="74"/>
      <c r="OB89" s="74"/>
      <c r="OC89" s="74"/>
    </row>
    <row r="90" spans="1:665" s="11" customFormat="1" ht="27.6" customHeight="1" thickBot="1">
      <c r="A90" s="2469"/>
      <c r="B90" s="2469"/>
      <c r="C90" s="2470"/>
      <c r="D90" s="2440"/>
      <c r="E90" s="1701"/>
      <c r="U90" s="75"/>
      <c r="V90" s="75"/>
      <c r="W90" s="75"/>
      <c r="AB90" s="74"/>
      <c r="AC90" s="74"/>
      <c r="AD90" s="2270">
        <v>3</v>
      </c>
      <c r="AE90" s="2271"/>
      <c r="AF90" s="2272" t="s">
        <v>787</v>
      </c>
      <c r="AG90" s="2273"/>
      <c r="AH90" s="2274"/>
      <c r="AI90" s="2227">
        <v>4</v>
      </c>
      <c r="AJ90" s="2228"/>
      <c r="AK90" s="2229" t="s">
        <v>809</v>
      </c>
      <c r="AL90" s="2230"/>
      <c r="AM90" s="2230"/>
      <c r="AN90" s="2230"/>
      <c r="AO90" s="2230"/>
      <c r="AP90" s="2231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4"/>
      <c r="BC90" s="74"/>
      <c r="BD90" s="74"/>
      <c r="BE90" s="2270">
        <v>3</v>
      </c>
      <c r="BF90" s="2271"/>
      <c r="BG90" s="2272" t="s">
        <v>787</v>
      </c>
      <c r="BH90" s="2273"/>
      <c r="BI90" s="2274"/>
      <c r="BJ90" s="2227">
        <v>4</v>
      </c>
      <c r="BK90" s="2228"/>
      <c r="BL90" s="2229" t="s">
        <v>809</v>
      </c>
      <c r="BM90" s="2230"/>
      <c r="BN90" s="2230"/>
      <c r="BO90" s="2230"/>
      <c r="BP90" s="2230"/>
      <c r="BQ90" s="2231"/>
      <c r="BR90" s="75"/>
      <c r="BS90" s="75"/>
      <c r="BT90" s="75"/>
      <c r="BU90" s="75"/>
      <c r="BV90" s="75"/>
      <c r="BW90" s="75"/>
      <c r="BX90" s="75"/>
      <c r="BY90" s="75"/>
      <c r="BZ90" s="1792"/>
      <c r="CA90" s="1792"/>
      <c r="CB90" s="1792"/>
      <c r="CC90" s="74"/>
      <c r="CD90" s="74"/>
      <c r="CE90" s="2270">
        <v>3</v>
      </c>
      <c r="CF90" s="2271"/>
      <c r="CG90" s="2272" t="s">
        <v>787</v>
      </c>
      <c r="CH90" s="2273"/>
      <c r="CI90" s="2274"/>
      <c r="CJ90" s="2227">
        <v>4</v>
      </c>
      <c r="CK90" s="2228"/>
      <c r="CL90" s="2229" t="s">
        <v>809</v>
      </c>
      <c r="CM90" s="2230"/>
      <c r="CN90" s="2230"/>
      <c r="CO90" s="2230"/>
      <c r="CP90" s="2230"/>
      <c r="CQ90" s="2231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4"/>
      <c r="DD90" s="74"/>
      <c r="DE90" s="74"/>
      <c r="DF90" s="2270">
        <v>3</v>
      </c>
      <c r="DG90" s="2271"/>
      <c r="DH90" s="2272" t="s">
        <v>787</v>
      </c>
      <c r="DI90" s="2273"/>
      <c r="DJ90" s="2274"/>
      <c r="DK90" s="2227">
        <v>4</v>
      </c>
      <c r="DL90" s="2228"/>
      <c r="DM90" s="2229" t="s">
        <v>809</v>
      </c>
      <c r="DN90" s="2230"/>
      <c r="DO90" s="2230"/>
      <c r="DP90" s="2230"/>
      <c r="DQ90" s="2230"/>
      <c r="DR90" s="2231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I90" s="2249" t="s">
        <v>970</v>
      </c>
      <c r="FJ90" s="2250"/>
      <c r="FK90" s="2250"/>
      <c r="FL90" s="2250"/>
      <c r="FM90" s="2250"/>
      <c r="FN90" s="2250"/>
      <c r="FO90" s="2250"/>
      <c r="FP90" s="2250"/>
      <c r="FQ90" s="2250"/>
      <c r="FR90" s="2250"/>
      <c r="FS90" s="2250"/>
      <c r="FT90" s="2251"/>
      <c r="FU90" s="2249" t="s">
        <v>971</v>
      </c>
      <c r="FV90" s="2250"/>
      <c r="FW90" s="2250"/>
      <c r="FX90" s="2250"/>
      <c r="FY90" s="2250"/>
      <c r="FZ90" s="2250"/>
      <c r="GA90" s="2250"/>
      <c r="GB90" s="2250"/>
      <c r="GC90" s="2250"/>
      <c r="GD90" s="2251"/>
      <c r="GE90" s="2252"/>
      <c r="GF90" s="2253"/>
      <c r="GG90" s="2254" t="s">
        <v>946</v>
      </c>
      <c r="GH90" s="2255"/>
      <c r="GI90" s="2256" t="s">
        <v>44</v>
      </c>
      <c r="GJ90" s="2257"/>
      <c r="GK90" s="2257"/>
      <c r="GL90" s="2257"/>
      <c r="GM90" s="2257"/>
      <c r="GN90" s="2257"/>
      <c r="GO90" s="2257"/>
      <c r="GP90" s="2257"/>
      <c r="GQ90" s="2257"/>
      <c r="GR90" s="2257"/>
      <c r="GS90" s="2257"/>
      <c r="GT90" s="2257"/>
      <c r="GU90" s="2257"/>
      <c r="GV90" s="2257"/>
      <c r="GW90" s="2257"/>
      <c r="GX90" s="2257"/>
      <c r="GY90" s="2257"/>
      <c r="GZ90" s="2257"/>
      <c r="HA90" s="2257"/>
      <c r="HB90" s="1607"/>
      <c r="HC90" s="1607"/>
      <c r="HD90" s="1607"/>
      <c r="HE90" s="1607"/>
      <c r="HF90" s="1607"/>
      <c r="HG90" s="1607"/>
      <c r="HH90" s="1607"/>
      <c r="HI90" s="1607"/>
      <c r="HJ90" s="1607"/>
      <c r="HK90" s="1607"/>
      <c r="HL90" s="1607"/>
      <c r="HM90" s="1607"/>
      <c r="HN90" s="1607"/>
      <c r="HO90" s="1607"/>
      <c r="HP90" s="1607"/>
      <c r="HQ90" s="1607"/>
      <c r="HR90" s="1607"/>
      <c r="HS90" s="1607"/>
      <c r="HT90" s="1607"/>
      <c r="HU90" s="1607"/>
      <c r="HV90" s="1607"/>
      <c r="HW90" s="1607"/>
      <c r="HX90" s="1607"/>
      <c r="HY90" s="1607"/>
      <c r="HZ90" s="1607"/>
      <c r="IA90" s="1607"/>
      <c r="IB90" s="1607"/>
      <c r="IC90" s="1607"/>
      <c r="ID90" s="1607"/>
      <c r="KC90" s="75"/>
      <c r="KD90" s="75"/>
      <c r="KE90" s="75"/>
      <c r="KJ90" s="74"/>
      <c r="KK90" s="74"/>
      <c r="KL90" s="2270">
        <v>3</v>
      </c>
      <c r="KM90" s="2271"/>
      <c r="KN90" s="2272" t="s">
        <v>787</v>
      </c>
      <c r="KO90" s="2273"/>
      <c r="KP90" s="2274"/>
      <c r="KQ90" s="2227">
        <v>4</v>
      </c>
      <c r="KR90" s="2228"/>
      <c r="KS90" s="2229" t="s">
        <v>809</v>
      </c>
      <c r="KT90" s="2230"/>
      <c r="KU90" s="2230"/>
      <c r="KV90" s="2230"/>
      <c r="KW90" s="2230"/>
      <c r="KX90" s="2231"/>
      <c r="KY90" s="75"/>
      <c r="KZ90" s="75"/>
      <c r="LA90" s="75"/>
      <c r="LB90" s="75"/>
      <c r="LC90" s="75"/>
      <c r="LD90" s="75"/>
      <c r="LE90" s="75"/>
      <c r="LF90" s="75"/>
      <c r="LG90" s="75"/>
      <c r="LH90" s="75"/>
      <c r="LI90" s="75"/>
      <c r="LJ90" s="74"/>
      <c r="LK90" s="74"/>
      <c r="LL90" s="74"/>
      <c r="LM90" s="2270">
        <v>3</v>
      </c>
      <c r="LN90" s="2271"/>
      <c r="LO90" s="2272" t="s">
        <v>787</v>
      </c>
      <c r="LP90" s="2273"/>
      <c r="LQ90" s="2274"/>
      <c r="LR90" s="2227">
        <v>4</v>
      </c>
      <c r="LS90" s="2228"/>
      <c r="LT90" s="2229" t="s">
        <v>809</v>
      </c>
      <c r="LU90" s="2230"/>
      <c r="LV90" s="2230"/>
      <c r="LW90" s="2230"/>
      <c r="LX90" s="2230"/>
      <c r="LY90" s="2231"/>
      <c r="LZ90" s="75"/>
      <c r="MA90" s="75"/>
      <c r="MB90" s="75"/>
      <c r="MC90" s="75"/>
      <c r="MD90" s="75"/>
      <c r="ME90" s="75"/>
      <c r="MF90" s="75"/>
      <c r="MG90" s="75"/>
      <c r="MH90" s="1792"/>
      <c r="MI90" s="1792"/>
      <c r="MJ90" s="1792"/>
      <c r="MK90" s="74"/>
      <c r="ML90" s="74"/>
      <c r="MM90" s="2270">
        <v>3</v>
      </c>
      <c r="MN90" s="2271"/>
      <c r="MO90" s="2272" t="s">
        <v>787</v>
      </c>
      <c r="MP90" s="2273"/>
      <c r="MQ90" s="2274"/>
      <c r="MR90" s="2227">
        <v>4</v>
      </c>
      <c r="MS90" s="2228"/>
      <c r="MT90" s="2229" t="s">
        <v>809</v>
      </c>
      <c r="MU90" s="2230"/>
      <c r="MV90" s="2230"/>
      <c r="MW90" s="2230"/>
      <c r="MX90" s="2230"/>
      <c r="MY90" s="2231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4"/>
      <c r="NL90" s="74"/>
      <c r="NM90" s="74"/>
      <c r="NN90" s="2270">
        <v>3</v>
      </c>
      <c r="NO90" s="2271"/>
      <c r="NP90" s="2272" t="s">
        <v>787</v>
      </c>
      <c r="NQ90" s="2273"/>
      <c r="NR90" s="2274"/>
      <c r="NS90" s="2227">
        <v>4</v>
      </c>
      <c r="NT90" s="2228"/>
      <c r="NU90" s="2229" t="s">
        <v>809</v>
      </c>
      <c r="NV90" s="2230"/>
      <c r="NW90" s="2230"/>
      <c r="NX90" s="2230"/>
      <c r="NY90" s="2230"/>
      <c r="NZ90" s="2231"/>
      <c r="OA90" s="75"/>
      <c r="OB90" s="75"/>
      <c r="OC90" s="75"/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/>
      <c r="OP90" s="75"/>
      <c r="OQ90" s="75"/>
      <c r="OR90" s="75"/>
      <c r="OS90" s="75"/>
      <c r="OT90" s="75"/>
      <c r="OU90" s="75"/>
      <c r="OV90" s="75"/>
      <c r="OW90" s="75"/>
      <c r="OX90" s="75"/>
      <c r="OY90" s="75"/>
      <c r="OZ90" s="75"/>
      <c r="PA90" s="75"/>
      <c r="PB90" s="75"/>
      <c r="PC90" s="75"/>
      <c r="PD90" s="75"/>
      <c r="PE90" s="75"/>
      <c r="PF90" s="75"/>
      <c r="PG90" s="75"/>
      <c r="PH90" s="75"/>
      <c r="PI90" s="75"/>
      <c r="PJ90" s="75"/>
    </row>
    <row r="91" spans="1:665" s="1730" customFormat="1" ht="27.6" customHeight="1" thickBot="1">
      <c r="A91" s="2471"/>
      <c r="B91" s="2471"/>
      <c r="C91" s="2472"/>
      <c r="D91" s="1678"/>
      <c r="E91" s="1697" t="s">
        <v>873</v>
      </c>
      <c r="AD91" s="1608">
        <v>432</v>
      </c>
      <c r="AE91" s="1608">
        <v>432</v>
      </c>
      <c r="AF91" s="1608">
        <v>100</v>
      </c>
      <c r="AG91" s="1608">
        <v>100</v>
      </c>
      <c r="AH91" s="1608">
        <v>100</v>
      </c>
      <c r="AQ91" s="74"/>
      <c r="AR91" s="74"/>
      <c r="AS91" s="74"/>
      <c r="AT91" s="74"/>
      <c r="BE91" s="1608">
        <v>432</v>
      </c>
      <c r="BF91" s="1608">
        <v>432</v>
      </c>
      <c r="BG91" s="1608">
        <v>100</v>
      </c>
      <c r="BH91" s="1608">
        <v>100</v>
      </c>
      <c r="BI91" s="1608">
        <v>100</v>
      </c>
      <c r="BQ91" s="74"/>
      <c r="BR91" s="74"/>
      <c r="BS91" s="74"/>
      <c r="BT91" s="74"/>
      <c r="CE91" s="1608">
        <v>432</v>
      </c>
      <c r="CF91" s="1608">
        <v>432</v>
      </c>
      <c r="CG91" s="1608">
        <v>100</v>
      </c>
      <c r="CH91" s="1608">
        <v>100</v>
      </c>
      <c r="CI91" s="1608">
        <v>100</v>
      </c>
      <c r="CR91" s="74"/>
      <c r="CS91" s="74"/>
      <c r="CT91" s="74"/>
      <c r="CU91" s="74"/>
      <c r="DF91" s="1608">
        <v>432</v>
      </c>
      <c r="DG91" s="1608">
        <v>432</v>
      </c>
      <c r="DH91" s="1608">
        <v>100</v>
      </c>
      <c r="DI91" s="1608">
        <v>100</v>
      </c>
      <c r="DJ91" s="1608">
        <v>100</v>
      </c>
      <c r="FS91" s="1608">
        <v>250</v>
      </c>
      <c r="FT91" s="1608">
        <v>250</v>
      </c>
      <c r="FU91" s="1608">
        <v>250</v>
      </c>
      <c r="FV91" s="1608">
        <v>250</v>
      </c>
      <c r="FW91" s="1608">
        <v>250</v>
      </c>
      <c r="FX91" s="1608">
        <v>250</v>
      </c>
      <c r="FY91" s="1608">
        <v>250</v>
      </c>
      <c r="FZ91" s="1608">
        <v>250</v>
      </c>
      <c r="GA91" s="1608">
        <v>250</v>
      </c>
      <c r="GB91" s="1608">
        <v>250</v>
      </c>
      <c r="GC91" s="1608">
        <v>250</v>
      </c>
      <c r="GD91" s="1608">
        <v>250</v>
      </c>
      <c r="GG91" s="1608">
        <v>250</v>
      </c>
      <c r="GH91" s="1608">
        <v>250</v>
      </c>
      <c r="GI91" s="1608">
        <v>250</v>
      </c>
      <c r="GJ91" s="1608">
        <v>250</v>
      </c>
      <c r="GK91" s="1608">
        <v>250</v>
      </c>
      <c r="GL91" s="1608">
        <v>250</v>
      </c>
      <c r="GM91" s="1608">
        <v>250</v>
      </c>
      <c r="GN91" s="1608">
        <v>250</v>
      </c>
      <c r="GO91" s="1608">
        <v>250</v>
      </c>
      <c r="GP91" s="1608">
        <v>250</v>
      </c>
      <c r="GQ91" s="1608">
        <v>250</v>
      </c>
      <c r="GR91" s="1608">
        <v>250</v>
      </c>
      <c r="KL91" s="1608">
        <v>432</v>
      </c>
      <c r="KM91" s="1608">
        <v>432</v>
      </c>
      <c r="KN91" s="1608">
        <v>100</v>
      </c>
      <c r="KO91" s="1608">
        <v>100</v>
      </c>
      <c r="KP91" s="1608">
        <v>100</v>
      </c>
      <c r="KY91" s="74"/>
      <c r="KZ91" s="74"/>
      <c r="LA91" s="74"/>
      <c r="LB91" s="74"/>
      <c r="LM91" s="1608">
        <v>432</v>
      </c>
      <c r="LN91" s="1608">
        <v>432</v>
      </c>
      <c r="LO91" s="1608">
        <v>100</v>
      </c>
      <c r="LP91" s="1608">
        <v>100</v>
      </c>
      <c r="LQ91" s="1608">
        <v>100</v>
      </c>
      <c r="LY91" s="74"/>
      <c r="LZ91" s="74"/>
      <c r="MA91" s="74"/>
      <c r="MB91" s="74"/>
      <c r="MM91" s="1608">
        <v>432</v>
      </c>
      <c r="MN91" s="1608">
        <v>432</v>
      </c>
      <c r="MO91" s="1608">
        <v>100</v>
      </c>
      <c r="MP91" s="1608">
        <v>100</v>
      </c>
      <c r="MQ91" s="1608">
        <v>100</v>
      </c>
      <c r="MZ91" s="74"/>
      <c r="NA91" s="74"/>
      <c r="NB91" s="74"/>
      <c r="NC91" s="74"/>
      <c r="NN91" s="1608">
        <v>432</v>
      </c>
      <c r="NO91" s="1608">
        <v>432</v>
      </c>
      <c r="NP91" s="1608">
        <v>100</v>
      </c>
      <c r="NQ91" s="1608">
        <v>100</v>
      </c>
      <c r="NR91" s="1608">
        <v>100</v>
      </c>
    </row>
    <row r="92" spans="1:665" s="1648" customFormat="1" ht="27.6" customHeight="1" thickBot="1">
      <c r="A92" s="2469"/>
      <c r="B92" s="2469"/>
      <c r="C92" s="2470"/>
      <c r="D92" s="2439" t="s">
        <v>201</v>
      </c>
      <c r="E92" s="1702"/>
      <c r="U92" s="75"/>
      <c r="V92" s="1607"/>
      <c r="W92" s="1607"/>
      <c r="X92" s="75"/>
      <c r="Y92" s="75"/>
      <c r="Z92" s="75"/>
      <c r="AA92" s="75"/>
      <c r="AB92" s="75"/>
      <c r="AC92" s="75"/>
      <c r="AD92" s="75"/>
      <c r="AE92" s="75"/>
      <c r="AF92" s="2232" t="s">
        <v>966</v>
      </c>
      <c r="AG92" s="2233"/>
      <c r="AH92" s="2234"/>
      <c r="AI92" s="2235" t="s">
        <v>954</v>
      </c>
      <c r="AJ92" s="2236"/>
      <c r="AK92" s="2236"/>
      <c r="AL92" s="2236"/>
      <c r="AM92" s="2236"/>
      <c r="AN92" s="2236"/>
      <c r="AO92" s="2236"/>
      <c r="AP92" s="2236"/>
      <c r="AQ92" s="2236"/>
      <c r="AR92" s="2236"/>
      <c r="AS92" s="2236"/>
      <c r="AT92" s="2236"/>
      <c r="AU92" s="2236"/>
      <c r="AV92" s="2236"/>
      <c r="AW92" s="2237"/>
      <c r="AX92" s="75"/>
      <c r="AY92" s="75"/>
      <c r="AZ92" s="75"/>
      <c r="BA92" s="75"/>
      <c r="BB92" s="75"/>
      <c r="BC92" s="74"/>
      <c r="BD92" s="74"/>
      <c r="BE92" s="74"/>
      <c r="BF92" s="74"/>
      <c r="BG92" s="2232" t="s">
        <v>967</v>
      </c>
      <c r="BH92" s="2233"/>
      <c r="BI92" s="2234"/>
      <c r="BJ92" s="2235" t="s">
        <v>954</v>
      </c>
      <c r="BK92" s="2236"/>
      <c r="BL92" s="2236"/>
      <c r="BM92" s="2236"/>
      <c r="BN92" s="2236"/>
      <c r="BO92" s="2236"/>
      <c r="BP92" s="2236"/>
      <c r="BQ92" s="2236"/>
      <c r="BR92" s="2236"/>
      <c r="BS92" s="2236"/>
      <c r="BT92" s="2236"/>
      <c r="BU92" s="2236"/>
      <c r="BV92" s="2236"/>
      <c r="BW92" s="2236"/>
      <c r="BX92" s="2237"/>
      <c r="BY92" s="75"/>
      <c r="BZ92" s="75"/>
      <c r="CA92" s="75"/>
      <c r="CB92" s="1792"/>
      <c r="CC92" s="74"/>
      <c r="CD92" s="74"/>
      <c r="CE92" s="74"/>
      <c r="CF92" s="74"/>
      <c r="CG92" s="2232" t="s">
        <v>968</v>
      </c>
      <c r="CH92" s="2233"/>
      <c r="CI92" s="2234"/>
      <c r="CJ92" s="2235" t="s">
        <v>954</v>
      </c>
      <c r="CK92" s="2236"/>
      <c r="CL92" s="2236"/>
      <c r="CM92" s="2236"/>
      <c r="CN92" s="2236"/>
      <c r="CO92" s="2236"/>
      <c r="CP92" s="2236"/>
      <c r="CQ92" s="2236"/>
      <c r="CR92" s="2236"/>
      <c r="CS92" s="2236"/>
      <c r="CT92" s="2236"/>
      <c r="CU92" s="2236"/>
      <c r="CV92" s="2236"/>
      <c r="CW92" s="2236"/>
      <c r="CX92" s="2237"/>
      <c r="CY92" s="75"/>
      <c r="CZ92" s="75"/>
      <c r="DA92" s="75"/>
      <c r="DB92" s="75"/>
      <c r="DC92" s="75"/>
      <c r="DD92" s="74"/>
      <c r="DE92" s="74"/>
      <c r="DF92" s="74"/>
      <c r="DG92" s="74"/>
      <c r="DH92" s="2232" t="s">
        <v>969</v>
      </c>
      <c r="DI92" s="2233"/>
      <c r="DJ92" s="2234"/>
      <c r="DK92" s="2235" t="s">
        <v>954</v>
      </c>
      <c r="DL92" s="2236"/>
      <c r="DM92" s="2236"/>
      <c r="DN92" s="2236"/>
      <c r="DO92" s="2236"/>
      <c r="DP92" s="2236"/>
      <c r="DQ92" s="2236"/>
      <c r="DR92" s="2236"/>
      <c r="DS92" s="2236"/>
      <c r="DT92" s="2236"/>
      <c r="DU92" s="2236"/>
      <c r="DV92" s="2236"/>
      <c r="DW92" s="2236"/>
      <c r="DX92" s="2236"/>
      <c r="DY92" s="2237"/>
      <c r="DZ92" s="1607"/>
      <c r="EA92" s="2109" t="s">
        <v>947</v>
      </c>
      <c r="EB92" s="2110"/>
      <c r="EC92" s="2110"/>
      <c r="ED92" s="2110"/>
      <c r="EE92" s="2110"/>
      <c r="EF92" s="2110"/>
      <c r="EG92" s="2110"/>
      <c r="EH92" s="2110"/>
      <c r="EI92" s="2110"/>
      <c r="EJ92" s="2110"/>
      <c r="EK92" s="2110"/>
      <c r="EL92" s="2110"/>
      <c r="EM92" s="2111"/>
      <c r="EN92" s="1607"/>
      <c r="EO92" s="330"/>
      <c r="EP92" s="1633"/>
      <c r="EQ92" s="1633"/>
      <c r="ER92" s="1633"/>
      <c r="ES92" s="1633"/>
      <c r="ET92" s="1633"/>
      <c r="EU92" s="1633"/>
      <c r="EV92" s="1633"/>
      <c r="EW92" s="1633"/>
      <c r="EX92" s="1633"/>
      <c r="EY92" s="1633"/>
      <c r="EZ92" s="1633"/>
      <c r="FA92" s="1633"/>
      <c r="FB92" s="1633"/>
      <c r="FI92" s="1607"/>
      <c r="FJ92" s="1607"/>
      <c r="FK92" s="1607"/>
      <c r="FL92" s="1607"/>
      <c r="FM92" s="1607"/>
      <c r="FN92" s="1607"/>
      <c r="FO92" s="1607"/>
      <c r="FP92" s="1607"/>
      <c r="FQ92" s="1607"/>
      <c r="FR92" s="1607"/>
      <c r="FS92" s="1607"/>
      <c r="FT92" s="1607"/>
      <c r="FU92" s="1607"/>
      <c r="FV92" s="1607"/>
      <c r="FW92" s="1607"/>
      <c r="FX92" s="1607"/>
      <c r="FY92" s="1607"/>
      <c r="FZ92" s="1607"/>
      <c r="GA92" s="1607"/>
      <c r="GB92" s="1607"/>
      <c r="GC92" s="1607"/>
      <c r="GD92" s="1607"/>
      <c r="GE92" s="1607"/>
      <c r="GF92" s="1607"/>
      <c r="GG92" s="1607"/>
      <c r="GH92" s="1607"/>
      <c r="GI92" s="1607"/>
      <c r="GJ92" s="1607"/>
      <c r="GK92" s="1607"/>
      <c r="GL92" s="2511" t="s">
        <v>963</v>
      </c>
      <c r="GM92" s="2512"/>
      <c r="GN92" s="2512"/>
      <c r="GO92" s="2512"/>
      <c r="GP92" s="2512"/>
      <c r="GQ92" s="2512"/>
      <c r="GR92" s="2512"/>
      <c r="GS92" s="2512"/>
      <c r="GT92" s="2512"/>
      <c r="GU92" s="2512"/>
      <c r="GV92" s="2512"/>
      <c r="GW92" s="2513"/>
      <c r="GX92" s="2297" t="s">
        <v>809</v>
      </c>
      <c r="GY92" s="2298"/>
      <c r="GZ92" s="2298"/>
      <c r="HA92" s="2298"/>
      <c r="HB92" s="2298"/>
      <c r="HC92" s="2298"/>
      <c r="HD92" s="2298"/>
      <c r="HE92" s="2298"/>
      <c r="HF92" s="2298"/>
      <c r="HG92" s="2299"/>
      <c r="HH92" s="2300" t="s">
        <v>964</v>
      </c>
      <c r="HI92" s="2301"/>
      <c r="HJ92" s="2301"/>
      <c r="HK92" s="2302"/>
      <c r="HL92" s="2297" t="s">
        <v>809</v>
      </c>
      <c r="HM92" s="2298"/>
      <c r="HN92" s="2298"/>
      <c r="HO92" s="2298"/>
      <c r="HP92" s="2298"/>
      <c r="HQ92" s="2298"/>
      <c r="HR92" s="2298"/>
      <c r="HS92" s="2298"/>
      <c r="HT92" s="2298"/>
      <c r="HU92" s="2299"/>
      <c r="HV92" s="2300" t="s">
        <v>964</v>
      </c>
      <c r="HW92" s="2301"/>
      <c r="HX92" s="2301"/>
      <c r="HY92" s="2302"/>
      <c r="HZ92" s="2303" t="s">
        <v>965</v>
      </c>
      <c r="IA92" s="2304"/>
      <c r="IB92" s="75"/>
      <c r="IC92" s="75"/>
      <c r="ID92" s="1607"/>
      <c r="KC92" s="75"/>
      <c r="KD92" s="1607"/>
      <c r="KE92" s="1607"/>
      <c r="KF92" s="75"/>
      <c r="KG92" s="75"/>
      <c r="KH92" s="75"/>
      <c r="KI92" s="75"/>
      <c r="KJ92" s="75"/>
      <c r="KK92" s="75"/>
      <c r="KL92" s="75"/>
      <c r="KM92" s="75"/>
      <c r="KN92" s="2232" t="s">
        <v>1080</v>
      </c>
      <c r="KO92" s="2233"/>
      <c r="KP92" s="2234"/>
      <c r="KQ92" s="2235" t="s">
        <v>954</v>
      </c>
      <c r="KR92" s="2236"/>
      <c r="KS92" s="2236"/>
      <c r="KT92" s="2236"/>
      <c r="KU92" s="2236"/>
      <c r="KV92" s="2236"/>
      <c r="KW92" s="2236"/>
      <c r="KX92" s="2236"/>
      <c r="KY92" s="2236"/>
      <c r="KZ92" s="2236"/>
      <c r="LA92" s="2236"/>
      <c r="LB92" s="2236"/>
      <c r="LC92" s="2236"/>
      <c r="LD92" s="2236"/>
      <c r="LE92" s="2237"/>
      <c r="LF92" s="75"/>
      <c r="LG92" s="75"/>
      <c r="LH92" s="75"/>
      <c r="LI92" s="75"/>
      <c r="LJ92" s="75"/>
      <c r="LK92" s="74"/>
      <c r="LL92" s="74"/>
      <c r="LM92" s="74"/>
      <c r="LN92" s="74"/>
      <c r="LO92" s="2232" t="s">
        <v>1081</v>
      </c>
      <c r="LP92" s="2233"/>
      <c r="LQ92" s="2234"/>
      <c r="LR92" s="2235" t="s">
        <v>954</v>
      </c>
      <c r="LS92" s="2236"/>
      <c r="LT92" s="2236"/>
      <c r="LU92" s="2236"/>
      <c r="LV92" s="2236"/>
      <c r="LW92" s="2236"/>
      <c r="LX92" s="2236"/>
      <c r="LY92" s="2236"/>
      <c r="LZ92" s="2236"/>
      <c r="MA92" s="2236"/>
      <c r="MB92" s="2236"/>
      <c r="MC92" s="2236"/>
      <c r="MD92" s="2236"/>
      <c r="ME92" s="2236"/>
      <c r="MF92" s="2237"/>
      <c r="MG92" s="75"/>
      <c r="MH92" s="75"/>
      <c r="MI92" s="75"/>
      <c r="MJ92" s="1792"/>
      <c r="MK92" s="74"/>
      <c r="ML92" s="74"/>
      <c r="MM92" s="74"/>
      <c r="MN92" s="74"/>
      <c r="MO92" s="2232" t="s">
        <v>1082</v>
      </c>
      <c r="MP92" s="2233"/>
      <c r="MQ92" s="2234"/>
      <c r="MR92" s="2235" t="s">
        <v>954</v>
      </c>
      <c r="MS92" s="2236"/>
      <c r="MT92" s="2236"/>
      <c r="MU92" s="2236"/>
      <c r="MV92" s="2236"/>
      <c r="MW92" s="2236"/>
      <c r="MX92" s="2236"/>
      <c r="MY92" s="2236"/>
      <c r="MZ92" s="2236"/>
      <c r="NA92" s="2236"/>
      <c r="NB92" s="2236"/>
      <c r="NC92" s="2236"/>
      <c r="ND92" s="2236"/>
      <c r="NE92" s="2236"/>
      <c r="NF92" s="2237"/>
      <c r="NG92" s="75"/>
      <c r="NH92" s="75"/>
      <c r="NI92" s="75"/>
      <c r="NJ92" s="75"/>
      <c r="NK92" s="75"/>
      <c r="NL92" s="74"/>
      <c r="NM92" s="74"/>
      <c r="NN92" s="74"/>
      <c r="NO92" s="74"/>
      <c r="NP92" s="2232" t="s">
        <v>1083</v>
      </c>
      <c r="NQ92" s="2233"/>
      <c r="NR92" s="2234"/>
      <c r="NS92" s="2235" t="s">
        <v>954</v>
      </c>
      <c r="NT92" s="2236"/>
      <c r="NU92" s="2236"/>
      <c r="NV92" s="2236"/>
      <c r="NW92" s="2236"/>
      <c r="NX92" s="2236"/>
      <c r="NY92" s="2236"/>
      <c r="NZ92" s="2236"/>
      <c r="OA92" s="2236"/>
      <c r="OB92" s="2236"/>
      <c r="OC92" s="2236"/>
      <c r="OD92" s="2236"/>
      <c r="OE92" s="2236"/>
      <c r="OF92" s="2236"/>
      <c r="OG92" s="2237"/>
      <c r="OH92" s="1607"/>
      <c r="OI92" s="2109" t="s">
        <v>947</v>
      </c>
      <c r="OJ92" s="2110"/>
      <c r="OK92" s="2110"/>
      <c r="OL92" s="2110"/>
      <c r="OM92" s="2110"/>
      <c r="ON92" s="2110"/>
      <c r="OO92" s="2110"/>
      <c r="OP92" s="2110"/>
      <c r="OQ92" s="2110"/>
      <c r="OR92" s="2110"/>
      <c r="OS92" s="2110"/>
      <c r="OT92" s="2110"/>
      <c r="OU92" s="2111"/>
      <c r="OV92" s="1607"/>
      <c r="OW92" s="330"/>
      <c r="OX92" s="1633"/>
      <c r="OY92" s="1633"/>
      <c r="OZ92" s="1633"/>
      <c r="PA92" s="1633"/>
      <c r="PB92" s="1633"/>
      <c r="PC92" s="1633"/>
      <c r="PD92" s="1633"/>
      <c r="PE92" s="1633"/>
      <c r="PF92" s="1633"/>
      <c r="PG92" s="1633"/>
      <c r="PH92" s="1633"/>
      <c r="PI92" s="1633"/>
      <c r="PJ92" s="1633"/>
    </row>
    <row r="93" spans="1:665" s="11" customFormat="1" ht="27.6" customHeight="1" thickBot="1">
      <c r="A93" s="2469"/>
      <c r="B93" s="2469"/>
      <c r="C93" s="2470"/>
      <c r="D93" s="2440"/>
      <c r="E93" s="1701"/>
      <c r="U93" s="75"/>
      <c r="V93" s="1607"/>
      <c r="W93" s="1607"/>
      <c r="X93" s="75"/>
      <c r="Y93" s="75"/>
      <c r="Z93" s="75"/>
      <c r="AA93" s="75"/>
      <c r="AB93" s="75"/>
      <c r="AC93" s="75"/>
      <c r="AD93" s="75"/>
      <c r="AE93" s="75"/>
      <c r="AF93" s="1793">
        <v>3</v>
      </c>
      <c r="AG93" s="2238" t="s">
        <v>787</v>
      </c>
      <c r="AH93" s="2239"/>
      <c r="AI93" s="2240" t="s">
        <v>955</v>
      </c>
      <c r="AJ93" s="2241"/>
      <c r="AK93" s="2241"/>
      <c r="AL93" s="2241"/>
      <c r="AM93" s="2241"/>
      <c r="AN93" s="2241"/>
      <c r="AO93" s="2241"/>
      <c r="AP93" s="2241"/>
      <c r="AQ93" s="2241"/>
      <c r="AR93" s="2227">
        <v>4</v>
      </c>
      <c r="AS93" s="2228"/>
      <c r="AT93" s="2229" t="s">
        <v>809</v>
      </c>
      <c r="AU93" s="2230"/>
      <c r="AV93" s="2230"/>
      <c r="AW93" s="2231"/>
      <c r="AX93" s="75"/>
      <c r="AY93" s="75"/>
      <c r="AZ93" s="75"/>
      <c r="BA93" s="75"/>
      <c r="BB93" s="75"/>
      <c r="BC93" s="74"/>
      <c r="BD93" s="74"/>
      <c r="BE93" s="74"/>
      <c r="BF93" s="74"/>
      <c r="BG93" s="1793">
        <v>3</v>
      </c>
      <c r="BH93" s="2238" t="s">
        <v>787</v>
      </c>
      <c r="BI93" s="2239"/>
      <c r="BJ93" s="2240" t="s">
        <v>955</v>
      </c>
      <c r="BK93" s="2241"/>
      <c r="BL93" s="2241"/>
      <c r="BM93" s="2241"/>
      <c r="BN93" s="2241"/>
      <c r="BO93" s="2241"/>
      <c r="BP93" s="2241"/>
      <c r="BQ93" s="2241"/>
      <c r="BR93" s="2241"/>
      <c r="BS93" s="2227">
        <v>4</v>
      </c>
      <c r="BT93" s="2228"/>
      <c r="BU93" s="2229" t="s">
        <v>809</v>
      </c>
      <c r="BV93" s="2230"/>
      <c r="BW93" s="2230"/>
      <c r="BX93" s="2231"/>
      <c r="BY93" s="75"/>
      <c r="BZ93" s="75"/>
      <c r="CA93" s="75"/>
      <c r="CB93" s="1792"/>
      <c r="CC93" s="74"/>
      <c r="CD93" s="74"/>
      <c r="CE93" s="74"/>
      <c r="CF93" s="74"/>
      <c r="CG93" s="1793">
        <v>3</v>
      </c>
      <c r="CH93" s="2238" t="s">
        <v>787</v>
      </c>
      <c r="CI93" s="2239"/>
      <c r="CJ93" s="2240" t="s">
        <v>955</v>
      </c>
      <c r="CK93" s="2241"/>
      <c r="CL93" s="2241"/>
      <c r="CM93" s="2241"/>
      <c r="CN93" s="2241"/>
      <c r="CO93" s="2241"/>
      <c r="CP93" s="2241"/>
      <c r="CQ93" s="2241"/>
      <c r="CR93" s="2241"/>
      <c r="CS93" s="2227">
        <v>4</v>
      </c>
      <c r="CT93" s="2228"/>
      <c r="CU93" s="2229" t="s">
        <v>809</v>
      </c>
      <c r="CV93" s="2230"/>
      <c r="CW93" s="2230"/>
      <c r="CX93" s="2231"/>
      <c r="CY93" s="75"/>
      <c r="CZ93" s="75"/>
      <c r="DA93" s="75"/>
      <c r="DB93" s="75"/>
      <c r="DC93" s="75"/>
      <c r="DD93" s="74"/>
      <c r="DE93" s="74"/>
      <c r="DF93" s="74"/>
      <c r="DG93" s="74"/>
      <c r="DH93" s="1793">
        <v>3</v>
      </c>
      <c r="DI93" s="2238" t="s">
        <v>787</v>
      </c>
      <c r="DJ93" s="2239"/>
      <c r="DK93" s="2240" t="s">
        <v>955</v>
      </c>
      <c r="DL93" s="2241"/>
      <c r="DM93" s="2241"/>
      <c r="DN93" s="2241"/>
      <c r="DO93" s="2241"/>
      <c r="DP93" s="2241"/>
      <c r="DQ93" s="2241"/>
      <c r="DR93" s="2241"/>
      <c r="DS93" s="2241"/>
      <c r="DT93" s="2227">
        <v>4</v>
      </c>
      <c r="DU93" s="2228"/>
      <c r="DV93" s="2229" t="s">
        <v>809</v>
      </c>
      <c r="DW93" s="2230"/>
      <c r="DX93" s="2230"/>
      <c r="DY93" s="2231"/>
      <c r="DZ93" s="1607"/>
      <c r="EA93" s="2115"/>
      <c r="EB93" s="2116"/>
      <c r="EC93" s="2116"/>
      <c r="ED93" s="2116"/>
      <c r="EE93" s="2116"/>
      <c r="EF93" s="2116"/>
      <c r="EG93" s="2116"/>
      <c r="EH93" s="2116"/>
      <c r="EI93" s="2116"/>
      <c r="EJ93" s="2116"/>
      <c r="EK93" s="2116"/>
      <c r="EL93" s="2116"/>
      <c r="EM93" s="2117"/>
      <c r="EN93" s="1607"/>
      <c r="EO93" s="330"/>
      <c r="EP93" s="1633"/>
      <c r="EQ93" s="1633"/>
      <c r="ER93" s="1633"/>
      <c r="ES93" s="1633"/>
      <c r="ET93" s="1633"/>
      <c r="EU93" s="1633"/>
      <c r="EV93" s="1633"/>
      <c r="EW93" s="1633"/>
      <c r="EX93" s="1633"/>
      <c r="EY93" s="1633"/>
      <c r="EZ93" s="1633"/>
      <c r="FA93" s="1633"/>
      <c r="FB93" s="1633"/>
      <c r="FI93" s="1607"/>
      <c r="FJ93" s="1607"/>
      <c r="FK93" s="1607"/>
      <c r="FL93" s="1607"/>
      <c r="FM93" s="1607"/>
      <c r="FN93" s="1607"/>
      <c r="FO93" s="1607"/>
      <c r="FP93" s="1607"/>
      <c r="FQ93" s="1607"/>
      <c r="FR93" s="1607"/>
      <c r="FS93" s="1607"/>
      <c r="FT93" s="1607"/>
      <c r="FU93" s="1607"/>
      <c r="FV93" s="1607"/>
      <c r="FW93" s="1607"/>
      <c r="FX93" s="1607"/>
      <c r="FY93" s="1607"/>
      <c r="FZ93" s="1607"/>
      <c r="GA93" s="1607"/>
      <c r="GB93" s="1607"/>
      <c r="GC93" s="1607"/>
      <c r="GD93" s="1607"/>
      <c r="GE93" s="1607"/>
      <c r="GF93" s="1607"/>
      <c r="GG93" s="1607"/>
      <c r="GH93" s="1607"/>
      <c r="GI93" s="1607"/>
      <c r="GJ93" s="1607"/>
      <c r="GK93" s="1607"/>
      <c r="GL93" s="2249" t="s">
        <v>972</v>
      </c>
      <c r="GM93" s="2250"/>
      <c r="GN93" s="2250"/>
      <c r="GO93" s="2250"/>
      <c r="GP93" s="2250"/>
      <c r="GQ93" s="2250"/>
      <c r="GR93" s="2250"/>
      <c r="GS93" s="2250"/>
      <c r="GT93" s="2250"/>
      <c r="GU93" s="2250"/>
      <c r="GV93" s="2250"/>
      <c r="GW93" s="2251"/>
      <c r="GX93" s="2249" t="s">
        <v>971</v>
      </c>
      <c r="GY93" s="2250"/>
      <c r="GZ93" s="2250"/>
      <c r="HA93" s="2250"/>
      <c r="HB93" s="2250"/>
      <c r="HC93" s="2250"/>
      <c r="HD93" s="2250"/>
      <c r="HE93" s="2250"/>
      <c r="HF93" s="2250"/>
      <c r="HG93" s="2251"/>
      <c r="HH93" s="2252"/>
      <c r="HI93" s="2253"/>
      <c r="HJ93" s="2254" t="s">
        <v>946</v>
      </c>
      <c r="HK93" s="2255"/>
      <c r="HL93" s="2256" t="s">
        <v>44</v>
      </c>
      <c r="HM93" s="2257"/>
      <c r="HN93" s="2257"/>
      <c r="HO93" s="2257"/>
      <c r="HP93" s="2257"/>
      <c r="HQ93" s="2257"/>
      <c r="HR93" s="2257"/>
      <c r="HS93" s="2257"/>
      <c r="HT93" s="2257"/>
      <c r="HU93" s="2257"/>
      <c r="HV93" s="2257"/>
      <c r="HW93" s="2257"/>
      <c r="HX93" s="2257"/>
      <c r="HY93" s="2257"/>
      <c r="HZ93" s="2257"/>
      <c r="IA93" s="2257"/>
      <c r="IB93" s="2257"/>
      <c r="IC93" s="2257"/>
      <c r="ID93" s="2258"/>
      <c r="KC93" s="75"/>
      <c r="KD93" s="1607"/>
      <c r="KE93" s="1607"/>
      <c r="KF93" s="75"/>
      <c r="KG93" s="75"/>
      <c r="KH93" s="75"/>
      <c r="KI93" s="75"/>
      <c r="KJ93" s="75"/>
      <c r="KK93" s="75"/>
      <c r="KL93" s="75"/>
      <c r="KM93" s="75"/>
      <c r="KN93" s="1793">
        <v>3</v>
      </c>
      <c r="KO93" s="2238" t="s">
        <v>787</v>
      </c>
      <c r="KP93" s="2239"/>
      <c r="KQ93" s="2240" t="s">
        <v>955</v>
      </c>
      <c r="KR93" s="2241"/>
      <c r="KS93" s="2241"/>
      <c r="KT93" s="2241"/>
      <c r="KU93" s="2241"/>
      <c r="KV93" s="2241"/>
      <c r="KW93" s="2241"/>
      <c r="KX93" s="2241"/>
      <c r="KY93" s="2241"/>
      <c r="KZ93" s="2227">
        <v>4</v>
      </c>
      <c r="LA93" s="2228"/>
      <c r="LB93" s="2229" t="s">
        <v>809</v>
      </c>
      <c r="LC93" s="2230"/>
      <c r="LD93" s="2230"/>
      <c r="LE93" s="2231"/>
      <c r="LF93" s="75"/>
      <c r="LG93" s="75"/>
      <c r="LH93" s="75"/>
      <c r="LI93" s="75"/>
      <c r="LJ93" s="75"/>
      <c r="LK93" s="74"/>
      <c r="LL93" s="74"/>
      <c r="LM93" s="74"/>
      <c r="LN93" s="74"/>
      <c r="LO93" s="1793">
        <v>3</v>
      </c>
      <c r="LP93" s="2238" t="s">
        <v>787</v>
      </c>
      <c r="LQ93" s="2239"/>
      <c r="LR93" s="2240" t="s">
        <v>955</v>
      </c>
      <c r="LS93" s="2241"/>
      <c r="LT93" s="2241"/>
      <c r="LU93" s="2241"/>
      <c r="LV93" s="2241"/>
      <c r="LW93" s="2241"/>
      <c r="LX93" s="2241"/>
      <c r="LY93" s="2241"/>
      <c r="LZ93" s="2241"/>
      <c r="MA93" s="2227">
        <v>4</v>
      </c>
      <c r="MB93" s="2228"/>
      <c r="MC93" s="2229" t="s">
        <v>809</v>
      </c>
      <c r="MD93" s="2230"/>
      <c r="ME93" s="2230"/>
      <c r="MF93" s="2231"/>
      <c r="MG93" s="75"/>
      <c r="MH93" s="75"/>
      <c r="MI93" s="75"/>
      <c r="MJ93" s="1792"/>
      <c r="MK93" s="74"/>
      <c r="ML93" s="74"/>
      <c r="MM93" s="74"/>
      <c r="MN93" s="74"/>
      <c r="MO93" s="1793">
        <v>3</v>
      </c>
      <c r="MP93" s="2238" t="s">
        <v>787</v>
      </c>
      <c r="MQ93" s="2239"/>
      <c r="MR93" s="2240" t="s">
        <v>955</v>
      </c>
      <c r="MS93" s="2241"/>
      <c r="MT93" s="2241"/>
      <c r="MU93" s="2241"/>
      <c r="MV93" s="2241"/>
      <c r="MW93" s="2241"/>
      <c r="MX93" s="2241"/>
      <c r="MY93" s="2241"/>
      <c r="MZ93" s="2241"/>
      <c r="NA93" s="2227">
        <v>4</v>
      </c>
      <c r="NB93" s="2228"/>
      <c r="NC93" s="2229" t="s">
        <v>809</v>
      </c>
      <c r="ND93" s="2230"/>
      <c r="NE93" s="2230"/>
      <c r="NF93" s="2231"/>
      <c r="NG93" s="75"/>
      <c r="NH93" s="75"/>
      <c r="NI93" s="75"/>
      <c r="NJ93" s="75"/>
      <c r="NK93" s="75"/>
      <c r="NL93" s="74"/>
      <c r="NM93" s="74"/>
      <c r="NN93" s="74"/>
      <c r="NO93" s="74"/>
      <c r="NP93" s="1793">
        <v>3</v>
      </c>
      <c r="NQ93" s="2238" t="s">
        <v>787</v>
      </c>
      <c r="NR93" s="2239"/>
      <c r="NS93" s="2240" t="s">
        <v>955</v>
      </c>
      <c r="NT93" s="2241"/>
      <c r="NU93" s="2241"/>
      <c r="NV93" s="2241"/>
      <c r="NW93" s="2241"/>
      <c r="NX93" s="2241"/>
      <c r="NY93" s="2241"/>
      <c r="NZ93" s="2241"/>
      <c r="OA93" s="2241"/>
      <c r="OB93" s="2227">
        <v>4</v>
      </c>
      <c r="OC93" s="2228"/>
      <c r="OD93" s="2229" t="s">
        <v>809</v>
      </c>
      <c r="OE93" s="2230"/>
      <c r="OF93" s="2230"/>
      <c r="OG93" s="2231"/>
      <c r="OH93" s="1607"/>
      <c r="OI93" s="2115"/>
      <c r="OJ93" s="2116"/>
      <c r="OK93" s="2116"/>
      <c r="OL93" s="2116"/>
      <c r="OM93" s="2116"/>
      <c r="ON93" s="2116"/>
      <c r="OO93" s="2116"/>
      <c r="OP93" s="2116"/>
      <c r="OQ93" s="2116"/>
      <c r="OR93" s="2116"/>
      <c r="OS93" s="2116"/>
      <c r="OT93" s="2116"/>
      <c r="OU93" s="2117"/>
      <c r="OV93" s="1607"/>
      <c r="OW93" s="330"/>
      <c r="OX93" s="1633"/>
      <c r="OY93" s="1633"/>
      <c r="OZ93" s="1633"/>
      <c r="PA93" s="1633"/>
      <c r="PB93" s="1633"/>
      <c r="PC93" s="1633"/>
      <c r="PD93" s="1633"/>
      <c r="PE93" s="1633"/>
      <c r="PF93" s="1633"/>
      <c r="PG93" s="1633"/>
      <c r="PH93" s="1633"/>
      <c r="PI93" s="1633"/>
      <c r="PJ93" s="1633"/>
    </row>
    <row r="94" spans="1:665" s="1730" customFormat="1" ht="27.6" customHeight="1" thickBot="1">
      <c r="A94" s="2471"/>
      <c r="B94" s="2471"/>
      <c r="C94" s="2472"/>
      <c r="D94" s="1678"/>
      <c r="E94" s="1697" t="s">
        <v>873</v>
      </c>
      <c r="AB94" s="75"/>
      <c r="AF94" s="1608">
        <v>432</v>
      </c>
      <c r="AG94" s="1608">
        <v>100</v>
      </c>
      <c r="AH94" s="1608">
        <v>100</v>
      </c>
      <c r="AR94" s="74"/>
      <c r="AS94" s="74"/>
      <c r="AT94" s="74"/>
      <c r="AU94" s="74"/>
      <c r="BG94" s="1608">
        <v>432</v>
      </c>
      <c r="BH94" s="1608">
        <v>100</v>
      </c>
      <c r="BI94" s="1608">
        <v>100</v>
      </c>
      <c r="BR94" s="74"/>
      <c r="BS94" s="74"/>
      <c r="BT94" s="74"/>
      <c r="BU94" s="74"/>
      <c r="CG94" s="1608">
        <v>432</v>
      </c>
      <c r="CH94" s="1608">
        <v>100</v>
      </c>
      <c r="CI94" s="1608">
        <v>100</v>
      </c>
      <c r="CS94" s="74"/>
      <c r="CT94" s="74"/>
      <c r="CU94" s="74"/>
      <c r="CV94" s="74"/>
      <c r="DH94" s="1608">
        <v>432</v>
      </c>
      <c r="DI94" s="1608">
        <v>100</v>
      </c>
      <c r="DJ94" s="1608">
        <v>100</v>
      </c>
      <c r="EN94" s="1608">
        <v>220</v>
      </c>
      <c r="EO94" s="1608">
        <v>220</v>
      </c>
      <c r="EP94" s="1608">
        <v>220</v>
      </c>
      <c r="GV94" s="1608">
        <v>250</v>
      </c>
      <c r="GW94" s="1608">
        <v>250</v>
      </c>
      <c r="GX94" s="1608">
        <v>250</v>
      </c>
      <c r="GY94" s="1608">
        <v>250</v>
      </c>
      <c r="GZ94" s="1608">
        <v>250</v>
      </c>
      <c r="HA94" s="1608">
        <v>250</v>
      </c>
      <c r="HB94" s="1608">
        <v>250</v>
      </c>
      <c r="HC94" s="1608">
        <v>250</v>
      </c>
      <c r="HD94" s="1608">
        <v>250</v>
      </c>
      <c r="HE94" s="1608">
        <v>250</v>
      </c>
      <c r="HF94" s="1608">
        <v>250</v>
      </c>
      <c r="HG94" s="1608">
        <v>250</v>
      </c>
      <c r="HJ94" s="1608">
        <v>250</v>
      </c>
      <c r="HK94" s="1608">
        <v>250</v>
      </c>
      <c r="HL94" s="1608">
        <v>250</v>
      </c>
      <c r="HM94" s="1608">
        <v>250</v>
      </c>
      <c r="HN94" s="1608">
        <v>250</v>
      </c>
      <c r="HO94" s="1608">
        <v>250</v>
      </c>
      <c r="HP94" s="1608">
        <v>250</v>
      </c>
      <c r="HQ94" s="1608">
        <v>250</v>
      </c>
      <c r="HR94" s="1608">
        <v>250</v>
      </c>
      <c r="HS94" s="1608">
        <v>250</v>
      </c>
      <c r="HT94" s="1608">
        <v>250</v>
      </c>
      <c r="HU94" s="1608">
        <v>250</v>
      </c>
      <c r="KJ94" s="75"/>
      <c r="KN94" s="1608">
        <v>432</v>
      </c>
      <c r="KO94" s="1608">
        <v>100</v>
      </c>
      <c r="KP94" s="1608">
        <v>100</v>
      </c>
      <c r="KZ94" s="74"/>
      <c r="LA94" s="74"/>
      <c r="LB94" s="74"/>
      <c r="LC94" s="74"/>
      <c r="LO94" s="1608">
        <v>432</v>
      </c>
      <c r="LP94" s="1608">
        <v>100</v>
      </c>
      <c r="LQ94" s="1608">
        <v>100</v>
      </c>
      <c r="LZ94" s="74"/>
      <c r="MA94" s="74"/>
      <c r="MB94" s="74"/>
      <c r="MC94" s="74"/>
      <c r="MO94" s="1608">
        <v>432</v>
      </c>
      <c r="MP94" s="1608">
        <v>100</v>
      </c>
      <c r="MQ94" s="1608">
        <v>100</v>
      </c>
      <c r="NA94" s="74"/>
      <c r="NB94" s="74"/>
      <c r="NC94" s="74"/>
      <c r="ND94" s="74"/>
      <c r="NP94" s="1608">
        <v>432</v>
      </c>
      <c r="NQ94" s="1608">
        <v>100</v>
      </c>
      <c r="NR94" s="1608">
        <v>100</v>
      </c>
      <c r="OV94" s="1608">
        <v>220</v>
      </c>
      <c r="OW94" s="1608">
        <v>220</v>
      </c>
      <c r="OX94" s="1608">
        <v>220</v>
      </c>
    </row>
    <row r="95" spans="1:665" s="1648" customFormat="1" ht="27.6" customHeight="1" thickBot="1">
      <c r="A95" s="2469"/>
      <c r="B95" s="2469"/>
      <c r="C95" s="2470"/>
      <c r="D95" s="2439" t="s">
        <v>202</v>
      </c>
      <c r="E95" s="1702"/>
      <c r="U95" s="75"/>
      <c r="V95" s="1607"/>
      <c r="W95" s="1607"/>
      <c r="X95" s="1607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T95" s="2216">
        <v>133</v>
      </c>
      <c r="AU95" s="2217"/>
      <c r="AV95" s="2218"/>
      <c r="AW95" s="2242" t="s">
        <v>956</v>
      </c>
      <c r="AX95" s="2243"/>
      <c r="AY95" s="2243"/>
      <c r="AZ95" s="2243"/>
      <c r="BA95" s="2243"/>
      <c r="BB95" s="2243"/>
      <c r="BC95" s="2243"/>
      <c r="BD95" s="2243"/>
      <c r="BE95" s="2244"/>
      <c r="BF95" s="1607"/>
      <c r="BG95" s="1607"/>
      <c r="BH95" s="1607"/>
      <c r="BI95" s="1607"/>
      <c r="BJ95" s="1607"/>
      <c r="BK95" s="1607"/>
      <c r="BL95" s="1607"/>
      <c r="BM95" s="1607"/>
      <c r="BN95" s="1607"/>
      <c r="BO95" s="1607"/>
      <c r="BP95" s="1607"/>
      <c r="BQ95" s="74"/>
      <c r="BR95" s="74"/>
      <c r="BS95" s="74"/>
      <c r="BT95" s="74"/>
      <c r="BU95" s="2216">
        <v>135</v>
      </c>
      <c r="BV95" s="2217"/>
      <c r="BW95" s="2218"/>
      <c r="BX95" s="2242" t="s">
        <v>956</v>
      </c>
      <c r="BY95" s="2243"/>
      <c r="BZ95" s="2243"/>
      <c r="CA95" s="2243"/>
      <c r="CB95" s="2243"/>
      <c r="CC95" s="2243"/>
      <c r="CD95" s="2243"/>
      <c r="CE95" s="2243"/>
      <c r="CF95" s="2244"/>
      <c r="CG95" s="1607"/>
      <c r="CH95" s="1607"/>
      <c r="CI95" s="1607"/>
      <c r="CJ95" s="1607"/>
      <c r="CK95" s="1607"/>
      <c r="CL95" s="1607"/>
      <c r="CM95" s="1607"/>
      <c r="CN95" s="1792"/>
      <c r="CO95" s="1792"/>
      <c r="CP95" s="1792"/>
      <c r="CQ95" s="1792"/>
      <c r="CR95" s="1792"/>
      <c r="CS95" s="1792"/>
      <c r="CT95" s="1792"/>
      <c r="CU95" s="2216">
        <v>137</v>
      </c>
      <c r="CV95" s="2217"/>
      <c r="CW95" s="2218"/>
      <c r="CX95" s="2242" t="s">
        <v>956</v>
      </c>
      <c r="CY95" s="2243"/>
      <c r="CZ95" s="2243"/>
      <c r="DA95" s="2243"/>
      <c r="DB95" s="2243"/>
      <c r="DC95" s="2243"/>
      <c r="DD95" s="2243"/>
      <c r="DE95" s="2243"/>
      <c r="DF95" s="2244"/>
      <c r="DG95" s="1607"/>
      <c r="DH95" s="1607"/>
      <c r="DI95" s="1607"/>
      <c r="DJ95" s="1607"/>
      <c r="DK95" s="1607"/>
      <c r="DL95" s="1607"/>
      <c r="DM95" s="1607"/>
      <c r="DN95" s="1607"/>
      <c r="DO95" s="1607"/>
      <c r="DP95" s="1607"/>
      <c r="DQ95" s="1607"/>
      <c r="DR95" s="74"/>
      <c r="DS95" s="74"/>
      <c r="DT95" s="74"/>
      <c r="DU95" s="74"/>
      <c r="DV95" s="2216">
        <v>139</v>
      </c>
      <c r="DW95" s="2217"/>
      <c r="DX95" s="2218"/>
      <c r="DY95" s="2242" t="s">
        <v>956</v>
      </c>
      <c r="DZ95" s="2243"/>
      <c r="EA95" s="2243"/>
      <c r="EB95" s="2243"/>
      <c r="EC95" s="2243"/>
      <c r="ED95" s="2243"/>
      <c r="EE95" s="2243"/>
      <c r="EF95" s="2243"/>
      <c r="EG95" s="2244"/>
      <c r="EH95" s="1607"/>
      <c r="EI95" s="1607"/>
      <c r="EJ95" s="1607"/>
      <c r="EK95" s="1607"/>
      <c r="EL95" s="1607"/>
      <c r="EM95" s="1607"/>
      <c r="EN95" s="1607"/>
      <c r="EO95" s="75"/>
      <c r="EP95" s="75"/>
      <c r="EQ95" s="75"/>
      <c r="ER95" s="75"/>
      <c r="ES95" s="75"/>
      <c r="ET95" s="75"/>
      <c r="EU95" s="1607"/>
      <c r="EV95" s="1607"/>
      <c r="EW95" s="1607"/>
      <c r="EX95" s="1607"/>
      <c r="EY95" s="1607"/>
      <c r="EZ95" s="1607"/>
      <c r="FA95" s="1607"/>
      <c r="FB95" s="1607"/>
      <c r="GM95" s="11"/>
      <c r="GN95" s="11"/>
      <c r="GO95" s="11"/>
      <c r="GP95" s="11"/>
      <c r="GQ95" s="11"/>
      <c r="HO95" s="2511" t="s">
        <v>963</v>
      </c>
      <c r="HP95" s="2512"/>
      <c r="HQ95" s="2512"/>
      <c r="HR95" s="2512"/>
      <c r="HS95" s="2512"/>
      <c r="HT95" s="2512"/>
      <c r="HU95" s="2512"/>
      <c r="HV95" s="2512"/>
      <c r="HW95" s="2512"/>
      <c r="HX95" s="2512"/>
      <c r="HY95" s="2512"/>
      <c r="HZ95" s="2513"/>
      <c r="IA95" s="2297" t="s">
        <v>809</v>
      </c>
      <c r="IB95" s="2298"/>
      <c r="IC95" s="2298"/>
      <c r="ID95" s="2298"/>
      <c r="IE95" s="2298"/>
      <c r="IF95" s="2298"/>
      <c r="IG95" s="2298"/>
      <c r="IH95" s="2298"/>
      <c r="II95" s="2298"/>
      <c r="IJ95" s="2299"/>
      <c r="IK95" s="2300" t="s">
        <v>964</v>
      </c>
      <c r="IL95" s="2301"/>
      <c r="IM95" s="2301"/>
      <c r="IN95" s="2302"/>
      <c r="IO95" s="2297" t="s">
        <v>809</v>
      </c>
      <c r="IP95" s="2298"/>
      <c r="IQ95" s="2298"/>
      <c r="IR95" s="2298"/>
      <c r="IS95" s="2298"/>
      <c r="IT95" s="2298"/>
      <c r="IU95" s="2298"/>
      <c r="IV95" s="2298"/>
      <c r="IW95" s="2298"/>
      <c r="IX95" s="2299"/>
      <c r="IY95" s="2300" t="s">
        <v>964</v>
      </c>
      <c r="IZ95" s="2301"/>
      <c r="JA95" s="2301"/>
      <c r="JB95" s="2302"/>
      <c r="JC95" s="2303" t="s">
        <v>965</v>
      </c>
      <c r="JD95" s="2304"/>
      <c r="JE95" s="75"/>
      <c r="JF95" s="75"/>
      <c r="JG95" s="1607"/>
      <c r="KC95" s="75"/>
      <c r="KD95" s="1607"/>
      <c r="KE95" s="1607"/>
      <c r="KF95" s="1607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B95" s="2216">
        <v>141</v>
      </c>
      <c r="LC95" s="2217"/>
      <c r="LD95" s="2218"/>
      <c r="LE95" s="2242" t="s">
        <v>956</v>
      </c>
      <c r="LF95" s="2243"/>
      <c r="LG95" s="2243"/>
      <c r="LH95" s="2243"/>
      <c r="LI95" s="2243"/>
      <c r="LJ95" s="2243"/>
      <c r="LK95" s="2243"/>
      <c r="LL95" s="2243"/>
      <c r="LM95" s="2244"/>
      <c r="LN95" s="1607"/>
      <c r="LO95" s="1607"/>
      <c r="LP95" s="1607"/>
      <c r="LQ95" s="1607"/>
      <c r="LR95" s="1607"/>
      <c r="LS95" s="1607"/>
      <c r="LT95" s="1607"/>
      <c r="LU95" s="1607"/>
      <c r="LV95" s="1607"/>
      <c r="LW95" s="1607"/>
      <c r="LX95" s="1607"/>
      <c r="LY95" s="74"/>
      <c r="LZ95" s="74"/>
      <c r="MA95" s="74"/>
      <c r="MB95" s="74"/>
      <c r="MC95" s="2216">
        <v>143</v>
      </c>
      <c r="MD95" s="2217"/>
      <c r="ME95" s="2218"/>
      <c r="MF95" s="2242" t="s">
        <v>956</v>
      </c>
      <c r="MG95" s="2243"/>
      <c r="MH95" s="2243"/>
      <c r="MI95" s="2243"/>
      <c r="MJ95" s="2243"/>
      <c r="MK95" s="2243"/>
      <c r="ML95" s="2243"/>
      <c r="MM95" s="2243"/>
      <c r="MN95" s="2244"/>
      <c r="MO95" s="1607"/>
      <c r="MP95" s="1607"/>
      <c r="MQ95" s="1607"/>
      <c r="MR95" s="1607"/>
      <c r="MS95" s="1607"/>
      <c r="MT95" s="1607"/>
      <c r="MU95" s="1607"/>
      <c r="MV95" s="1792"/>
      <c r="MW95" s="1792"/>
      <c r="MX95" s="1792"/>
      <c r="MY95" s="1792"/>
      <c r="MZ95" s="1792"/>
      <c r="NA95" s="1792"/>
      <c r="NB95" s="1792"/>
      <c r="NC95" s="2216">
        <v>145</v>
      </c>
      <c r="ND95" s="2217"/>
      <c r="NE95" s="2218"/>
      <c r="NF95" s="2242" t="s">
        <v>956</v>
      </c>
      <c r="NG95" s="2243"/>
      <c r="NH95" s="2243"/>
      <c r="NI95" s="2243"/>
      <c r="NJ95" s="2243"/>
      <c r="NK95" s="2243"/>
      <c r="NL95" s="2243"/>
      <c r="NM95" s="2243"/>
      <c r="NN95" s="2244"/>
      <c r="NO95" s="1607"/>
      <c r="NP95" s="1607"/>
      <c r="NQ95" s="1607"/>
      <c r="NR95" s="1607"/>
      <c r="NS95" s="1607"/>
      <c r="NT95" s="1607"/>
      <c r="NU95" s="1607"/>
      <c r="NV95" s="1607"/>
      <c r="NW95" s="1607"/>
      <c r="NX95" s="1607"/>
      <c r="NY95" s="1607"/>
      <c r="NZ95" s="74"/>
      <c r="OA95" s="74"/>
      <c r="OB95" s="74"/>
      <c r="OC95" s="74"/>
      <c r="OD95" s="2216">
        <v>147</v>
      </c>
      <c r="OE95" s="2217"/>
      <c r="OF95" s="2218"/>
      <c r="OG95" s="2242" t="s">
        <v>956</v>
      </c>
      <c r="OH95" s="2243"/>
      <c r="OI95" s="2243"/>
      <c r="OJ95" s="2243"/>
      <c r="OK95" s="2243"/>
      <c r="OL95" s="2243"/>
      <c r="OM95" s="2243"/>
      <c r="ON95" s="2243"/>
      <c r="OO95" s="2244"/>
      <c r="OP95" s="1607"/>
      <c r="OQ95" s="1607"/>
      <c r="OR95" s="1607"/>
      <c r="OS95" s="1607"/>
      <c r="OT95" s="1607"/>
      <c r="OU95" s="1607"/>
      <c r="OV95" s="1607"/>
      <c r="OW95" s="75"/>
      <c r="OX95" s="75"/>
      <c r="OY95" s="75"/>
      <c r="OZ95" s="75"/>
      <c r="PA95" s="75"/>
      <c r="PB95" s="75"/>
      <c r="PC95" s="1607"/>
      <c r="PD95" s="1607"/>
      <c r="PE95" s="1607"/>
      <c r="PF95" s="1607"/>
      <c r="PG95" s="1607"/>
      <c r="PH95" s="1607"/>
      <c r="PI95" s="1607"/>
      <c r="PJ95" s="1607"/>
    </row>
    <row r="96" spans="1:665" s="11" customFormat="1" ht="27.6" customHeight="1" thickBot="1">
      <c r="A96" s="2473"/>
      <c r="B96" s="2473"/>
      <c r="C96" s="2474"/>
      <c r="D96" s="2440"/>
      <c r="E96" s="1701"/>
      <c r="U96" s="75"/>
      <c r="V96" s="1607"/>
      <c r="W96" s="1607"/>
      <c r="X96" s="1607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U96" s="2245">
        <v>3</v>
      </c>
      <c r="AV96" s="2246"/>
      <c r="AW96" s="2247" t="s">
        <v>787</v>
      </c>
      <c r="AX96" s="2248"/>
      <c r="AY96" s="2227">
        <v>4</v>
      </c>
      <c r="AZ96" s="2228"/>
      <c r="BA96" s="2229" t="s">
        <v>809</v>
      </c>
      <c r="BB96" s="2230"/>
      <c r="BC96" s="2230"/>
      <c r="BD96" s="2231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62"/>
      <c r="BP96" s="62"/>
      <c r="BQ96" s="74"/>
      <c r="BR96" s="74"/>
      <c r="BS96" s="74"/>
      <c r="BT96" s="74"/>
      <c r="BU96" s="74"/>
      <c r="BV96" s="2245">
        <v>3</v>
      </c>
      <c r="BW96" s="2246"/>
      <c r="BX96" s="2247" t="s">
        <v>787</v>
      </c>
      <c r="BY96" s="2248"/>
      <c r="BZ96" s="2227">
        <v>4</v>
      </c>
      <c r="CA96" s="2228"/>
      <c r="CB96" s="2229" t="s">
        <v>809</v>
      </c>
      <c r="CC96" s="2230"/>
      <c r="CD96" s="2230"/>
      <c r="CE96" s="2231"/>
      <c r="CF96" s="75"/>
      <c r="CG96" s="75"/>
      <c r="CH96" s="75"/>
      <c r="CI96" s="75"/>
      <c r="CJ96" s="75"/>
      <c r="CK96" s="75"/>
      <c r="CL96" s="75"/>
      <c r="CM96" s="75"/>
      <c r="CN96" s="1792"/>
      <c r="CO96" s="1792"/>
      <c r="CP96" s="1792"/>
      <c r="CQ96" s="1792"/>
      <c r="CR96" s="1792"/>
      <c r="CS96" s="1792"/>
      <c r="CT96" s="1792"/>
      <c r="CU96" s="1792"/>
      <c r="CV96" s="2245">
        <v>3</v>
      </c>
      <c r="CW96" s="2246"/>
      <c r="CX96" s="2247" t="s">
        <v>787</v>
      </c>
      <c r="CY96" s="2248"/>
      <c r="CZ96" s="2227">
        <v>4</v>
      </c>
      <c r="DA96" s="2228"/>
      <c r="DB96" s="2229" t="s">
        <v>809</v>
      </c>
      <c r="DC96" s="2230"/>
      <c r="DD96" s="2230"/>
      <c r="DE96" s="2231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62"/>
      <c r="DQ96" s="62"/>
      <c r="DR96" s="74"/>
      <c r="DS96" s="74"/>
      <c r="DT96" s="74"/>
      <c r="DU96" s="74"/>
      <c r="DV96" s="74"/>
      <c r="DW96" s="2245">
        <v>3</v>
      </c>
      <c r="DX96" s="2246"/>
      <c r="DY96" s="2247" t="s">
        <v>787</v>
      </c>
      <c r="DZ96" s="2248"/>
      <c r="EA96" s="2227">
        <v>4</v>
      </c>
      <c r="EB96" s="2228"/>
      <c r="EC96" s="2229" t="s">
        <v>809</v>
      </c>
      <c r="ED96" s="2230"/>
      <c r="EE96" s="2230"/>
      <c r="EF96" s="2231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1607"/>
      <c r="EV96" s="1607"/>
      <c r="EW96" s="1607"/>
      <c r="EX96" s="1607"/>
      <c r="EY96" s="1607"/>
      <c r="EZ96" s="1607"/>
      <c r="FA96" s="1607"/>
      <c r="FB96" s="1607"/>
      <c r="GM96" s="1730"/>
      <c r="GN96" s="1730"/>
      <c r="GO96" s="1730"/>
      <c r="GP96" s="1730"/>
      <c r="GQ96" s="1730"/>
      <c r="HO96" s="2249" t="s">
        <v>973</v>
      </c>
      <c r="HP96" s="2250"/>
      <c r="HQ96" s="2250"/>
      <c r="HR96" s="2250"/>
      <c r="HS96" s="2250"/>
      <c r="HT96" s="2250"/>
      <c r="HU96" s="2250"/>
      <c r="HV96" s="2250"/>
      <c r="HW96" s="2250"/>
      <c r="HX96" s="2250"/>
      <c r="HY96" s="2250"/>
      <c r="HZ96" s="2251"/>
      <c r="IA96" s="2249" t="s">
        <v>971</v>
      </c>
      <c r="IB96" s="2250"/>
      <c r="IC96" s="2250"/>
      <c r="ID96" s="2250"/>
      <c r="IE96" s="2250"/>
      <c r="IF96" s="2250"/>
      <c r="IG96" s="2250"/>
      <c r="IH96" s="2250"/>
      <c r="II96" s="2250"/>
      <c r="IJ96" s="2251"/>
      <c r="IK96" s="2252"/>
      <c r="IL96" s="2253"/>
      <c r="IM96" s="2254" t="s">
        <v>946</v>
      </c>
      <c r="IN96" s="2255"/>
      <c r="IO96" s="2256" t="s">
        <v>44</v>
      </c>
      <c r="IP96" s="2257"/>
      <c r="IQ96" s="2257"/>
      <c r="IR96" s="2257"/>
      <c r="IS96" s="2257"/>
      <c r="IT96" s="2257"/>
      <c r="IU96" s="2257"/>
      <c r="IV96" s="2257"/>
      <c r="IW96" s="2257"/>
      <c r="IX96" s="2257"/>
      <c r="IY96" s="2257"/>
      <c r="IZ96" s="2257"/>
      <c r="JA96" s="2257"/>
      <c r="JB96" s="2257"/>
      <c r="JC96" s="2257"/>
      <c r="JD96" s="2257"/>
      <c r="JE96" s="2257"/>
      <c r="JF96" s="2257"/>
      <c r="JG96" s="2258"/>
      <c r="KC96" s="75"/>
      <c r="KD96" s="1607"/>
      <c r="KE96" s="1607"/>
      <c r="KF96" s="1607"/>
      <c r="KG96" s="75"/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C96" s="2245">
        <v>3</v>
      </c>
      <c r="LD96" s="2246"/>
      <c r="LE96" s="2247" t="s">
        <v>787</v>
      </c>
      <c r="LF96" s="2248"/>
      <c r="LG96" s="2227">
        <v>4</v>
      </c>
      <c r="LH96" s="2228"/>
      <c r="LI96" s="2229" t="s">
        <v>809</v>
      </c>
      <c r="LJ96" s="2230"/>
      <c r="LK96" s="2230"/>
      <c r="LL96" s="2231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62"/>
      <c r="LX96" s="62"/>
      <c r="LY96" s="74"/>
      <c r="LZ96" s="74"/>
      <c r="MA96" s="74"/>
      <c r="MB96" s="74"/>
      <c r="MC96" s="74"/>
      <c r="MD96" s="2245">
        <v>3</v>
      </c>
      <c r="ME96" s="2246"/>
      <c r="MF96" s="2247" t="s">
        <v>787</v>
      </c>
      <c r="MG96" s="2248"/>
      <c r="MH96" s="2227">
        <v>4</v>
      </c>
      <c r="MI96" s="2228"/>
      <c r="MJ96" s="2229" t="s">
        <v>809</v>
      </c>
      <c r="MK96" s="2230"/>
      <c r="ML96" s="2230"/>
      <c r="MM96" s="2231"/>
      <c r="MN96" s="75"/>
      <c r="MO96" s="75"/>
      <c r="MP96" s="75"/>
      <c r="MQ96" s="75"/>
      <c r="MR96" s="75"/>
      <c r="MS96" s="75"/>
      <c r="MT96" s="75"/>
      <c r="MU96" s="75"/>
      <c r="MV96" s="1792"/>
      <c r="MW96" s="1792"/>
      <c r="MX96" s="1792"/>
      <c r="MY96" s="1792"/>
      <c r="MZ96" s="1792"/>
      <c r="NA96" s="1792"/>
      <c r="NB96" s="1792"/>
      <c r="NC96" s="1792"/>
      <c r="ND96" s="2245">
        <v>3</v>
      </c>
      <c r="NE96" s="2246"/>
      <c r="NF96" s="2247" t="s">
        <v>787</v>
      </c>
      <c r="NG96" s="2248"/>
      <c r="NH96" s="2227">
        <v>4</v>
      </c>
      <c r="NI96" s="2228"/>
      <c r="NJ96" s="2229" t="s">
        <v>809</v>
      </c>
      <c r="NK96" s="2230"/>
      <c r="NL96" s="2230"/>
      <c r="NM96" s="2231"/>
      <c r="NN96" s="75"/>
      <c r="NO96" s="75"/>
      <c r="NP96" s="75"/>
      <c r="NQ96" s="75"/>
      <c r="NR96" s="75"/>
      <c r="NS96" s="75"/>
      <c r="NT96" s="75"/>
      <c r="NU96" s="75"/>
      <c r="NV96" s="75"/>
      <c r="NW96" s="75"/>
      <c r="NX96" s="62"/>
      <c r="NY96" s="62"/>
      <c r="NZ96" s="74"/>
      <c r="OA96" s="74"/>
      <c r="OB96" s="74"/>
      <c r="OC96" s="74"/>
      <c r="OD96" s="74"/>
      <c r="OE96" s="2245">
        <v>3</v>
      </c>
      <c r="OF96" s="2246"/>
      <c r="OG96" s="2247" t="s">
        <v>787</v>
      </c>
      <c r="OH96" s="2248"/>
      <c r="OI96" s="2227">
        <v>4</v>
      </c>
      <c r="OJ96" s="2228"/>
      <c r="OK96" s="2229" t="s">
        <v>809</v>
      </c>
      <c r="OL96" s="2230"/>
      <c r="OM96" s="2230"/>
      <c r="ON96" s="2231"/>
      <c r="OO96" s="75"/>
      <c r="OP96" s="75"/>
      <c r="OQ96" s="75"/>
      <c r="OR96" s="75"/>
      <c r="OS96" s="75"/>
      <c r="OT96" s="75"/>
      <c r="OU96" s="75"/>
      <c r="OV96" s="75"/>
      <c r="OW96" s="75"/>
      <c r="OX96" s="75"/>
      <c r="OY96" s="75"/>
      <c r="OZ96" s="75"/>
      <c r="PA96" s="75"/>
      <c r="PB96" s="75"/>
      <c r="PC96" s="1607"/>
      <c r="PD96" s="1607"/>
      <c r="PE96" s="1607"/>
      <c r="PF96" s="1607"/>
      <c r="PG96" s="1607"/>
      <c r="PH96" s="1607"/>
      <c r="PI96" s="1607"/>
      <c r="PJ96" s="1607"/>
    </row>
    <row r="97" spans="1:665" s="1730" customFormat="1" ht="27.6" customHeight="1" thickBot="1">
      <c r="A97" s="1678"/>
      <c r="B97" s="1678"/>
      <c r="C97" s="1678"/>
      <c r="D97" s="1678"/>
      <c r="E97" s="1697" t="s">
        <v>873</v>
      </c>
      <c r="AU97" s="1608">
        <v>432</v>
      </c>
      <c r="AV97" s="1608">
        <v>432</v>
      </c>
      <c r="AW97" s="1608">
        <v>100</v>
      </c>
      <c r="AX97" s="1608">
        <v>100</v>
      </c>
      <c r="AY97" s="1608">
        <v>100</v>
      </c>
      <c r="BH97" s="74"/>
      <c r="BI97" s="74"/>
      <c r="BJ97" s="74"/>
      <c r="BK97" s="74"/>
      <c r="BV97" s="1608">
        <v>432</v>
      </c>
      <c r="BW97" s="1608">
        <v>432</v>
      </c>
      <c r="BX97" s="1608">
        <v>100</v>
      </c>
      <c r="BY97" s="1608">
        <v>100</v>
      </c>
      <c r="BZ97" s="1608">
        <v>100</v>
      </c>
      <c r="CH97" s="74"/>
      <c r="CI97" s="74"/>
      <c r="CJ97" s="74"/>
      <c r="CK97" s="74"/>
      <c r="CV97" s="1608">
        <v>432</v>
      </c>
      <c r="CW97" s="1608">
        <v>432</v>
      </c>
      <c r="CX97" s="1608">
        <v>100</v>
      </c>
      <c r="CY97" s="1608">
        <v>100</v>
      </c>
      <c r="CZ97" s="1608">
        <v>100</v>
      </c>
      <c r="DI97" s="74"/>
      <c r="DJ97" s="74"/>
      <c r="DK97" s="74"/>
      <c r="DL97" s="74"/>
      <c r="DW97" s="1608">
        <v>432</v>
      </c>
      <c r="DX97" s="1608">
        <v>432</v>
      </c>
      <c r="DY97" s="1608">
        <v>100</v>
      </c>
      <c r="DZ97" s="1608">
        <v>100</v>
      </c>
      <c r="EA97" s="1608">
        <v>100</v>
      </c>
      <c r="EJ97" s="74"/>
      <c r="EK97" s="74"/>
      <c r="EL97" s="74"/>
      <c r="EM97" s="74"/>
      <c r="GM97" s="1648"/>
      <c r="GN97" s="1648"/>
      <c r="GO97" s="1648"/>
      <c r="GP97" s="1648"/>
      <c r="GQ97" s="1648"/>
      <c r="HZ97" s="1608">
        <v>250</v>
      </c>
      <c r="IA97" s="1608">
        <v>250</v>
      </c>
      <c r="IB97" s="1608">
        <v>250</v>
      </c>
      <c r="IC97" s="1608">
        <v>250</v>
      </c>
      <c r="ID97" s="1608">
        <v>250</v>
      </c>
      <c r="IE97" s="1608">
        <v>250</v>
      </c>
      <c r="IF97" s="1608">
        <v>250</v>
      </c>
      <c r="IG97" s="1608">
        <v>250</v>
      </c>
      <c r="IH97" s="1608">
        <v>250</v>
      </c>
      <c r="II97" s="1608">
        <v>250</v>
      </c>
      <c r="IL97" s="1608">
        <v>250</v>
      </c>
      <c r="IM97" s="1608">
        <v>250</v>
      </c>
      <c r="IN97" s="1608">
        <v>250</v>
      </c>
      <c r="IO97" s="1608">
        <v>250</v>
      </c>
      <c r="IP97" s="1608">
        <v>250</v>
      </c>
      <c r="IQ97" s="1608">
        <v>250</v>
      </c>
      <c r="IR97" s="1608">
        <v>250</v>
      </c>
      <c r="IS97" s="1608">
        <v>250</v>
      </c>
      <c r="IT97" s="1608">
        <v>250</v>
      </c>
      <c r="IU97" s="1608">
        <v>250</v>
      </c>
      <c r="IV97" s="1608">
        <v>250</v>
      </c>
      <c r="IW97" s="1608">
        <v>250</v>
      </c>
      <c r="LC97" s="1608">
        <v>432</v>
      </c>
      <c r="LD97" s="1608">
        <v>432</v>
      </c>
      <c r="LE97" s="1608">
        <v>100</v>
      </c>
      <c r="LF97" s="1608">
        <v>100</v>
      </c>
      <c r="LG97" s="1608">
        <v>100</v>
      </c>
      <c r="LP97" s="74"/>
      <c r="LQ97" s="74"/>
      <c r="LR97" s="74"/>
      <c r="LS97" s="74"/>
      <c r="MD97" s="1608">
        <v>432</v>
      </c>
      <c r="ME97" s="1608">
        <v>432</v>
      </c>
      <c r="MF97" s="1608">
        <v>100</v>
      </c>
      <c r="MG97" s="1608">
        <v>100</v>
      </c>
      <c r="MH97" s="1608">
        <v>100</v>
      </c>
      <c r="MP97" s="74"/>
      <c r="MQ97" s="74"/>
      <c r="MR97" s="74"/>
      <c r="MS97" s="74"/>
      <c r="ND97" s="1608">
        <v>432</v>
      </c>
      <c r="NE97" s="1608">
        <v>432</v>
      </c>
      <c r="NF97" s="1608">
        <v>100</v>
      </c>
      <c r="NG97" s="1608">
        <v>100</v>
      </c>
      <c r="NH97" s="1608">
        <v>100</v>
      </c>
      <c r="NQ97" s="74"/>
      <c r="NR97" s="74"/>
      <c r="NS97" s="74"/>
      <c r="NT97" s="74"/>
      <c r="OE97" s="1608">
        <v>432</v>
      </c>
      <c r="OF97" s="1608">
        <v>432</v>
      </c>
      <c r="OG97" s="1608">
        <v>100</v>
      </c>
      <c r="OH97" s="1608">
        <v>100</v>
      </c>
      <c r="OI97" s="1608">
        <v>100</v>
      </c>
      <c r="OR97" s="74"/>
      <c r="OS97" s="74"/>
      <c r="OT97" s="74"/>
      <c r="OU97" s="74"/>
    </row>
    <row r="98" spans="1:665" s="1648" customFormat="1" ht="27.6" customHeight="1" thickBot="1">
      <c r="A98" s="66"/>
      <c r="B98" s="1651"/>
      <c r="C98" s="1651"/>
      <c r="D98" s="2439" t="s">
        <v>203</v>
      </c>
      <c r="E98" s="1702"/>
      <c r="F98" s="2213" t="s">
        <v>949</v>
      </c>
      <c r="G98" s="2214"/>
      <c r="H98" s="2214"/>
      <c r="I98" s="2214"/>
      <c r="J98" s="2214"/>
      <c r="K98" s="2214"/>
      <c r="L98" s="2214"/>
      <c r="M98" s="2214"/>
      <c r="N98" s="2214"/>
      <c r="O98" s="2214"/>
      <c r="P98" s="2214"/>
      <c r="Q98" s="2215"/>
      <c r="R98" s="75"/>
      <c r="S98" s="75"/>
      <c r="T98" s="75"/>
      <c r="U98" s="2109" t="s">
        <v>952</v>
      </c>
      <c r="V98" s="2110"/>
      <c r="W98" s="2110"/>
      <c r="X98" s="2110"/>
      <c r="Y98" s="2110"/>
      <c r="Z98" s="2110"/>
      <c r="AA98" s="2110"/>
      <c r="AB98" s="2110"/>
      <c r="AC98" s="2110"/>
      <c r="AD98" s="2110"/>
      <c r="AE98" s="2110"/>
      <c r="AF98" s="2110"/>
      <c r="AG98" s="2110"/>
      <c r="AH98" s="2110"/>
      <c r="AI98" s="2111"/>
      <c r="AJ98" s="75"/>
      <c r="AK98" s="1607"/>
      <c r="AL98" s="1607"/>
      <c r="AM98" s="75"/>
      <c r="AN98" s="75"/>
      <c r="AO98" s="1607"/>
      <c r="AP98" s="1607"/>
      <c r="AQ98" s="1607"/>
      <c r="AR98" s="75"/>
      <c r="AS98" s="75"/>
      <c r="AT98" s="75"/>
      <c r="AU98" s="75"/>
      <c r="AV98" s="2216">
        <v>133</v>
      </c>
      <c r="AW98" s="2217"/>
      <c r="AX98" s="2218"/>
      <c r="AY98" s="2219" t="s">
        <v>954</v>
      </c>
      <c r="AZ98" s="2220"/>
      <c r="BA98" s="2220"/>
      <c r="BB98" s="2220"/>
      <c r="BC98" s="2220"/>
      <c r="BD98" s="2220"/>
      <c r="BE98" s="2220"/>
      <c r="BF98" s="2220"/>
      <c r="BG98" s="2220"/>
      <c r="BH98" s="2220"/>
      <c r="BI98" s="2220"/>
      <c r="BJ98" s="2220"/>
      <c r="BK98" s="2221"/>
      <c r="BL98" s="62"/>
      <c r="BM98" s="62"/>
      <c r="BN98" s="62"/>
      <c r="BO98" s="1607"/>
      <c r="BP98" s="1607"/>
      <c r="BQ98" s="1607"/>
      <c r="BR98" s="75"/>
      <c r="BS98" s="74"/>
      <c r="BT98" s="74"/>
      <c r="BU98" s="74"/>
      <c r="BV98" s="75"/>
      <c r="BW98" s="2216">
        <v>135</v>
      </c>
      <c r="BX98" s="2217"/>
      <c r="BY98" s="2218"/>
      <c r="BZ98" s="2219" t="s">
        <v>954</v>
      </c>
      <c r="CA98" s="2220"/>
      <c r="CB98" s="2220"/>
      <c r="CC98" s="2220"/>
      <c r="CD98" s="2220"/>
      <c r="CE98" s="2220"/>
      <c r="CF98" s="2220"/>
      <c r="CG98" s="2220"/>
      <c r="CH98" s="2220"/>
      <c r="CI98" s="2220"/>
      <c r="CJ98" s="2220"/>
      <c r="CK98" s="2220"/>
      <c r="CL98" s="2221"/>
      <c r="CM98" s="75"/>
      <c r="CN98" s="1607"/>
      <c r="CO98" s="1607"/>
      <c r="CP98" s="1607"/>
      <c r="CQ98" s="1792"/>
      <c r="CR98" s="1792"/>
      <c r="CS98" s="1792"/>
      <c r="CT98" s="1792"/>
      <c r="CU98" s="1792"/>
      <c r="CV98" s="75"/>
      <c r="CW98" s="2216">
        <v>137</v>
      </c>
      <c r="CX98" s="2217"/>
      <c r="CY98" s="2218"/>
      <c r="CZ98" s="2219" t="s">
        <v>954</v>
      </c>
      <c r="DA98" s="2220"/>
      <c r="DB98" s="2220"/>
      <c r="DC98" s="2220"/>
      <c r="DD98" s="2220"/>
      <c r="DE98" s="2220"/>
      <c r="DF98" s="2220"/>
      <c r="DG98" s="2220"/>
      <c r="DH98" s="2220"/>
      <c r="DI98" s="2220"/>
      <c r="DJ98" s="2220"/>
      <c r="DK98" s="2220"/>
      <c r="DL98" s="2221"/>
      <c r="DM98" s="62"/>
      <c r="DN98" s="62"/>
      <c r="DO98" s="62"/>
      <c r="DP98" s="1607"/>
      <c r="DQ98" s="1607"/>
      <c r="DR98" s="1607"/>
      <c r="DS98" s="75"/>
      <c r="DT98" s="74"/>
      <c r="DU98" s="74"/>
      <c r="DV98" s="74"/>
      <c r="DW98" s="75"/>
      <c r="DX98" s="2216">
        <v>139</v>
      </c>
      <c r="DY98" s="2217"/>
      <c r="DZ98" s="2218"/>
      <c r="EA98" s="2219" t="s">
        <v>954</v>
      </c>
      <c r="EB98" s="2220"/>
      <c r="EC98" s="2220"/>
      <c r="ED98" s="2220"/>
      <c r="EE98" s="2220"/>
      <c r="EF98" s="2220"/>
      <c r="EG98" s="2220"/>
      <c r="EH98" s="2220"/>
      <c r="EI98" s="2220"/>
      <c r="EJ98" s="2220"/>
      <c r="EK98" s="2220"/>
      <c r="EL98" s="2220"/>
      <c r="EM98" s="2221"/>
      <c r="EN98" s="62"/>
      <c r="EO98" s="1607"/>
      <c r="EP98" s="1607"/>
      <c r="EQ98" s="2109" t="s">
        <v>948</v>
      </c>
      <c r="ER98" s="2110"/>
      <c r="ES98" s="2110"/>
      <c r="ET98" s="2110"/>
      <c r="EU98" s="2110"/>
      <c r="EV98" s="2110"/>
      <c r="EW98" s="2110"/>
      <c r="EX98" s="2110"/>
      <c r="EY98" s="2110"/>
      <c r="EZ98" s="2110"/>
      <c r="FA98" s="2110"/>
      <c r="FB98" s="2111"/>
      <c r="FC98" s="1607"/>
      <c r="FD98" s="75"/>
      <c r="FE98" s="75"/>
      <c r="FF98" s="2109" t="s">
        <v>952</v>
      </c>
      <c r="FG98" s="2110"/>
      <c r="FH98" s="2110"/>
      <c r="FI98" s="2110"/>
      <c r="FJ98" s="2110"/>
      <c r="FK98" s="2110"/>
      <c r="FL98" s="2110"/>
      <c r="FM98" s="2110"/>
      <c r="FN98" s="2110"/>
      <c r="FO98" s="2110"/>
      <c r="FP98" s="2110"/>
      <c r="FQ98" s="2110"/>
      <c r="FR98" s="2110"/>
      <c r="FS98" s="2110"/>
      <c r="FT98" s="2111"/>
      <c r="FU98" s="75"/>
      <c r="FV98" s="75"/>
      <c r="FW98" s="75"/>
      <c r="FX98" s="2109" t="s">
        <v>949</v>
      </c>
      <c r="FY98" s="2110"/>
      <c r="FZ98" s="2110"/>
      <c r="GA98" s="2110"/>
      <c r="GB98" s="2110"/>
      <c r="GC98" s="2110"/>
      <c r="GD98" s="2110"/>
      <c r="GE98" s="2110"/>
      <c r="GF98" s="2110"/>
      <c r="GG98" s="2110"/>
      <c r="GH98" s="2110"/>
      <c r="GI98" s="2110"/>
      <c r="GJ98" s="2111"/>
      <c r="GK98" s="1607"/>
      <c r="GL98" s="330"/>
      <c r="GM98" s="11"/>
      <c r="GN98" s="11"/>
      <c r="GO98" s="11"/>
      <c r="GP98" s="11"/>
      <c r="GQ98" s="11"/>
      <c r="HV98" s="2109" t="s">
        <v>1079</v>
      </c>
      <c r="HW98" s="2110"/>
      <c r="HX98" s="2110"/>
      <c r="HY98" s="2110"/>
      <c r="HZ98" s="2110"/>
      <c r="IA98" s="2110"/>
      <c r="IB98" s="2110"/>
      <c r="IC98" s="2110"/>
      <c r="ID98" s="2110"/>
      <c r="IE98" s="2110"/>
      <c r="IF98" s="2110"/>
      <c r="IG98" s="2110"/>
      <c r="IH98" s="2111"/>
      <c r="II98" s="1607"/>
      <c r="IJ98" s="330"/>
      <c r="IY98" s="2109" t="s">
        <v>948</v>
      </c>
      <c r="IZ98" s="2110"/>
      <c r="JA98" s="2110"/>
      <c r="JB98" s="2110"/>
      <c r="JC98" s="2110"/>
      <c r="JD98" s="2110"/>
      <c r="JE98" s="2110"/>
      <c r="JF98" s="2110"/>
      <c r="JG98" s="2110"/>
      <c r="JH98" s="2110"/>
      <c r="JI98" s="2110"/>
      <c r="JJ98" s="2111"/>
      <c r="JK98" s="1607"/>
      <c r="JL98" s="75"/>
      <c r="JM98" s="75"/>
      <c r="JN98" s="2109" t="s">
        <v>974</v>
      </c>
      <c r="JO98" s="2110"/>
      <c r="JP98" s="2110"/>
      <c r="JQ98" s="2110"/>
      <c r="JR98" s="2110"/>
      <c r="JS98" s="2110"/>
      <c r="JT98" s="2110"/>
      <c r="JU98" s="2110"/>
      <c r="JV98" s="2110"/>
      <c r="JW98" s="2110"/>
      <c r="JX98" s="2110"/>
      <c r="JY98" s="2111"/>
      <c r="JZ98" s="75"/>
      <c r="KA98" s="75"/>
      <c r="KB98" s="75"/>
      <c r="KC98" s="2109" t="s">
        <v>952</v>
      </c>
      <c r="KD98" s="2110"/>
      <c r="KE98" s="2110"/>
      <c r="KF98" s="2110"/>
      <c r="KG98" s="2110"/>
      <c r="KH98" s="2110"/>
      <c r="KI98" s="2110"/>
      <c r="KJ98" s="2110"/>
      <c r="KK98" s="2110"/>
      <c r="KL98" s="2110"/>
      <c r="KM98" s="2110"/>
      <c r="KN98" s="2110"/>
      <c r="KO98" s="2110"/>
      <c r="KP98" s="2110"/>
      <c r="KQ98" s="2111"/>
      <c r="KR98" s="75"/>
      <c r="KS98" s="1607"/>
      <c r="KT98" s="1607"/>
      <c r="KU98" s="75"/>
      <c r="KV98" s="75"/>
      <c r="KW98" s="1607"/>
      <c r="KX98" s="1607"/>
      <c r="KY98" s="1607"/>
      <c r="KZ98" s="75"/>
      <c r="LA98" s="75"/>
      <c r="LB98" s="75"/>
      <c r="LC98" s="75"/>
      <c r="LD98" s="2216">
        <v>141</v>
      </c>
      <c r="LE98" s="2217"/>
      <c r="LF98" s="2218"/>
      <c r="LG98" s="2219" t="s">
        <v>954</v>
      </c>
      <c r="LH98" s="2220"/>
      <c r="LI98" s="2220"/>
      <c r="LJ98" s="2220"/>
      <c r="LK98" s="2220"/>
      <c r="LL98" s="2220"/>
      <c r="LM98" s="2220"/>
      <c r="LN98" s="2220"/>
      <c r="LO98" s="2220"/>
      <c r="LP98" s="2220"/>
      <c r="LQ98" s="2220"/>
      <c r="LR98" s="2220"/>
      <c r="LS98" s="2221"/>
      <c r="LT98" s="62"/>
      <c r="LU98" s="62"/>
      <c r="LV98" s="62"/>
      <c r="LW98" s="1607"/>
      <c r="LX98" s="1607"/>
      <c r="LY98" s="1607"/>
      <c r="LZ98" s="75"/>
      <c r="MA98" s="74"/>
      <c r="MB98" s="74"/>
      <c r="MC98" s="74"/>
      <c r="MD98" s="75"/>
      <c r="ME98" s="2216">
        <v>143</v>
      </c>
      <c r="MF98" s="2217"/>
      <c r="MG98" s="2218"/>
      <c r="MH98" s="2219" t="s">
        <v>954</v>
      </c>
      <c r="MI98" s="2220"/>
      <c r="MJ98" s="2220"/>
      <c r="MK98" s="2220"/>
      <c r="ML98" s="2220"/>
      <c r="MM98" s="2220"/>
      <c r="MN98" s="2220"/>
      <c r="MO98" s="2220"/>
      <c r="MP98" s="2220"/>
      <c r="MQ98" s="2220"/>
      <c r="MR98" s="2220"/>
      <c r="MS98" s="2220"/>
      <c r="MT98" s="2221"/>
      <c r="MU98" s="75"/>
      <c r="MV98" s="1607"/>
      <c r="MW98" s="1607"/>
      <c r="MX98" s="1607"/>
      <c r="MY98" s="1792"/>
      <c r="MZ98" s="1792"/>
      <c r="NA98" s="1792"/>
      <c r="NB98" s="1792"/>
      <c r="NC98" s="1792"/>
      <c r="ND98" s="75"/>
      <c r="NE98" s="2216">
        <v>145</v>
      </c>
      <c r="NF98" s="2217"/>
      <c r="NG98" s="2218"/>
      <c r="NH98" s="2219" t="s">
        <v>954</v>
      </c>
      <c r="NI98" s="2220"/>
      <c r="NJ98" s="2220"/>
      <c r="NK98" s="2220"/>
      <c r="NL98" s="2220"/>
      <c r="NM98" s="2220"/>
      <c r="NN98" s="2220"/>
      <c r="NO98" s="2220"/>
      <c r="NP98" s="2220"/>
      <c r="NQ98" s="2220"/>
      <c r="NR98" s="2220"/>
      <c r="NS98" s="2220"/>
      <c r="NT98" s="2221"/>
      <c r="NU98" s="62"/>
      <c r="NV98" s="62"/>
      <c r="NW98" s="62"/>
      <c r="NX98" s="1607"/>
      <c r="NY98" s="1607"/>
      <c r="NZ98" s="1607"/>
      <c r="OA98" s="75"/>
      <c r="OB98" s="74"/>
      <c r="OC98" s="74"/>
      <c r="OD98" s="74"/>
      <c r="OE98" s="75"/>
      <c r="OF98" s="2216">
        <v>147</v>
      </c>
      <c r="OG98" s="2217"/>
      <c r="OH98" s="2218"/>
      <c r="OI98" s="2219" t="s">
        <v>954</v>
      </c>
      <c r="OJ98" s="2220"/>
      <c r="OK98" s="2220"/>
      <c r="OL98" s="2220"/>
      <c r="OM98" s="2220"/>
      <c r="ON98" s="2220"/>
      <c r="OO98" s="2220"/>
      <c r="OP98" s="2220"/>
      <c r="OQ98" s="2220"/>
      <c r="OR98" s="2220"/>
      <c r="OS98" s="2220"/>
      <c r="OT98" s="2220"/>
      <c r="OU98" s="2221"/>
      <c r="OV98" s="62"/>
      <c r="OW98" s="1607"/>
      <c r="OX98" s="1607"/>
      <c r="OY98" s="2109" t="s">
        <v>948</v>
      </c>
      <c r="OZ98" s="2110"/>
      <c r="PA98" s="2110"/>
      <c r="PB98" s="2110"/>
      <c r="PC98" s="2110"/>
      <c r="PD98" s="2110"/>
      <c r="PE98" s="2110"/>
      <c r="PF98" s="2110"/>
      <c r="PG98" s="2110"/>
      <c r="PH98" s="2110"/>
      <c r="PI98" s="2110"/>
      <c r="PJ98" s="2111"/>
      <c r="PK98" s="1607"/>
      <c r="PL98" s="75"/>
      <c r="PM98" s="75"/>
      <c r="PR98" s="2109" t="s">
        <v>952</v>
      </c>
      <c r="PS98" s="2110"/>
      <c r="PT98" s="2110"/>
      <c r="PU98" s="2110"/>
      <c r="PV98" s="2110"/>
      <c r="PW98" s="2110"/>
      <c r="PX98" s="2110"/>
      <c r="PY98" s="2110"/>
      <c r="PZ98" s="2110"/>
      <c r="QA98" s="2110"/>
      <c r="QB98" s="2110"/>
      <c r="QC98" s="2110"/>
      <c r="QD98" s="2110"/>
      <c r="QE98" s="2110"/>
      <c r="QF98" s="2111"/>
      <c r="QG98" s="75"/>
      <c r="QH98" s="1607"/>
      <c r="QI98" s="1607"/>
      <c r="QJ98" s="2109" t="s">
        <v>949</v>
      </c>
      <c r="QK98" s="2110"/>
      <c r="QL98" s="2110"/>
      <c r="QM98" s="2110"/>
      <c r="QN98" s="2110"/>
      <c r="QO98" s="2110"/>
      <c r="QP98" s="2110"/>
      <c r="QQ98" s="2110"/>
      <c r="QR98" s="2110"/>
      <c r="QS98" s="2110"/>
      <c r="QT98" s="2110"/>
      <c r="QU98" s="2110"/>
      <c r="QV98" s="2111"/>
      <c r="QW98" s="1607"/>
      <c r="QX98" s="330"/>
      <c r="QY98" s="1633"/>
    </row>
    <row r="99" spans="1:665" s="11" customFormat="1" ht="27.6" customHeight="1" thickBot="1">
      <c r="A99" s="1650"/>
      <c r="B99" s="1652"/>
      <c r="C99" s="1652"/>
      <c r="D99" s="2440"/>
      <c r="E99" s="1701"/>
      <c r="F99" s="2112"/>
      <c r="G99" s="2113"/>
      <c r="H99" s="2113"/>
      <c r="I99" s="2113"/>
      <c r="J99" s="2113"/>
      <c r="K99" s="2113"/>
      <c r="L99" s="2113"/>
      <c r="M99" s="2113"/>
      <c r="N99" s="2113"/>
      <c r="O99" s="2113"/>
      <c r="P99" s="2113"/>
      <c r="Q99" s="2114"/>
      <c r="R99" s="187"/>
      <c r="S99" s="187"/>
      <c r="T99" s="187"/>
      <c r="U99" s="2112"/>
      <c r="V99" s="2113"/>
      <c r="W99" s="2113"/>
      <c r="X99" s="2113"/>
      <c r="Y99" s="2113"/>
      <c r="Z99" s="2113"/>
      <c r="AA99" s="2113"/>
      <c r="AB99" s="2113"/>
      <c r="AC99" s="2113"/>
      <c r="AD99" s="2113"/>
      <c r="AE99" s="2113"/>
      <c r="AF99" s="2113"/>
      <c r="AG99" s="2113"/>
      <c r="AH99" s="2113"/>
      <c r="AI99" s="2114"/>
      <c r="AJ99" s="75"/>
      <c r="AK99" s="1730"/>
      <c r="AL99" s="1730"/>
      <c r="AM99" s="1730"/>
      <c r="AN99" s="1730"/>
      <c r="AO99" s="1730"/>
      <c r="AP99" s="1730"/>
      <c r="AQ99" s="1730"/>
      <c r="AR99" s="1730"/>
      <c r="AS99" s="1730"/>
      <c r="AT99" s="1730"/>
      <c r="AU99" s="1730"/>
      <c r="AV99" s="1730"/>
      <c r="AW99" s="1793">
        <v>3</v>
      </c>
      <c r="AX99" s="2222" t="s">
        <v>787</v>
      </c>
      <c r="AY99" s="2223"/>
      <c r="AZ99" s="2224" t="s">
        <v>955</v>
      </c>
      <c r="BA99" s="2225"/>
      <c r="BB99" s="2225"/>
      <c r="BC99" s="2225"/>
      <c r="BD99" s="2226"/>
      <c r="BE99" s="2227">
        <v>4</v>
      </c>
      <c r="BF99" s="2228"/>
      <c r="BG99" s="2229" t="s">
        <v>809</v>
      </c>
      <c r="BH99" s="2230"/>
      <c r="BI99" s="2230"/>
      <c r="BJ99" s="2231"/>
      <c r="BK99" s="75"/>
      <c r="BL99" s="62"/>
      <c r="BM99" s="62"/>
      <c r="BN99" s="62"/>
      <c r="BO99" s="1607"/>
      <c r="BP99" s="1607"/>
      <c r="BQ99" s="1607"/>
      <c r="BR99" s="75"/>
      <c r="BS99" s="74"/>
      <c r="BT99" s="74"/>
      <c r="BU99" s="74"/>
      <c r="BV99" s="75"/>
      <c r="BW99" s="74"/>
      <c r="BX99" s="1793">
        <v>3</v>
      </c>
      <c r="BY99" s="2222" t="s">
        <v>787</v>
      </c>
      <c r="BZ99" s="2223"/>
      <c r="CA99" s="2224" t="s">
        <v>955</v>
      </c>
      <c r="CB99" s="2225"/>
      <c r="CC99" s="2225"/>
      <c r="CD99" s="2225"/>
      <c r="CE99" s="2226"/>
      <c r="CF99" s="2227">
        <v>4</v>
      </c>
      <c r="CG99" s="2228"/>
      <c r="CH99" s="2229" t="s">
        <v>809</v>
      </c>
      <c r="CI99" s="2230"/>
      <c r="CJ99" s="2230"/>
      <c r="CK99" s="2231"/>
      <c r="CL99" s="75"/>
      <c r="CM99" s="75"/>
      <c r="CN99" s="1607"/>
      <c r="CO99" s="1607"/>
      <c r="CP99" s="1607"/>
      <c r="CQ99" s="1792"/>
      <c r="CR99" s="1792"/>
      <c r="CS99" s="1792"/>
      <c r="CT99" s="1792"/>
      <c r="CU99" s="1792"/>
      <c r="CV99" s="75"/>
      <c r="CW99" s="74"/>
      <c r="CX99" s="1793">
        <v>3</v>
      </c>
      <c r="CY99" s="2222" t="s">
        <v>787</v>
      </c>
      <c r="CZ99" s="2223"/>
      <c r="DA99" s="2224" t="s">
        <v>955</v>
      </c>
      <c r="DB99" s="2225"/>
      <c r="DC99" s="2225"/>
      <c r="DD99" s="2225"/>
      <c r="DE99" s="2226"/>
      <c r="DF99" s="2227">
        <v>4</v>
      </c>
      <c r="DG99" s="2228"/>
      <c r="DH99" s="2229" t="s">
        <v>809</v>
      </c>
      <c r="DI99" s="2230"/>
      <c r="DJ99" s="2230"/>
      <c r="DK99" s="2231"/>
      <c r="DL99" s="75"/>
      <c r="DM99" s="62"/>
      <c r="DN99" s="62"/>
      <c r="DO99" s="62"/>
      <c r="DP99" s="1607"/>
      <c r="DQ99" s="1607"/>
      <c r="DR99" s="1607"/>
      <c r="DS99" s="75"/>
      <c r="DT99" s="74"/>
      <c r="DU99" s="74"/>
      <c r="DV99" s="74"/>
      <c r="DW99" s="75"/>
      <c r="DX99" s="74"/>
      <c r="DY99" s="1793">
        <v>3</v>
      </c>
      <c r="DZ99" s="2222" t="s">
        <v>787</v>
      </c>
      <c r="EA99" s="2223"/>
      <c r="EB99" s="2224" t="s">
        <v>955</v>
      </c>
      <c r="EC99" s="2225"/>
      <c r="ED99" s="2225"/>
      <c r="EE99" s="2225"/>
      <c r="EF99" s="2226"/>
      <c r="EG99" s="2227">
        <v>4</v>
      </c>
      <c r="EH99" s="2228"/>
      <c r="EI99" s="2229" t="s">
        <v>809</v>
      </c>
      <c r="EJ99" s="2230"/>
      <c r="EK99" s="2230"/>
      <c r="EL99" s="2231"/>
      <c r="EM99" s="75"/>
      <c r="EN99" s="62"/>
      <c r="EO99" s="1607"/>
      <c r="EP99" s="1607"/>
      <c r="EQ99" s="2112"/>
      <c r="ER99" s="2113"/>
      <c r="ES99" s="2113"/>
      <c r="ET99" s="2113"/>
      <c r="EU99" s="2113"/>
      <c r="EV99" s="2113"/>
      <c r="EW99" s="2113"/>
      <c r="EX99" s="2113"/>
      <c r="EY99" s="2113"/>
      <c r="EZ99" s="2113"/>
      <c r="FA99" s="2113"/>
      <c r="FB99" s="2114"/>
      <c r="FC99" s="1607"/>
      <c r="FD99" s="75"/>
      <c r="FE99" s="75"/>
      <c r="FF99" s="2112"/>
      <c r="FG99" s="2113"/>
      <c r="FH99" s="2113"/>
      <c r="FI99" s="2113"/>
      <c r="FJ99" s="2113"/>
      <c r="FK99" s="2113"/>
      <c r="FL99" s="2113"/>
      <c r="FM99" s="2113"/>
      <c r="FN99" s="2113"/>
      <c r="FO99" s="2113"/>
      <c r="FP99" s="2113"/>
      <c r="FQ99" s="2113"/>
      <c r="FR99" s="2113"/>
      <c r="FS99" s="2113"/>
      <c r="FT99" s="2114"/>
      <c r="FU99" s="75"/>
      <c r="FV99" s="75"/>
      <c r="FW99" s="75"/>
      <c r="FX99" s="2115"/>
      <c r="FY99" s="2116"/>
      <c r="FZ99" s="2116"/>
      <c r="GA99" s="2116"/>
      <c r="GB99" s="2116"/>
      <c r="GC99" s="2116"/>
      <c r="GD99" s="2116"/>
      <c r="GE99" s="2116"/>
      <c r="GF99" s="2116"/>
      <c r="GG99" s="2116"/>
      <c r="GH99" s="2116"/>
      <c r="GI99" s="2116"/>
      <c r="GJ99" s="2117"/>
      <c r="GK99" s="1607"/>
      <c r="GL99" s="330"/>
      <c r="GM99" s="1730"/>
      <c r="GN99" s="1730"/>
      <c r="GO99" s="1730"/>
      <c r="GP99" s="1730"/>
      <c r="GQ99" s="1730"/>
      <c r="HV99" s="2115"/>
      <c r="HW99" s="2116"/>
      <c r="HX99" s="2116"/>
      <c r="HY99" s="2116"/>
      <c r="HZ99" s="2116"/>
      <c r="IA99" s="2116"/>
      <c r="IB99" s="2116"/>
      <c r="IC99" s="2116"/>
      <c r="ID99" s="2116"/>
      <c r="IE99" s="2116"/>
      <c r="IF99" s="2116"/>
      <c r="IG99" s="2116"/>
      <c r="IH99" s="2117"/>
      <c r="II99" s="1607"/>
      <c r="IJ99" s="330"/>
      <c r="IY99" s="2112"/>
      <c r="IZ99" s="2113"/>
      <c r="JA99" s="2113"/>
      <c r="JB99" s="2113"/>
      <c r="JC99" s="2113"/>
      <c r="JD99" s="2113"/>
      <c r="JE99" s="2113"/>
      <c r="JF99" s="2113"/>
      <c r="JG99" s="2113"/>
      <c r="JH99" s="2113"/>
      <c r="JI99" s="2113"/>
      <c r="JJ99" s="2114"/>
      <c r="JK99" s="1607"/>
      <c r="JL99" s="75"/>
      <c r="JM99" s="75"/>
      <c r="JN99" s="2112"/>
      <c r="JO99" s="2113"/>
      <c r="JP99" s="2113"/>
      <c r="JQ99" s="2113"/>
      <c r="JR99" s="2113"/>
      <c r="JS99" s="2113"/>
      <c r="JT99" s="2113"/>
      <c r="JU99" s="2113"/>
      <c r="JV99" s="2113"/>
      <c r="JW99" s="2113"/>
      <c r="JX99" s="2113"/>
      <c r="JY99" s="2114"/>
      <c r="JZ99" s="187"/>
      <c r="KA99" s="187"/>
      <c r="KB99" s="187"/>
      <c r="KC99" s="2112"/>
      <c r="KD99" s="2113"/>
      <c r="KE99" s="2113"/>
      <c r="KF99" s="2113"/>
      <c r="KG99" s="2113"/>
      <c r="KH99" s="2113"/>
      <c r="KI99" s="2113"/>
      <c r="KJ99" s="2113"/>
      <c r="KK99" s="2113"/>
      <c r="KL99" s="2113"/>
      <c r="KM99" s="2113"/>
      <c r="KN99" s="2113"/>
      <c r="KO99" s="2113"/>
      <c r="KP99" s="2113"/>
      <c r="KQ99" s="2114"/>
      <c r="KR99" s="75"/>
      <c r="KS99" s="1730"/>
      <c r="KT99" s="1730"/>
      <c r="KU99" s="1730"/>
      <c r="KV99" s="1730"/>
      <c r="KW99" s="1730"/>
      <c r="KX99" s="1730"/>
      <c r="KY99" s="1730"/>
      <c r="KZ99" s="1730"/>
      <c r="LA99" s="1730"/>
      <c r="LB99" s="1730"/>
      <c r="LC99" s="1730"/>
      <c r="LD99" s="1730"/>
      <c r="LE99" s="1793">
        <v>3</v>
      </c>
      <c r="LF99" s="2222" t="s">
        <v>787</v>
      </c>
      <c r="LG99" s="2223"/>
      <c r="LH99" s="2224" t="s">
        <v>955</v>
      </c>
      <c r="LI99" s="2225"/>
      <c r="LJ99" s="2225"/>
      <c r="LK99" s="2225"/>
      <c r="LL99" s="2226"/>
      <c r="LM99" s="2227">
        <v>4</v>
      </c>
      <c r="LN99" s="2228"/>
      <c r="LO99" s="2229" t="s">
        <v>809</v>
      </c>
      <c r="LP99" s="2230"/>
      <c r="LQ99" s="2230"/>
      <c r="LR99" s="2231"/>
      <c r="LS99" s="75"/>
      <c r="LT99" s="62"/>
      <c r="LU99" s="62"/>
      <c r="LV99" s="62"/>
      <c r="LW99" s="1607"/>
      <c r="LX99" s="1607"/>
      <c r="LY99" s="1607"/>
      <c r="LZ99" s="75"/>
      <c r="MA99" s="74"/>
      <c r="MB99" s="74"/>
      <c r="MC99" s="74"/>
      <c r="MD99" s="75"/>
      <c r="ME99" s="74"/>
      <c r="MF99" s="1793">
        <v>3</v>
      </c>
      <c r="MG99" s="2222" t="s">
        <v>787</v>
      </c>
      <c r="MH99" s="2223"/>
      <c r="MI99" s="2224" t="s">
        <v>955</v>
      </c>
      <c r="MJ99" s="2225"/>
      <c r="MK99" s="2225"/>
      <c r="ML99" s="2225"/>
      <c r="MM99" s="2226"/>
      <c r="MN99" s="2227">
        <v>4</v>
      </c>
      <c r="MO99" s="2228"/>
      <c r="MP99" s="2229" t="s">
        <v>809</v>
      </c>
      <c r="MQ99" s="2230"/>
      <c r="MR99" s="2230"/>
      <c r="MS99" s="2231"/>
      <c r="MT99" s="75"/>
      <c r="MU99" s="75"/>
      <c r="MV99" s="1607"/>
      <c r="MW99" s="1607"/>
      <c r="MX99" s="1607"/>
      <c r="MY99" s="1792"/>
      <c r="MZ99" s="1792"/>
      <c r="NA99" s="1792"/>
      <c r="NB99" s="1792"/>
      <c r="NC99" s="1792"/>
      <c r="ND99" s="75"/>
      <c r="NE99" s="74"/>
      <c r="NF99" s="1793">
        <v>3</v>
      </c>
      <c r="NG99" s="2222" t="s">
        <v>787</v>
      </c>
      <c r="NH99" s="2223"/>
      <c r="NI99" s="2224" t="s">
        <v>955</v>
      </c>
      <c r="NJ99" s="2225"/>
      <c r="NK99" s="2225"/>
      <c r="NL99" s="2225"/>
      <c r="NM99" s="2226"/>
      <c r="NN99" s="2227">
        <v>4</v>
      </c>
      <c r="NO99" s="2228"/>
      <c r="NP99" s="2229" t="s">
        <v>809</v>
      </c>
      <c r="NQ99" s="2230"/>
      <c r="NR99" s="2230"/>
      <c r="NS99" s="2231"/>
      <c r="NT99" s="75"/>
      <c r="NU99" s="62"/>
      <c r="NV99" s="62"/>
      <c r="NW99" s="62"/>
      <c r="NX99" s="1607"/>
      <c r="NY99" s="1607"/>
      <c r="NZ99" s="1607"/>
      <c r="OA99" s="75"/>
      <c r="OB99" s="74"/>
      <c r="OC99" s="74"/>
      <c r="OD99" s="74"/>
      <c r="OE99" s="75"/>
      <c r="OF99" s="74"/>
      <c r="OG99" s="1793">
        <v>3</v>
      </c>
      <c r="OH99" s="2222" t="s">
        <v>787</v>
      </c>
      <c r="OI99" s="2223"/>
      <c r="OJ99" s="2224" t="s">
        <v>955</v>
      </c>
      <c r="OK99" s="2225"/>
      <c r="OL99" s="2225"/>
      <c r="OM99" s="2225"/>
      <c r="ON99" s="2226"/>
      <c r="OO99" s="2227">
        <v>4</v>
      </c>
      <c r="OP99" s="2228"/>
      <c r="OQ99" s="2229" t="s">
        <v>809</v>
      </c>
      <c r="OR99" s="2230"/>
      <c r="OS99" s="2230"/>
      <c r="OT99" s="2231"/>
      <c r="OU99" s="75"/>
      <c r="OV99" s="62"/>
      <c r="OW99" s="1607"/>
      <c r="OX99" s="1607"/>
      <c r="OY99" s="2112"/>
      <c r="OZ99" s="2113"/>
      <c r="PA99" s="2113"/>
      <c r="PB99" s="2113"/>
      <c r="PC99" s="2113"/>
      <c r="PD99" s="2113"/>
      <c r="PE99" s="2113"/>
      <c r="PF99" s="2113"/>
      <c r="PG99" s="2113"/>
      <c r="PH99" s="2113"/>
      <c r="PI99" s="2113"/>
      <c r="PJ99" s="2114"/>
      <c r="PK99" s="1607"/>
      <c r="PL99" s="75"/>
      <c r="PM99" s="75"/>
      <c r="PR99" s="2112"/>
      <c r="PS99" s="2113"/>
      <c r="PT99" s="2113"/>
      <c r="PU99" s="2113"/>
      <c r="PV99" s="2113"/>
      <c r="PW99" s="2113"/>
      <c r="PX99" s="2113"/>
      <c r="PY99" s="2113"/>
      <c r="PZ99" s="2113"/>
      <c r="QA99" s="2113"/>
      <c r="QB99" s="2113"/>
      <c r="QC99" s="2113"/>
      <c r="QD99" s="2113"/>
      <c r="QE99" s="2113"/>
      <c r="QF99" s="2114"/>
      <c r="QG99" s="75"/>
      <c r="QH99" s="1730"/>
      <c r="QI99" s="1730"/>
      <c r="QJ99" s="2115"/>
      <c r="QK99" s="2116"/>
      <c r="QL99" s="2116"/>
      <c r="QM99" s="2116"/>
      <c r="QN99" s="2116"/>
      <c r="QO99" s="2116"/>
      <c r="QP99" s="2116"/>
      <c r="QQ99" s="2116"/>
      <c r="QR99" s="2116"/>
      <c r="QS99" s="2116"/>
      <c r="QT99" s="2116"/>
      <c r="QU99" s="2116"/>
      <c r="QV99" s="2117"/>
      <c r="QW99" s="1607"/>
      <c r="QX99" s="330"/>
      <c r="QY99" s="1633"/>
    </row>
    <row r="100" spans="1:665" s="1730" customFormat="1" ht="27.6" customHeight="1" thickBot="1">
      <c r="D100" s="1678"/>
      <c r="E100" s="1697" t="s">
        <v>873</v>
      </c>
      <c r="R100" s="1608">
        <v>220</v>
      </c>
      <c r="S100" s="1608">
        <v>220</v>
      </c>
      <c r="T100" s="1608">
        <v>220</v>
      </c>
      <c r="AJ100" s="1608">
        <v>220</v>
      </c>
      <c r="AK100" s="1608">
        <v>220</v>
      </c>
      <c r="AL100" s="1608">
        <v>220</v>
      </c>
      <c r="AW100" s="1608">
        <v>432</v>
      </c>
      <c r="AX100" s="1608">
        <v>100</v>
      </c>
      <c r="AY100" s="1608">
        <v>100</v>
      </c>
      <c r="BI100" s="74"/>
      <c r="BJ100" s="74"/>
      <c r="BK100" s="74"/>
      <c r="BL100" s="74"/>
      <c r="BX100" s="1608">
        <v>432</v>
      </c>
      <c r="BY100" s="1608">
        <v>100</v>
      </c>
      <c r="BZ100" s="1608">
        <v>100</v>
      </c>
      <c r="CI100" s="74"/>
      <c r="CJ100" s="74"/>
      <c r="CK100" s="74"/>
      <c r="CL100" s="74"/>
      <c r="CX100" s="1608">
        <v>432</v>
      </c>
      <c r="CY100" s="1608">
        <v>100</v>
      </c>
      <c r="CZ100" s="1608">
        <v>100</v>
      </c>
      <c r="DJ100" s="74"/>
      <c r="DK100" s="74"/>
      <c r="DL100" s="74"/>
      <c r="DM100" s="74"/>
      <c r="DY100" s="1608">
        <v>432</v>
      </c>
      <c r="DZ100" s="1608">
        <v>100</v>
      </c>
      <c r="EA100" s="1608">
        <v>100</v>
      </c>
      <c r="EK100" s="74"/>
      <c r="EL100" s="74"/>
      <c r="EM100" s="74"/>
      <c r="EN100" s="74"/>
      <c r="FC100" s="1608">
        <v>220</v>
      </c>
      <c r="FD100" s="1608">
        <v>220</v>
      </c>
      <c r="FE100" s="1608">
        <v>220</v>
      </c>
      <c r="FU100" s="1608">
        <v>220</v>
      </c>
      <c r="FV100" s="1608">
        <v>220</v>
      </c>
      <c r="FW100" s="1608">
        <v>220</v>
      </c>
      <c r="GK100" s="1608">
        <v>220</v>
      </c>
      <c r="GL100" s="1608">
        <v>220</v>
      </c>
      <c r="GM100" s="1608">
        <v>220</v>
      </c>
      <c r="GN100" s="1648"/>
      <c r="GO100" s="1648"/>
      <c r="GP100" s="1648"/>
      <c r="GQ100" s="1648"/>
      <c r="II100" s="1608">
        <v>220</v>
      </c>
      <c r="IJ100" s="1608">
        <v>220</v>
      </c>
      <c r="IK100" s="1608">
        <v>220</v>
      </c>
      <c r="JK100" s="1608">
        <v>220</v>
      </c>
      <c r="JL100" s="1608">
        <v>220</v>
      </c>
      <c r="JM100" s="1608">
        <v>220</v>
      </c>
      <c r="JP100" s="1608"/>
      <c r="JQ100" s="1608"/>
      <c r="JR100" s="1608"/>
      <c r="JZ100" s="1608">
        <v>220</v>
      </c>
      <c r="KA100" s="1608">
        <v>220</v>
      </c>
      <c r="KB100" s="1608">
        <v>220</v>
      </c>
      <c r="KR100" s="1608">
        <v>220</v>
      </c>
      <c r="KS100" s="1608">
        <v>220</v>
      </c>
      <c r="KT100" s="1608">
        <v>220</v>
      </c>
      <c r="LE100" s="1608">
        <v>432</v>
      </c>
      <c r="LF100" s="1608">
        <v>100</v>
      </c>
      <c r="LG100" s="1608">
        <v>100</v>
      </c>
      <c r="LQ100" s="74"/>
      <c r="LR100" s="74"/>
      <c r="LS100" s="74"/>
      <c r="LT100" s="74"/>
      <c r="MF100" s="1608">
        <v>432</v>
      </c>
      <c r="MG100" s="1608">
        <v>100</v>
      </c>
      <c r="MH100" s="1608">
        <v>100</v>
      </c>
      <c r="MQ100" s="74"/>
      <c r="MR100" s="74"/>
      <c r="MS100" s="74"/>
      <c r="MT100" s="74"/>
      <c r="NF100" s="1608">
        <v>432</v>
      </c>
      <c r="NG100" s="1608">
        <v>100</v>
      </c>
      <c r="NH100" s="1608">
        <v>100</v>
      </c>
      <c r="NR100" s="74"/>
      <c r="NS100" s="74"/>
      <c r="NT100" s="74"/>
      <c r="NU100" s="74"/>
      <c r="OG100" s="1608">
        <v>432</v>
      </c>
      <c r="OH100" s="1608">
        <v>100</v>
      </c>
      <c r="OI100" s="1608">
        <v>100</v>
      </c>
      <c r="OS100" s="74"/>
      <c r="OT100" s="74"/>
      <c r="OU100" s="74"/>
      <c r="OV100" s="74"/>
      <c r="PK100" s="1608">
        <v>220</v>
      </c>
      <c r="PL100" s="1608">
        <v>220</v>
      </c>
      <c r="PM100" s="1608">
        <v>220</v>
      </c>
      <c r="QG100" s="1608">
        <v>220</v>
      </c>
      <c r="QH100" s="1608">
        <v>220</v>
      </c>
      <c r="QI100" s="1608">
        <v>220</v>
      </c>
      <c r="QW100" s="1608">
        <v>220</v>
      </c>
      <c r="QX100" s="1608">
        <v>220</v>
      </c>
      <c r="QY100" s="1608">
        <v>220</v>
      </c>
    </row>
    <row r="101" spans="1:665" s="1648" customFormat="1" ht="27.6" customHeight="1" thickBot="1">
      <c r="A101" s="2462" t="s">
        <v>44</v>
      </c>
      <c r="B101" s="2462"/>
      <c r="C101" s="2475" t="s">
        <v>204</v>
      </c>
      <c r="D101" s="2476"/>
      <c r="E101" s="1702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2099" t="s">
        <v>957</v>
      </c>
      <c r="AR101" s="2100"/>
      <c r="AS101" s="2211" t="s">
        <v>946</v>
      </c>
      <c r="AT101" s="2212"/>
      <c r="AU101" s="75"/>
      <c r="AV101" s="75"/>
      <c r="AW101" s="75"/>
      <c r="AX101" s="2099" t="s">
        <v>957</v>
      </c>
      <c r="AY101" s="2100"/>
      <c r="AZ101" s="2211" t="s">
        <v>946</v>
      </c>
      <c r="BA101" s="2212"/>
      <c r="BB101" s="1794"/>
      <c r="BC101" s="1794"/>
      <c r="BD101" s="75"/>
      <c r="BE101" s="2099" t="s">
        <v>957</v>
      </c>
      <c r="BF101" s="2100"/>
      <c r="BG101" s="2211" t="s">
        <v>946</v>
      </c>
      <c r="BH101" s="2212"/>
      <c r="BI101" s="75"/>
      <c r="BJ101" s="1607"/>
      <c r="BK101" s="2099" t="s">
        <v>957</v>
      </c>
      <c r="BL101" s="2100"/>
      <c r="BM101" s="2211" t="s">
        <v>946</v>
      </c>
      <c r="BN101" s="2212"/>
      <c r="BO101" s="1607"/>
      <c r="BP101" s="1607"/>
      <c r="BQ101" s="1607"/>
      <c r="BR101" s="2099" t="s">
        <v>957</v>
      </c>
      <c r="BS101" s="2100"/>
      <c r="BT101" s="2211" t="s">
        <v>946</v>
      </c>
      <c r="BU101" s="2212"/>
      <c r="BV101" s="75"/>
      <c r="BW101" s="75"/>
      <c r="BX101" s="75"/>
      <c r="BY101" s="2099" t="s">
        <v>957</v>
      </c>
      <c r="BZ101" s="2100"/>
      <c r="CA101" s="2211" t="s">
        <v>946</v>
      </c>
      <c r="CB101" s="2212"/>
      <c r="CC101" s="75"/>
      <c r="CD101" s="62"/>
      <c r="CE101" s="62"/>
      <c r="CF101" s="2099" t="s">
        <v>957</v>
      </c>
      <c r="CG101" s="2100"/>
      <c r="CH101" s="2211" t="s">
        <v>946</v>
      </c>
      <c r="CI101" s="2212"/>
      <c r="CJ101" s="75"/>
      <c r="CK101" s="1607"/>
      <c r="CL101" s="2099" t="s">
        <v>957</v>
      </c>
      <c r="CM101" s="2100"/>
      <c r="CN101" s="2211" t="s">
        <v>946</v>
      </c>
      <c r="CO101" s="2212"/>
      <c r="CP101" s="75"/>
      <c r="CQ101" s="75"/>
      <c r="CR101" s="2099" t="s">
        <v>957</v>
      </c>
      <c r="CS101" s="2100"/>
      <c r="CT101" s="2211" t="s">
        <v>946</v>
      </c>
      <c r="CU101" s="2212"/>
      <c r="CV101" s="75"/>
      <c r="CW101" s="75"/>
      <c r="CX101" s="75"/>
      <c r="CY101" s="2099" t="s">
        <v>957</v>
      </c>
      <c r="CZ101" s="2100"/>
      <c r="DA101" s="2211" t="s">
        <v>946</v>
      </c>
      <c r="DB101" s="2212"/>
      <c r="DC101" s="1794"/>
      <c r="DD101" s="1794"/>
      <c r="DE101" s="75"/>
      <c r="DF101" s="2099" t="s">
        <v>957</v>
      </c>
      <c r="DG101" s="2100"/>
      <c r="DH101" s="2211" t="s">
        <v>946</v>
      </c>
      <c r="DI101" s="2212"/>
      <c r="DJ101" s="75"/>
      <c r="DK101" s="1607"/>
      <c r="DL101" s="2099" t="s">
        <v>957</v>
      </c>
      <c r="DM101" s="2100"/>
      <c r="DN101" s="2211" t="s">
        <v>946</v>
      </c>
      <c r="DO101" s="2212"/>
      <c r="DP101" s="1607"/>
      <c r="DQ101" s="1607"/>
      <c r="DR101" s="1607"/>
      <c r="DS101" s="2099" t="s">
        <v>957</v>
      </c>
      <c r="DT101" s="2100"/>
      <c r="DU101" s="2211" t="s">
        <v>946</v>
      </c>
      <c r="DV101" s="2212"/>
      <c r="DW101" s="75"/>
      <c r="DX101" s="75"/>
      <c r="DY101" s="75"/>
      <c r="DZ101" s="2099" t="s">
        <v>957</v>
      </c>
      <c r="EA101" s="2100"/>
      <c r="EB101" s="2211" t="s">
        <v>946</v>
      </c>
      <c r="EC101" s="2212"/>
      <c r="ED101" s="75"/>
      <c r="EE101" s="62"/>
      <c r="EF101" s="62"/>
      <c r="EG101" s="2099" t="s">
        <v>957</v>
      </c>
      <c r="EH101" s="2100"/>
      <c r="EI101" s="2211" t="s">
        <v>946</v>
      </c>
      <c r="EJ101" s="2212"/>
      <c r="EK101" s="75"/>
      <c r="EL101" s="75"/>
      <c r="EM101" s="2099" t="s">
        <v>957</v>
      </c>
      <c r="EN101" s="2100"/>
      <c r="EO101" s="2211" t="s">
        <v>946</v>
      </c>
      <c r="EP101" s="2212"/>
      <c r="EQ101" s="75"/>
      <c r="ER101" s="75"/>
      <c r="ES101" s="75"/>
      <c r="ET101" s="75"/>
      <c r="EU101" s="75"/>
      <c r="EV101" s="75"/>
      <c r="GM101" s="187"/>
      <c r="GN101" s="187"/>
      <c r="GO101" s="187"/>
      <c r="GP101" s="187"/>
      <c r="GQ101" s="187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2099" t="s">
        <v>957</v>
      </c>
      <c r="KZ101" s="2100"/>
      <c r="LA101" s="2211" t="s">
        <v>946</v>
      </c>
      <c r="LB101" s="2212"/>
      <c r="LC101" s="75"/>
      <c r="LD101" s="75"/>
      <c r="LE101" s="75"/>
      <c r="LF101" s="2099" t="s">
        <v>957</v>
      </c>
      <c r="LG101" s="2100"/>
      <c r="LH101" s="2211" t="s">
        <v>946</v>
      </c>
      <c r="LI101" s="2212"/>
      <c r="LJ101" s="1794"/>
      <c r="LK101" s="1794"/>
      <c r="LL101" s="75"/>
      <c r="LM101" s="2099" t="s">
        <v>957</v>
      </c>
      <c r="LN101" s="2100"/>
      <c r="LO101" s="2211" t="s">
        <v>946</v>
      </c>
      <c r="LP101" s="2212"/>
      <c r="LQ101" s="75"/>
      <c r="LR101" s="1607"/>
      <c r="LS101" s="2099" t="s">
        <v>957</v>
      </c>
      <c r="LT101" s="2100"/>
      <c r="LU101" s="2211" t="s">
        <v>946</v>
      </c>
      <c r="LV101" s="2212"/>
      <c r="LW101" s="1607"/>
      <c r="LX101" s="1607"/>
      <c r="LY101" s="1607"/>
      <c r="LZ101" s="2099" t="s">
        <v>957</v>
      </c>
      <c r="MA101" s="2100"/>
      <c r="MB101" s="2211" t="s">
        <v>946</v>
      </c>
      <c r="MC101" s="2212"/>
      <c r="MD101" s="75"/>
      <c r="ME101" s="75"/>
      <c r="MF101" s="75"/>
      <c r="MG101" s="2099" t="s">
        <v>957</v>
      </c>
      <c r="MH101" s="2100"/>
      <c r="MI101" s="2211" t="s">
        <v>946</v>
      </c>
      <c r="MJ101" s="2212"/>
      <c r="MK101" s="75"/>
      <c r="ML101" s="62"/>
      <c r="MM101" s="62"/>
      <c r="MN101" s="2099" t="s">
        <v>957</v>
      </c>
      <c r="MO101" s="2100"/>
      <c r="MP101" s="2211" t="s">
        <v>946</v>
      </c>
      <c r="MQ101" s="2212"/>
      <c r="MR101" s="75"/>
      <c r="MS101" s="1607"/>
      <c r="MT101" s="2099" t="s">
        <v>957</v>
      </c>
      <c r="MU101" s="2100"/>
      <c r="MV101" s="2211" t="s">
        <v>946</v>
      </c>
      <c r="MW101" s="2212"/>
      <c r="MX101" s="75"/>
      <c r="MY101" s="75"/>
      <c r="MZ101" s="2099" t="s">
        <v>957</v>
      </c>
      <c r="NA101" s="2100"/>
      <c r="NB101" s="2211" t="s">
        <v>946</v>
      </c>
      <c r="NC101" s="2212"/>
      <c r="ND101" s="75"/>
      <c r="NE101" s="75"/>
      <c r="NF101" s="75"/>
      <c r="NG101" s="2099" t="s">
        <v>957</v>
      </c>
      <c r="NH101" s="2100"/>
      <c r="NI101" s="2211" t="s">
        <v>946</v>
      </c>
      <c r="NJ101" s="2212"/>
      <c r="NK101" s="1794"/>
      <c r="NL101" s="1794"/>
      <c r="NM101" s="75"/>
      <c r="NN101" s="2099" t="s">
        <v>957</v>
      </c>
      <c r="NO101" s="2100"/>
      <c r="NP101" s="2211" t="s">
        <v>946</v>
      </c>
      <c r="NQ101" s="2212"/>
      <c r="NR101" s="75"/>
      <c r="NS101" s="1607"/>
      <c r="NT101" s="2099" t="s">
        <v>957</v>
      </c>
      <c r="NU101" s="2100"/>
      <c r="NV101" s="2211" t="s">
        <v>946</v>
      </c>
      <c r="NW101" s="2212"/>
      <c r="NX101" s="1607"/>
      <c r="NY101" s="1607"/>
      <c r="NZ101" s="1607"/>
      <c r="OA101" s="2099" t="s">
        <v>957</v>
      </c>
      <c r="OB101" s="2100"/>
      <c r="OC101" s="2211" t="s">
        <v>946</v>
      </c>
      <c r="OD101" s="2212"/>
      <c r="OE101" s="75"/>
      <c r="OF101" s="75"/>
      <c r="OG101" s="75"/>
      <c r="OH101" s="2099" t="s">
        <v>957</v>
      </c>
      <c r="OI101" s="2100"/>
      <c r="OJ101" s="2211" t="s">
        <v>946</v>
      </c>
      <c r="OK101" s="2212"/>
      <c r="OL101" s="75"/>
      <c r="OM101" s="62"/>
      <c r="ON101" s="62"/>
      <c r="OO101" s="2099" t="s">
        <v>957</v>
      </c>
      <c r="OP101" s="2100"/>
      <c r="OQ101" s="2211" t="s">
        <v>946</v>
      </c>
      <c r="OR101" s="2212"/>
      <c r="OS101" s="75"/>
      <c r="OT101" s="75"/>
      <c r="OU101" s="2099" t="s">
        <v>957</v>
      </c>
      <c r="OV101" s="2100"/>
      <c r="OW101" s="2101" t="s">
        <v>1084</v>
      </c>
      <c r="OX101" s="2102"/>
      <c r="OY101" s="2102"/>
      <c r="OZ101" s="2102"/>
      <c r="PA101" s="2102"/>
      <c r="PB101" s="2102"/>
      <c r="PC101" s="2103"/>
      <c r="PD101" s="2104" t="s">
        <v>946</v>
      </c>
      <c r="PE101" s="2105"/>
      <c r="PF101" s="75"/>
      <c r="PG101" s="75"/>
      <c r="PH101" s="75"/>
      <c r="PI101" s="75"/>
      <c r="PJ101" s="75"/>
      <c r="PK101" s="75"/>
      <c r="PL101" s="75"/>
      <c r="PM101" s="75"/>
    </row>
    <row r="102" spans="1:665" s="187" customFormat="1" ht="27.6" customHeight="1" thickBot="1">
      <c r="A102" s="2462"/>
      <c r="B102" s="2462"/>
      <c r="C102" s="2477" t="s">
        <v>205</v>
      </c>
      <c r="D102" s="2478"/>
      <c r="E102" s="1694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Q102" s="75"/>
      <c r="AR102" s="2205">
        <v>132</v>
      </c>
      <c r="AS102" s="2206"/>
      <c r="AT102" s="2207" t="s">
        <v>44</v>
      </c>
      <c r="AU102" s="2208"/>
      <c r="AV102" s="2208"/>
      <c r="AW102" s="2208"/>
      <c r="AX102" s="2208"/>
      <c r="AY102" s="2208"/>
      <c r="AZ102" s="2208"/>
      <c r="BA102" s="2207" t="s">
        <v>44</v>
      </c>
      <c r="BB102" s="2208"/>
      <c r="BC102" s="2208"/>
      <c r="BD102" s="2208"/>
      <c r="BE102" s="2210"/>
      <c r="BF102" s="2205">
        <v>133</v>
      </c>
      <c r="BG102" s="2206"/>
      <c r="BH102" s="2207" t="s">
        <v>44</v>
      </c>
      <c r="BI102" s="2208"/>
      <c r="BJ102" s="2208"/>
      <c r="BK102" s="2208"/>
      <c r="BL102" s="2208"/>
      <c r="BM102" s="2209"/>
      <c r="BN102" s="2207" t="s">
        <v>44</v>
      </c>
      <c r="BO102" s="2208"/>
      <c r="BP102" s="2208"/>
      <c r="BQ102" s="2208"/>
      <c r="BR102" s="2210"/>
      <c r="BS102" s="2205">
        <v>134</v>
      </c>
      <c r="BT102" s="2206"/>
      <c r="BU102" s="2207" t="s">
        <v>44</v>
      </c>
      <c r="BV102" s="2208"/>
      <c r="BW102" s="2208"/>
      <c r="BX102" s="2208"/>
      <c r="BY102" s="2208"/>
      <c r="BZ102" s="2208"/>
      <c r="CA102" s="2208"/>
      <c r="CB102" s="2207" t="s">
        <v>44</v>
      </c>
      <c r="CC102" s="2208"/>
      <c r="CD102" s="2208"/>
      <c r="CE102" s="2208"/>
      <c r="CF102" s="2210"/>
      <c r="CG102" s="2205">
        <v>135</v>
      </c>
      <c r="CH102" s="2206"/>
      <c r="CI102" s="2207" t="s">
        <v>44</v>
      </c>
      <c r="CJ102" s="2208"/>
      <c r="CK102" s="2208"/>
      <c r="CL102" s="2208"/>
      <c r="CM102" s="2210"/>
      <c r="CN102" s="2207" t="s">
        <v>44</v>
      </c>
      <c r="CO102" s="2208"/>
      <c r="CP102" s="2208"/>
      <c r="CQ102" s="2208"/>
      <c r="CR102" s="2210"/>
      <c r="CS102" s="2205">
        <v>136</v>
      </c>
      <c r="CT102" s="2206"/>
      <c r="CU102" s="2207" t="s">
        <v>44</v>
      </c>
      <c r="CV102" s="2208"/>
      <c r="CW102" s="2208"/>
      <c r="CX102" s="2208"/>
      <c r="CY102" s="2208"/>
      <c r="CZ102" s="2208"/>
      <c r="DA102" s="2208"/>
      <c r="DB102" s="2207" t="s">
        <v>44</v>
      </c>
      <c r="DC102" s="2208"/>
      <c r="DD102" s="2208"/>
      <c r="DE102" s="2208"/>
      <c r="DF102" s="2210"/>
      <c r="DG102" s="2205">
        <v>137</v>
      </c>
      <c r="DH102" s="2206"/>
      <c r="DI102" s="2207" t="s">
        <v>44</v>
      </c>
      <c r="DJ102" s="2208"/>
      <c r="DK102" s="2208"/>
      <c r="DL102" s="2208"/>
      <c r="DM102" s="2208"/>
      <c r="DN102" s="2209"/>
      <c r="DO102" s="2207" t="s">
        <v>44</v>
      </c>
      <c r="DP102" s="2208"/>
      <c r="DQ102" s="2208"/>
      <c r="DR102" s="2208"/>
      <c r="DS102" s="2210"/>
      <c r="DT102" s="2205">
        <v>138</v>
      </c>
      <c r="DU102" s="2206"/>
      <c r="DV102" s="2207" t="s">
        <v>44</v>
      </c>
      <c r="DW102" s="2208"/>
      <c r="DX102" s="2208"/>
      <c r="DY102" s="2208"/>
      <c r="DZ102" s="2208"/>
      <c r="EA102" s="2208"/>
      <c r="EB102" s="2208"/>
      <c r="EC102" s="2207" t="s">
        <v>44</v>
      </c>
      <c r="ED102" s="2208"/>
      <c r="EE102" s="2208"/>
      <c r="EF102" s="2208"/>
      <c r="EG102" s="2210"/>
      <c r="EH102" s="2205">
        <v>139</v>
      </c>
      <c r="EI102" s="2206"/>
      <c r="EJ102" s="2207" t="s">
        <v>44</v>
      </c>
      <c r="EK102" s="2208"/>
      <c r="EL102" s="2208"/>
      <c r="EM102" s="2208"/>
      <c r="EN102" s="2208"/>
      <c r="EO102" s="2209"/>
      <c r="EP102" s="2207" t="s">
        <v>44</v>
      </c>
      <c r="EQ102" s="2208"/>
      <c r="ER102" s="2208"/>
      <c r="ES102" s="2208"/>
      <c r="ET102" s="2210"/>
      <c r="GM102" s="75"/>
      <c r="GN102" s="75"/>
      <c r="GO102" s="75"/>
      <c r="GP102" s="75"/>
      <c r="GQ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Y102" s="75"/>
      <c r="KZ102" s="2205">
        <v>140</v>
      </c>
      <c r="LA102" s="2206"/>
      <c r="LB102" s="2207" t="s">
        <v>44</v>
      </c>
      <c r="LC102" s="2208"/>
      <c r="LD102" s="2208"/>
      <c r="LE102" s="2208"/>
      <c r="LF102" s="2208"/>
      <c r="LG102" s="2208"/>
      <c r="LH102" s="2208"/>
      <c r="LI102" s="2207" t="s">
        <v>44</v>
      </c>
      <c r="LJ102" s="2208"/>
      <c r="LK102" s="2208"/>
      <c r="LL102" s="2208"/>
      <c r="LM102" s="2210"/>
      <c r="LN102" s="2205">
        <v>141</v>
      </c>
      <c r="LO102" s="2206"/>
      <c r="LP102" s="2207" t="s">
        <v>44</v>
      </c>
      <c r="LQ102" s="2208"/>
      <c r="LR102" s="2208"/>
      <c r="LS102" s="2208"/>
      <c r="LT102" s="2208"/>
      <c r="LU102" s="2209"/>
      <c r="LV102" s="2207" t="s">
        <v>44</v>
      </c>
      <c r="LW102" s="2208"/>
      <c r="LX102" s="2208"/>
      <c r="LY102" s="2208"/>
      <c r="LZ102" s="2210"/>
      <c r="MA102" s="2205">
        <v>142</v>
      </c>
      <c r="MB102" s="2206"/>
      <c r="MC102" s="2207" t="s">
        <v>44</v>
      </c>
      <c r="MD102" s="2208"/>
      <c r="ME102" s="2208"/>
      <c r="MF102" s="2208"/>
      <c r="MG102" s="2208"/>
      <c r="MH102" s="2208"/>
      <c r="MI102" s="2208"/>
      <c r="MJ102" s="2207" t="s">
        <v>44</v>
      </c>
      <c r="MK102" s="2208"/>
      <c r="ML102" s="2208"/>
      <c r="MM102" s="2208"/>
      <c r="MN102" s="2210"/>
      <c r="MO102" s="2205">
        <v>143</v>
      </c>
      <c r="MP102" s="2206"/>
      <c r="MQ102" s="2207" t="s">
        <v>44</v>
      </c>
      <c r="MR102" s="2208"/>
      <c r="MS102" s="2208"/>
      <c r="MT102" s="2208"/>
      <c r="MU102" s="2210"/>
      <c r="MV102" s="2207" t="s">
        <v>44</v>
      </c>
      <c r="MW102" s="2208"/>
      <c r="MX102" s="2208"/>
      <c r="MY102" s="2208"/>
      <c r="MZ102" s="2210"/>
      <c r="NA102" s="2205">
        <v>144</v>
      </c>
      <c r="NB102" s="2206"/>
      <c r="NC102" s="2207" t="s">
        <v>44</v>
      </c>
      <c r="ND102" s="2208"/>
      <c r="NE102" s="2208"/>
      <c r="NF102" s="2208"/>
      <c r="NG102" s="2208"/>
      <c r="NH102" s="2208"/>
      <c r="NI102" s="2208"/>
      <c r="NJ102" s="2207" t="s">
        <v>44</v>
      </c>
      <c r="NK102" s="2208"/>
      <c r="NL102" s="2208"/>
      <c r="NM102" s="2208"/>
      <c r="NN102" s="2210"/>
      <c r="NO102" s="2205">
        <v>145</v>
      </c>
      <c r="NP102" s="2206"/>
      <c r="NQ102" s="2207" t="s">
        <v>44</v>
      </c>
      <c r="NR102" s="2208"/>
      <c r="NS102" s="2208"/>
      <c r="NT102" s="2208"/>
      <c r="NU102" s="2208"/>
      <c r="NV102" s="2209"/>
      <c r="NW102" s="2207" t="s">
        <v>44</v>
      </c>
      <c r="NX102" s="2208"/>
      <c r="NY102" s="2208"/>
      <c r="NZ102" s="2208"/>
      <c r="OA102" s="2210"/>
      <c r="OB102" s="2205">
        <v>146</v>
      </c>
      <c r="OC102" s="2206"/>
      <c r="OD102" s="2207" t="s">
        <v>44</v>
      </c>
      <c r="OE102" s="2208"/>
      <c r="OF102" s="2208"/>
      <c r="OG102" s="2208"/>
      <c r="OH102" s="2208"/>
      <c r="OI102" s="2208"/>
      <c r="OJ102" s="2208"/>
      <c r="OK102" s="2207" t="s">
        <v>44</v>
      </c>
      <c r="OL102" s="2208"/>
      <c r="OM102" s="2208"/>
      <c r="ON102" s="2208"/>
      <c r="OO102" s="2210"/>
      <c r="OP102" s="2205">
        <v>147</v>
      </c>
      <c r="OQ102" s="2206"/>
      <c r="OR102" s="2207" t="s">
        <v>44</v>
      </c>
      <c r="OS102" s="2208"/>
      <c r="OT102" s="2208"/>
      <c r="OU102" s="2208"/>
      <c r="OV102" s="2208"/>
      <c r="OW102" s="2209"/>
      <c r="OZ102" s="1842"/>
      <c r="PA102" s="1842"/>
      <c r="PB102" s="1842"/>
      <c r="PC102" s="1842"/>
      <c r="PD102" s="1842"/>
      <c r="PE102" s="2106" t="s">
        <v>44</v>
      </c>
      <c r="PF102" s="2107"/>
      <c r="PG102" s="2107"/>
      <c r="PH102" s="2107"/>
      <c r="PI102" s="2107"/>
      <c r="PJ102" s="2107"/>
      <c r="PK102" s="2107"/>
      <c r="PL102" s="2107"/>
      <c r="PM102" s="2108"/>
    </row>
    <row r="103" spans="1:665" ht="27.6" customHeight="1">
      <c r="A103" s="2452" t="s">
        <v>339</v>
      </c>
      <c r="B103" s="2452"/>
      <c r="C103" s="2452"/>
      <c r="D103" s="1622"/>
      <c r="E103" s="1703"/>
      <c r="F103" s="2356" t="s">
        <v>962</v>
      </c>
      <c r="G103" s="2357"/>
      <c r="H103" s="2357"/>
      <c r="I103" s="2357"/>
      <c r="J103" s="2357"/>
      <c r="K103" s="2357"/>
      <c r="L103" s="2357"/>
      <c r="M103" s="2357"/>
      <c r="N103" s="2357"/>
      <c r="O103" s="2357"/>
      <c r="P103" s="2357"/>
      <c r="Q103" s="2357"/>
      <c r="R103" s="2357"/>
      <c r="S103" s="2357"/>
      <c r="T103" s="2357"/>
      <c r="U103" s="2357"/>
      <c r="V103" s="2357"/>
      <c r="W103" s="2357"/>
      <c r="X103" s="2357"/>
      <c r="Y103" s="2357"/>
      <c r="Z103" s="2357"/>
      <c r="AA103" s="2357"/>
      <c r="AB103" s="2357"/>
      <c r="AC103" s="2357"/>
      <c r="AD103" s="2357"/>
      <c r="AE103" s="2357"/>
      <c r="AF103" s="2357"/>
      <c r="AG103" s="2357"/>
      <c r="AH103" s="2357"/>
      <c r="AI103" s="2357"/>
      <c r="AJ103" s="2357"/>
      <c r="AK103" s="2357"/>
      <c r="AL103" s="2357"/>
      <c r="AM103" s="2357"/>
      <c r="AN103" s="2357"/>
      <c r="AO103" s="2357"/>
      <c r="AP103" s="2357"/>
      <c r="AQ103" s="2357"/>
      <c r="AR103" s="2357"/>
      <c r="AS103" s="2357"/>
      <c r="AT103" s="2357"/>
      <c r="AU103" s="2357"/>
      <c r="AV103" s="2357"/>
      <c r="AW103" s="2357"/>
      <c r="AX103" s="2357"/>
      <c r="AY103" s="2357"/>
      <c r="AZ103" s="2357"/>
      <c r="BA103" s="2357"/>
      <c r="BB103" s="2357"/>
      <c r="BC103" s="2357"/>
      <c r="BD103" s="2357"/>
      <c r="BE103" s="2357"/>
      <c r="BF103" s="2357"/>
      <c r="BG103" s="2357"/>
      <c r="BH103" s="2357"/>
      <c r="BI103" s="2357"/>
      <c r="BJ103" s="2357"/>
      <c r="BK103" s="2357"/>
      <c r="BL103" s="2357"/>
      <c r="BM103" s="2357"/>
      <c r="BN103" s="2357"/>
      <c r="BO103" s="2357"/>
      <c r="BP103" s="2357"/>
      <c r="BQ103" s="2357"/>
      <c r="BR103" s="2357"/>
      <c r="BS103" s="2357"/>
      <c r="BT103" s="2357"/>
      <c r="BU103" s="2357"/>
      <c r="BV103" s="2357"/>
      <c r="BW103" s="2357"/>
      <c r="BX103" s="2357"/>
      <c r="BY103" s="2358"/>
      <c r="BZ103" s="2359" t="s">
        <v>950</v>
      </c>
      <c r="CA103" s="2360"/>
      <c r="CB103" s="2360"/>
      <c r="CC103" s="2360"/>
      <c r="CD103" s="2360"/>
      <c r="CE103" s="2360"/>
      <c r="CF103" s="2360"/>
      <c r="CG103" s="2360"/>
      <c r="CH103" s="2360"/>
      <c r="CI103" s="2360"/>
      <c r="CJ103" s="2360"/>
      <c r="CK103" s="2360"/>
      <c r="CL103" s="2360"/>
      <c r="CM103" s="2360"/>
      <c r="CN103" s="2360"/>
      <c r="CO103" s="2360"/>
      <c r="CP103" s="2360"/>
      <c r="CQ103" s="2360"/>
      <c r="CR103" s="2360"/>
      <c r="CS103" s="2360"/>
      <c r="CT103" s="2360"/>
      <c r="CU103" s="2360"/>
      <c r="CV103" s="2360"/>
      <c r="CW103" s="2360"/>
      <c r="CX103" s="2360"/>
      <c r="CY103" s="2360"/>
      <c r="CZ103" s="2360"/>
      <c r="DA103" s="2360"/>
      <c r="DB103" s="2360"/>
      <c r="DC103" s="2360"/>
      <c r="DD103" s="2360"/>
      <c r="DE103" s="2360"/>
      <c r="DF103" s="2360"/>
      <c r="DG103" s="2360"/>
      <c r="DH103" s="2360"/>
      <c r="DI103" s="2360"/>
      <c r="DJ103" s="2360"/>
      <c r="DK103" s="2360"/>
      <c r="DL103" s="2360"/>
      <c r="DM103" s="2360"/>
      <c r="DN103" s="2360"/>
      <c r="DO103" s="2360"/>
      <c r="DP103" s="2360"/>
      <c r="DQ103" s="2360"/>
      <c r="DR103" s="2360"/>
      <c r="DS103" s="2360"/>
      <c r="DT103" s="2360"/>
      <c r="DU103" s="2360"/>
      <c r="DV103" s="2360"/>
      <c r="DW103" s="2360"/>
      <c r="DX103" s="2360"/>
      <c r="DY103" s="2360"/>
      <c r="DZ103" s="2360"/>
      <c r="EA103" s="2360"/>
      <c r="EB103" s="2360"/>
      <c r="EC103" s="2360"/>
      <c r="ED103" s="2360"/>
      <c r="EE103" s="2360"/>
      <c r="EF103" s="2360"/>
      <c r="EG103" s="2360"/>
      <c r="EH103" s="2360"/>
      <c r="EI103" s="2360"/>
      <c r="EJ103" s="2360"/>
      <c r="EK103" s="2360"/>
      <c r="EL103" s="2360"/>
      <c r="EM103" s="2360"/>
      <c r="EN103" s="2360"/>
      <c r="EO103" s="2360"/>
      <c r="EP103" s="2360"/>
      <c r="EQ103" s="2360"/>
      <c r="ER103" s="2360"/>
      <c r="ES103" s="2360"/>
      <c r="ET103" s="2360"/>
      <c r="EU103" s="2360"/>
      <c r="EV103" s="2360"/>
      <c r="EW103" s="2360"/>
      <c r="EX103" s="2360"/>
      <c r="EY103" s="2360"/>
      <c r="EZ103" s="2360"/>
      <c r="FA103" s="2360"/>
      <c r="FB103" s="2360"/>
      <c r="FC103" s="2360"/>
      <c r="FD103" s="2360"/>
      <c r="FE103" s="2360"/>
      <c r="FF103" s="2360"/>
      <c r="FG103" s="2360"/>
      <c r="FH103" s="2360"/>
      <c r="FI103" s="2360"/>
      <c r="FJ103" s="2360"/>
      <c r="FK103" s="2360"/>
      <c r="FL103" s="2360"/>
      <c r="FM103" s="2360"/>
      <c r="FN103" s="2360"/>
      <c r="FO103" s="2360"/>
      <c r="FP103" s="2360"/>
      <c r="FQ103" s="2360"/>
      <c r="FR103" s="2360"/>
      <c r="FS103" s="2360"/>
      <c r="FT103" s="2360"/>
      <c r="FU103" s="2360"/>
      <c r="FV103" s="2360"/>
      <c r="FW103" s="2360"/>
      <c r="FX103" s="2360"/>
      <c r="FY103" s="2360"/>
      <c r="FZ103" s="2360"/>
      <c r="GA103" s="2360"/>
      <c r="GB103" s="2360"/>
      <c r="GC103" s="2360"/>
      <c r="GD103" s="2360"/>
      <c r="GE103" s="2360"/>
      <c r="GF103" s="2360"/>
      <c r="GG103" s="2360"/>
      <c r="GH103" s="2360"/>
      <c r="GI103" s="2360"/>
      <c r="GJ103" s="2360"/>
      <c r="GK103" s="2360"/>
      <c r="GL103" s="2360"/>
      <c r="GM103" s="2360"/>
      <c r="GN103" s="2360"/>
      <c r="GO103" s="2360"/>
      <c r="GP103" s="2360"/>
      <c r="GQ103" s="2360"/>
      <c r="GR103" s="2360"/>
      <c r="GS103" s="2360"/>
      <c r="GT103" s="2360"/>
      <c r="GU103" s="2360"/>
      <c r="GV103" s="2360"/>
      <c r="GW103" s="2360"/>
      <c r="GX103" s="2360"/>
      <c r="GY103" s="2360"/>
      <c r="GZ103" s="2360"/>
      <c r="HA103" s="2360"/>
      <c r="HB103" s="2360"/>
      <c r="HC103" s="2360"/>
      <c r="HD103" s="2360"/>
      <c r="HE103" s="2360"/>
      <c r="HF103" s="2360"/>
      <c r="HG103" s="2360"/>
      <c r="HH103" s="2360"/>
      <c r="HI103" s="2360"/>
      <c r="HJ103" s="2360"/>
      <c r="HK103" s="2360"/>
      <c r="HL103" s="2360"/>
      <c r="HM103" s="2361"/>
      <c r="HN103" s="2317" t="s">
        <v>951</v>
      </c>
      <c r="HO103" s="2318"/>
      <c r="HP103" s="2318"/>
      <c r="HQ103" s="2318"/>
      <c r="HR103" s="2318"/>
      <c r="HS103" s="2318"/>
      <c r="HT103" s="2318"/>
      <c r="HU103" s="2318"/>
      <c r="HV103" s="2318"/>
      <c r="HW103" s="2318"/>
      <c r="HX103" s="2318"/>
      <c r="HY103" s="2318"/>
      <c r="HZ103" s="2318"/>
      <c r="IA103" s="2318"/>
      <c r="IB103" s="2318"/>
      <c r="IC103" s="2318"/>
      <c r="ID103" s="2318"/>
      <c r="IE103" s="2318"/>
      <c r="IF103" s="2318"/>
      <c r="IG103" s="2318"/>
      <c r="IH103" s="2318"/>
      <c r="II103" s="2318"/>
      <c r="IJ103" s="2318"/>
      <c r="IK103" s="2318"/>
      <c r="IL103" s="2318"/>
      <c r="IM103" s="2318"/>
      <c r="IN103" s="2318"/>
      <c r="IO103" s="2318"/>
      <c r="IP103" s="2318"/>
      <c r="IQ103" s="2318"/>
      <c r="IR103" s="2318"/>
      <c r="IS103" s="2318"/>
      <c r="IT103" s="2318"/>
      <c r="IU103" s="2318"/>
      <c r="IV103" s="2318"/>
      <c r="IW103" s="2318"/>
      <c r="IX103" s="2318"/>
      <c r="IY103" s="2318"/>
      <c r="IZ103" s="2318"/>
      <c r="JA103" s="2318"/>
      <c r="JB103" s="2318"/>
      <c r="JC103" s="2318"/>
      <c r="JD103" s="2318"/>
      <c r="JE103" s="2318"/>
      <c r="JF103" s="2318"/>
      <c r="JG103" s="2318"/>
      <c r="JH103" s="2318"/>
      <c r="JI103" s="2318"/>
      <c r="JJ103" s="2318"/>
      <c r="JK103" s="2318"/>
      <c r="JL103" s="2318"/>
      <c r="JM103" s="2318"/>
      <c r="JN103" s="2318"/>
      <c r="JO103" s="2318"/>
      <c r="JP103" s="2318"/>
      <c r="JQ103" s="2318"/>
      <c r="JR103" s="2318"/>
      <c r="JS103" s="2318"/>
      <c r="JT103" s="2318"/>
      <c r="JU103" s="2318"/>
      <c r="JV103" s="2318"/>
      <c r="JW103" s="2318"/>
      <c r="JX103" s="2318"/>
      <c r="JY103" s="2318"/>
      <c r="JZ103" s="2318"/>
      <c r="KA103" s="2318"/>
      <c r="KB103" s="2318"/>
      <c r="KC103" s="2318"/>
      <c r="KD103" s="2318"/>
      <c r="KE103" s="2318"/>
      <c r="KF103" s="2318"/>
      <c r="KG103" s="2318"/>
      <c r="KH103" s="2318"/>
      <c r="KI103" s="2318"/>
      <c r="KJ103" s="2318"/>
      <c r="KK103" s="2318"/>
      <c r="KL103" s="2318"/>
      <c r="KM103" s="2318"/>
      <c r="KN103" s="2318"/>
      <c r="KO103" s="2318"/>
      <c r="KP103" s="2318"/>
      <c r="KQ103" s="2318"/>
      <c r="KR103" s="2318"/>
      <c r="KS103" s="2318"/>
      <c r="KT103" s="2318"/>
      <c r="KU103" s="2318"/>
      <c r="KV103" s="2318"/>
      <c r="KW103" s="2318"/>
      <c r="KX103" s="2318"/>
      <c r="KY103" s="2318"/>
      <c r="KZ103" s="2318"/>
      <c r="LA103" s="2318"/>
      <c r="LB103" s="2318"/>
      <c r="LC103" s="2318"/>
      <c r="LD103" s="2318"/>
      <c r="LE103" s="2318"/>
      <c r="LF103" s="2318"/>
      <c r="LG103" s="2318"/>
      <c r="LH103" s="2318"/>
      <c r="LI103" s="2318"/>
      <c r="LJ103" s="2318"/>
      <c r="LK103" s="2318"/>
      <c r="LL103" s="2318"/>
      <c r="LM103" s="2318"/>
      <c r="LN103" s="2318"/>
      <c r="LO103" s="2318"/>
      <c r="LP103" s="2318"/>
      <c r="LQ103" s="2318"/>
      <c r="LR103" s="2318"/>
      <c r="LS103" s="2318"/>
      <c r="LT103" s="2318"/>
      <c r="LU103" s="2318"/>
      <c r="LV103" s="2318"/>
      <c r="LW103" s="2318"/>
      <c r="LX103" s="2318"/>
      <c r="LY103" s="2318"/>
      <c r="LZ103" s="2318"/>
      <c r="MA103" s="2318"/>
      <c r="MB103" s="2318"/>
      <c r="MC103" s="2318"/>
      <c r="MD103" s="2318"/>
      <c r="ME103" s="2318"/>
      <c r="MF103" s="2318"/>
      <c r="MG103" s="2318"/>
      <c r="MH103" s="2318"/>
      <c r="MI103" s="2318"/>
      <c r="MJ103" s="2318"/>
      <c r="MK103" s="2318"/>
      <c r="ML103" s="2318"/>
      <c r="MM103" s="2318"/>
      <c r="MN103" s="2318"/>
      <c r="MO103" s="2318"/>
      <c r="MP103" s="2318"/>
      <c r="MQ103" s="2318"/>
      <c r="MR103" s="2318"/>
      <c r="MS103" s="2318"/>
      <c r="MT103" s="2318"/>
      <c r="MU103" s="2318"/>
      <c r="MV103" s="2318"/>
      <c r="MW103" s="2318"/>
      <c r="MX103" s="2318"/>
      <c r="MY103" s="2318"/>
      <c r="MZ103" s="2318"/>
      <c r="NA103" s="2319"/>
    </row>
    <row r="104" spans="1:665" ht="27.6" customHeight="1">
      <c r="A104" s="334"/>
      <c r="B104" s="334"/>
      <c r="C104" s="334"/>
      <c r="D104" s="334"/>
      <c r="E104" s="1694"/>
      <c r="F104" s="1694"/>
      <c r="G104" s="1694"/>
      <c r="H104" s="1694"/>
      <c r="I104" s="1694"/>
      <c r="J104" s="1694"/>
      <c r="K104" s="1694"/>
      <c r="L104" s="1694"/>
      <c r="M104" s="1694"/>
      <c r="N104" s="1694"/>
      <c r="O104" s="1694"/>
      <c r="P104" s="1694"/>
      <c r="Q104" s="1694"/>
      <c r="R104" s="1694"/>
      <c r="S104" s="1694"/>
      <c r="T104" s="1694"/>
      <c r="U104" s="1694"/>
      <c r="V104" s="1694"/>
      <c r="W104" s="1694"/>
      <c r="X104" s="1694"/>
      <c r="Y104" s="1694"/>
      <c r="Z104" s="1694"/>
      <c r="AA104" s="1694"/>
      <c r="AB104" s="1694"/>
      <c r="AC104" s="1694"/>
      <c r="AD104" s="1694"/>
      <c r="AE104" s="1694"/>
      <c r="AF104" s="1694"/>
      <c r="AG104" s="1694"/>
      <c r="AH104" s="1694"/>
      <c r="AI104" s="1694"/>
      <c r="AJ104" s="1694"/>
      <c r="AK104" s="1694"/>
      <c r="AL104" s="1694"/>
      <c r="AM104" s="1694"/>
      <c r="AN104" s="1694"/>
      <c r="AO104" s="1694"/>
    </row>
    <row r="105" spans="1:665" ht="27.6" customHeight="1">
      <c r="A105" s="2463"/>
      <c r="B105" s="2463"/>
      <c r="C105" s="2463"/>
      <c r="D105" s="1623"/>
      <c r="E105" s="1694"/>
      <c r="F105" s="1694"/>
      <c r="G105" s="1694"/>
      <c r="H105" s="1694"/>
      <c r="I105" s="1694"/>
      <c r="J105" s="1694"/>
      <c r="K105" s="1694"/>
      <c r="L105" s="1694"/>
      <c r="M105" s="1694"/>
      <c r="N105" s="1694"/>
      <c r="O105" s="1694"/>
      <c r="P105" s="1694"/>
      <c r="Q105" s="1694"/>
      <c r="R105" s="1694"/>
      <c r="S105" s="1694"/>
      <c r="T105" s="1694"/>
      <c r="U105" s="1694"/>
      <c r="V105" s="1694"/>
      <c r="W105" s="1694"/>
      <c r="X105" s="1694"/>
      <c r="Y105" s="1694"/>
      <c r="Z105" s="1694"/>
      <c r="AA105" s="1694"/>
      <c r="AB105" s="1694"/>
      <c r="AC105" s="1694"/>
      <c r="AD105" s="1694"/>
      <c r="AE105" s="1694"/>
      <c r="AF105" s="1694"/>
      <c r="AG105" s="1694"/>
      <c r="AH105" s="1694"/>
      <c r="AI105" s="1694"/>
      <c r="AJ105" s="1694"/>
      <c r="AK105" s="1694"/>
      <c r="AL105" s="1694"/>
      <c r="AM105" s="1694"/>
      <c r="AN105" s="1694"/>
      <c r="AO105" s="1694"/>
      <c r="AP105" s="1694"/>
      <c r="AQ105" s="1694"/>
      <c r="AR105" s="1694"/>
      <c r="AS105" s="1694"/>
      <c r="AT105" s="1694"/>
      <c r="AU105" s="1694"/>
      <c r="AV105" s="1694"/>
      <c r="AW105" s="1694"/>
      <c r="AX105" s="1694"/>
      <c r="AY105" s="1694"/>
      <c r="AZ105" s="1694"/>
      <c r="BA105" s="1694"/>
      <c r="BB105" s="1694"/>
      <c r="BC105" s="1694"/>
      <c r="BD105" s="1694"/>
      <c r="BE105" s="1694"/>
      <c r="BF105" s="1694"/>
      <c r="BG105" s="1694"/>
      <c r="BH105" s="1694"/>
      <c r="BI105" s="1694"/>
      <c r="BJ105" s="1694"/>
      <c r="BK105" s="1694"/>
      <c r="BL105" s="1694"/>
      <c r="BM105" s="1694"/>
      <c r="BN105" s="1694"/>
      <c r="BO105" s="1694"/>
      <c r="BP105" s="1694"/>
      <c r="BQ105" s="1694"/>
      <c r="BR105" s="1694"/>
      <c r="BS105" s="1694"/>
      <c r="BT105" s="1694"/>
      <c r="BU105" s="1694"/>
      <c r="BV105" s="1694"/>
      <c r="BW105" s="1694"/>
      <c r="BX105" s="1694"/>
      <c r="BY105" s="1694"/>
      <c r="BZ105" s="1694"/>
      <c r="CA105" s="1694"/>
      <c r="CB105" s="1694"/>
      <c r="CC105" s="1694"/>
      <c r="CD105" s="1694"/>
      <c r="CE105" s="1694"/>
      <c r="CF105" s="1694"/>
      <c r="CG105" s="1694"/>
      <c r="CH105" s="1694"/>
      <c r="CI105" s="1694"/>
      <c r="CJ105" s="1694"/>
      <c r="CK105" s="1694"/>
      <c r="CL105" s="1694"/>
      <c r="CM105" s="1694"/>
      <c r="CN105" s="1694"/>
      <c r="CO105" s="1694"/>
      <c r="CP105" s="1694"/>
      <c r="CQ105" s="1694"/>
      <c r="CR105" s="1694"/>
      <c r="CS105" s="1694"/>
      <c r="CT105" s="1694"/>
      <c r="CU105" s="1694"/>
      <c r="CV105" s="1694"/>
      <c r="CW105" s="1694"/>
    </row>
    <row r="106" spans="1:665" s="32" customFormat="1" ht="27.6" customHeight="1">
      <c r="A106" s="2456" t="s">
        <v>340</v>
      </c>
      <c r="B106" s="2457"/>
      <c r="C106" s="2458"/>
      <c r="D106" s="1619">
        <v>44201</v>
      </c>
      <c r="E106" s="1694"/>
      <c r="F106" s="1631">
        <v>0</v>
      </c>
      <c r="G106" s="1640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1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" customHeight="1">
      <c r="A107" s="2459"/>
      <c r="B107" s="2460"/>
      <c r="C107" s="2461"/>
      <c r="D107" s="1609"/>
      <c r="E107" s="1694"/>
      <c r="F107" s="1663"/>
      <c r="G107" s="1644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3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</row>
    <row r="108" spans="1:665" ht="27.6" customHeight="1">
      <c r="A108" s="1604"/>
      <c r="B108" s="1604"/>
      <c r="C108" s="1604"/>
      <c r="D108" s="1609"/>
      <c r="E108" s="1694"/>
      <c r="F108" s="1663"/>
      <c r="G108" s="1644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3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  <c r="EN108" s="68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D108" s="68"/>
      <c r="FE108" s="68"/>
      <c r="FF108" s="68"/>
      <c r="FG108" s="68"/>
      <c r="FH108" s="68"/>
      <c r="FI108" s="68"/>
      <c r="FJ108" s="68"/>
      <c r="FK108" s="68"/>
      <c r="FL108" s="68"/>
      <c r="FM108" s="68"/>
      <c r="FN108" s="68"/>
      <c r="FO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68"/>
      <c r="GC108" s="68"/>
      <c r="GD108" s="68"/>
      <c r="GE108" s="68"/>
      <c r="GF108" s="68"/>
      <c r="GG108" s="68"/>
      <c r="GH108" s="68"/>
      <c r="GI108" s="68"/>
      <c r="GJ108" s="68"/>
      <c r="GK108" s="68"/>
      <c r="GL108" s="68"/>
      <c r="GM108" s="68"/>
      <c r="GN108" s="68"/>
      <c r="GO108" s="68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C108" s="68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</row>
    <row r="109" spans="1:665" s="1674" customFormat="1" ht="27.6" customHeight="1">
      <c r="A109" s="1730"/>
      <c r="B109" s="1730"/>
      <c r="C109" s="1730"/>
      <c r="D109" s="1728"/>
      <c r="E109" s="1697" t="s">
        <v>873</v>
      </c>
      <c r="F109" s="1729"/>
      <c r="G109" s="1729"/>
      <c r="H109" s="1730"/>
      <c r="I109" s="1730"/>
      <c r="J109" s="1730"/>
      <c r="K109" s="1730"/>
      <c r="L109" s="1730"/>
      <c r="M109" s="1730"/>
      <c r="N109" s="1730"/>
      <c r="O109" s="1730"/>
      <c r="P109" s="1730"/>
      <c r="Q109" s="1730"/>
      <c r="R109" s="1729"/>
      <c r="S109" s="1730"/>
      <c r="T109" s="1730"/>
      <c r="U109" s="1730"/>
      <c r="V109" s="1730"/>
      <c r="W109" s="1730"/>
      <c r="X109" s="1730"/>
      <c r="Y109" s="1730"/>
      <c r="Z109" s="1730"/>
      <c r="AA109" s="1730"/>
      <c r="AB109" s="1730"/>
      <c r="AC109" s="1730"/>
      <c r="AD109" s="1730"/>
      <c r="AE109" s="1730"/>
      <c r="AF109" s="1730"/>
      <c r="AG109" s="1730"/>
      <c r="AH109" s="1730"/>
      <c r="AI109" s="1730"/>
      <c r="AJ109" s="1730"/>
      <c r="AK109" s="1730"/>
      <c r="AL109" s="1730"/>
      <c r="AM109" s="1730"/>
      <c r="AN109" s="1730"/>
      <c r="AO109" s="1730"/>
      <c r="AP109" s="1730"/>
      <c r="AQ109" s="1730"/>
      <c r="AR109" s="1730"/>
      <c r="AS109" s="1730"/>
      <c r="AT109" s="1730"/>
      <c r="AU109" s="1730"/>
      <c r="AV109" s="1730"/>
      <c r="AW109" s="1730"/>
      <c r="AX109" s="1730"/>
      <c r="AY109" s="1730"/>
      <c r="AZ109" s="1730"/>
      <c r="BA109" s="1730"/>
      <c r="BB109" s="1730"/>
      <c r="BC109" s="1730"/>
      <c r="BD109" s="1730"/>
      <c r="BE109" s="1730"/>
      <c r="BF109" s="1730"/>
      <c r="BG109" s="1730"/>
      <c r="BH109" s="1730"/>
      <c r="BI109" s="1730"/>
      <c r="BJ109" s="1730"/>
      <c r="BK109" s="1730"/>
      <c r="BL109" s="1730"/>
      <c r="BM109" s="1730"/>
      <c r="BN109" s="1730"/>
      <c r="BO109" s="1730"/>
      <c r="BP109" s="1730"/>
      <c r="BQ109" s="1730"/>
      <c r="BR109" s="1730"/>
      <c r="BS109" s="1730"/>
      <c r="BT109" s="1730"/>
      <c r="BU109" s="1730"/>
      <c r="BV109" s="1730"/>
      <c r="BW109" s="1730"/>
      <c r="BX109" s="1730"/>
      <c r="BY109" s="1730"/>
      <c r="BZ109" s="1730"/>
      <c r="CA109" s="1730"/>
      <c r="CB109" s="1730"/>
      <c r="CC109" s="1730"/>
      <c r="CD109" s="1730"/>
      <c r="CE109" s="1730"/>
      <c r="CF109" s="1730"/>
      <c r="CG109" s="1730"/>
      <c r="CH109" s="1730"/>
      <c r="CI109" s="1730"/>
      <c r="CJ109" s="1730"/>
      <c r="CK109" s="1730"/>
      <c r="CL109" s="1730"/>
      <c r="CM109" s="1730"/>
      <c r="CN109" s="1730"/>
      <c r="CO109" s="1730"/>
      <c r="CP109" s="1730"/>
      <c r="CQ109" s="1730"/>
      <c r="CR109" s="1730"/>
      <c r="CS109" s="1730"/>
      <c r="CT109" s="1730"/>
      <c r="CU109" s="1730"/>
      <c r="CV109" s="1730"/>
      <c r="CW109" s="1730"/>
      <c r="CX109" s="1730"/>
      <c r="CY109" s="1730"/>
      <c r="CZ109" s="1730"/>
      <c r="DA109" s="1730"/>
      <c r="DB109" s="1730"/>
      <c r="DC109" s="1730"/>
      <c r="DD109" s="1730"/>
      <c r="DE109" s="1730"/>
      <c r="DF109" s="1730"/>
      <c r="DG109" s="1730"/>
      <c r="DH109" s="1730"/>
      <c r="DI109" s="1730"/>
      <c r="DJ109" s="1730"/>
      <c r="DK109" s="1730"/>
      <c r="DL109" s="1730"/>
      <c r="DM109" s="1730"/>
      <c r="DN109" s="1730"/>
      <c r="DO109" s="1730"/>
      <c r="DP109" s="1730"/>
      <c r="DQ109" s="1730"/>
      <c r="DR109" s="1730"/>
      <c r="DS109" s="1730"/>
      <c r="DT109" s="1730"/>
      <c r="DU109" s="1730"/>
      <c r="DV109" s="1730"/>
      <c r="DW109" s="1730"/>
      <c r="DX109" s="1730"/>
      <c r="DY109" s="1730"/>
      <c r="DZ109" s="1730"/>
      <c r="EA109" s="1730"/>
      <c r="EB109" s="1730"/>
      <c r="EC109" s="1730"/>
      <c r="ED109" s="1730"/>
      <c r="EE109" s="1730"/>
      <c r="EF109" s="1730"/>
      <c r="EG109" s="1730"/>
      <c r="EH109" s="1730"/>
      <c r="EI109" s="1730"/>
      <c r="EJ109" s="1730"/>
      <c r="EK109" s="1730"/>
      <c r="EL109" s="1730"/>
      <c r="EM109" s="1730"/>
      <c r="EN109" s="1730"/>
      <c r="EO109" s="1730"/>
      <c r="EP109" s="1730"/>
      <c r="EQ109" s="1730"/>
      <c r="ER109" s="1730"/>
      <c r="ES109" s="1730"/>
      <c r="ET109" s="1730"/>
      <c r="EU109" s="1730"/>
      <c r="EV109" s="1730"/>
      <c r="EW109" s="1730"/>
      <c r="EX109" s="1730"/>
      <c r="EY109" s="1730"/>
      <c r="EZ109" s="1730"/>
      <c r="FA109" s="1730"/>
      <c r="FB109" s="1730"/>
      <c r="FC109" s="1730"/>
      <c r="FD109" s="1730"/>
      <c r="FE109" s="1730"/>
      <c r="FF109" s="1730"/>
      <c r="FG109" s="1730"/>
      <c r="FH109" s="1730"/>
      <c r="FI109" s="1730"/>
      <c r="FJ109" s="1730"/>
      <c r="FK109" s="1730"/>
      <c r="FL109" s="1730"/>
      <c r="FM109" s="1730"/>
      <c r="FN109" s="1730"/>
      <c r="FO109" s="1730"/>
      <c r="FP109" s="1730"/>
      <c r="FQ109" s="1730"/>
      <c r="FR109" s="1730"/>
      <c r="FS109" s="1730"/>
      <c r="FT109" s="1730"/>
      <c r="FU109" s="1730"/>
      <c r="FV109" s="1730"/>
      <c r="FW109" s="1730"/>
      <c r="FX109" s="1730"/>
      <c r="FY109" s="1730"/>
      <c r="FZ109" s="1730"/>
      <c r="GA109" s="1730"/>
      <c r="GB109" s="1730"/>
      <c r="GC109" s="1730"/>
      <c r="GD109" s="1730"/>
      <c r="GE109" s="1730"/>
      <c r="GF109" s="1730"/>
      <c r="GG109" s="1730"/>
      <c r="GH109" s="1730"/>
      <c r="GI109" s="1730"/>
      <c r="GJ109" s="1730"/>
      <c r="GK109" s="1730"/>
      <c r="GL109" s="1730"/>
      <c r="GM109" s="1730"/>
      <c r="GN109" s="1730"/>
      <c r="GO109" s="1730"/>
      <c r="GP109" s="1730"/>
      <c r="GQ109" s="1730"/>
      <c r="GR109" s="1730"/>
      <c r="GS109" s="1730"/>
      <c r="GT109" s="1730"/>
      <c r="GU109" s="1730"/>
      <c r="GV109" s="1730"/>
      <c r="GW109" s="1730"/>
      <c r="GX109" s="1730"/>
      <c r="GY109" s="1730"/>
      <c r="GZ109" s="1730"/>
      <c r="HA109" s="1730"/>
      <c r="HB109" s="1730"/>
      <c r="HC109" s="1730"/>
      <c r="HD109" s="1730"/>
      <c r="HE109" s="1730"/>
      <c r="HF109" s="1730"/>
      <c r="HG109" s="1730"/>
      <c r="HH109" s="1730"/>
      <c r="HI109" s="1730"/>
      <c r="HJ109" s="1730"/>
      <c r="HK109" s="1730"/>
      <c r="HL109" s="1730"/>
      <c r="HM109" s="1730"/>
      <c r="HN109" s="1730"/>
      <c r="HO109" s="1730"/>
      <c r="HP109" s="1730"/>
      <c r="HQ109" s="1730"/>
      <c r="HR109" s="1730"/>
      <c r="HS109" s="1730"/>
      <c r="HT109" s="1730"/>
      <c r="HU109" s="1730"/>
      <c r="HV109" s="1730"/>
      <c r="HW109" s="1730"/>
      <c r="HX109" s="1730"/>
      <c r="HY109" s="1730"/>
      <c r="HZ109" s="1730"/>
      <c r="IA109" s="1730"/>
      <c r="IB109" s="1730"/>
      <c r="IC109" s="1730"/>
      <c r="ID109" s="1730"/>
      <c r="IE109" s="1730"/>
      <c r="IF109" s="1730"/>
      <c r="IG109" s="1730"/>
      <c r="IH109" s="1730"/>
      <c r="II109" s="1730"/>
      <c r="IJ109" s="1730"/>
      <c r="IK109" s="1730"/>
      <c r="IL109" s="1730"/>
      <c r="IM109" s="1730"/>
      <c r="IN109" s="1730"/>
      <c r="IO109" s="1730"/>
      <c r="IP109" s="1730"/>
      <c r="IQ109" s="1730"/>
      <c r="IR109" s="1730"/>
      <c r="IS109" s="1730"/>
      <c r="IT109" s="1730"/>
      <c r="IU109" s="1730"/>
      <c r="IV109" s="1730"/>
      <c r="IW109" s="1730"/>
      <c r="IX109" s="1730"/>
      <c r="IY109" s="1730"/>
      <c r="IZ109" s="1730"/>
      <c r="JA109" s="1730"/>
      <c r="JB109" s="1730"/>
      <c r="JC109" s="1730"/>
      <c r="JD109" s="1730"/>
      <c r="JE109" s="1730"/>
      <c r="JF109" s="1730"/>
      <c r="JG109" s="1730"/>
      <c r="JH109" s="1730"/>
      <c r="JI109" s="1730"/>
      <c r="JJ109" s="1730"/>
      <c r="JK109" s="1730"/>
      <c r="JL109" s="1730"/>
      <c r="JM109" s="1730"/>
      <c r="JN109" s="1730"/>
      <c r="JO109" s="1730"/>
      <c r="JP109" s="1730"/>
      <c r="JQ109" s="1730"/>
      <c r="JR109" s="1730"/>
      <c r="JS109" s="1730"/>
      <c r="JT109" s="1730"/>
      <c r="JU109" s="1730"/>
      <c r="JV109" s="1730"/>
      <c r="JW109" s="1730"/>
      <c r="JX109" s="1730"/>
      <c r="JY109" s="1730"/>
      <c r="JZ109" s="1730"/>
      <c r="KA109" s="1730"/>
      <c r="KB109" s="1730"/>
      <c r="KC109" s="1730"/>
      <c r="KD109" s="1730"/>
      <c r="KE109" s="1730"/>
      <c r="KF109" s="1730"/>
      <c r="KG109" s="1730"/>
      <c r="KH109" s="1730"/>
      <c r="KI109" s="1730"/>
      <c r="KJ109" s="1730"/>
      <c r="KK109" s="1730"/>
      <c r="KL109" s="1730"/>
      <c r="KM109" s="1730"/>
      <c r="KN109" s="1730"/>
      <c r="KO109" s="1730"/>
      <c r="KP109" s="1730"/>
      <c r="KQ109" s="1730"/>
      <c r="KR109" s="1730"/>
      <c r="KS109" s="1730"/>
    </row>
    <row r="110" spans="1:665" s="32" customFormat="1" ht="27.6" customHeight="1">
      <c r="A110" s="2453" t="s">
        <v>767</v>
      </c>
      <c r="B110" s="2454"/>
      <c r="C110" s="2455"/>
      <c r="D110" s="1619">
        <v>44201</v>
      </c>
      <c r="E110" s="1694"/>
      <c r="F110" s="1631">
        <v>0</v>
      </c>
      <c r="G110" s="1640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1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" customHeight="1">
      <c r="A111" s="1604"/>
      <c r="B111" s="1604"/>
      <c r="C111" s="1604"/>
      <c r="D111" s="1609"/>
      <c r="E111" s="1694"/>
      <c r="F111" s="1663"/>
      <c r="G111" s="1644"/>
      <c r="H111" s="335"/>
      <c r="I111" s="335"/>
      <c r="J111" s="335"/>
      <c r="K111" s="335"/>
      <c r="L111" s="335"/>
      <c r="M111" s="335"/>
      <c r="N111" s="335"/>
      <c r="O111" s="335"/>
      <c r="P111" s="335"/>
      <c r="Q111" s="335"/>
      <c r="EW111" s="1607"/>
      <c r="EX111" s="1607"/>
      <c r="EY111" s="62"/>
      <c r="EZ111" s="62"/>
      <c r="FA111" s="62"/>
      <c r="FB111" s="62"/>
      <c r="FC111" s="1607"/>
      <c r="FD111" s="1607"/>
      <c r="FE111" s="1607"/>
      <c r="FF111" s="1607"/>
      <c r="FG111" s="1607"/>
      <c r="FH111" s="1607"/>
      <c r="FI111" s="1607"/>
      <c r="FJ111" s="1607"/>
      <c r="FK111" s="1607"/>
      <c r="FL111" s="1607"/>
      <c r="FM111" s="1607"/>
      <c r="FN111" s="1607"/>
      <c r="FO111" s="1607"/>
      <c r="FP111" s="1607"/>
      <c r="FQ111" s="1607"/>
      <c r="FR111" s="1607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3"/>
      <c r="GH111" s="333"/>
      <c r="GI111" s="333"/>
      <c r="GJ111" s="333"/>
      <c r="GK111" s="333"/>
      <c r="GL111" s="333"/>
      <c r="GM111" s="333"/>
      <c r="GN111" s="333"/>
      <c r="GO111" s="333"/>
      <c r="GP111" s="333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" customHeight="1">
      <c r="A112" s="1604"/>
      <c r="B112" s="1604"/>
      <c r="C112" s="1604"/>
      <c r="D112" s="1609"/>
      <c r="E112" s="1694"/>
      <c r="F112" s="1663"/>
      <c r="G112" s="1644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EK112" s="62"/>
      <c r="EL112" s="62"/>
      <c r="EM112" s="62"/>
      <c r="EN112" s="333"/>
      <c r="EO112" s="333"/>
      <c r="EP112" s="333"/>
      <c r="EQ112" s="333"/>
      <c r="ER112" s="333"/>
      <c r="ES112" s="333"/>
      <c r="ET112" s="333"/>
      <c r="EU112" s="333"/>
      <c r="EV112" s="333"/>
      <c r="EW112" s="333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74" customFormat="1" ht="27.6" customHeight="1">
      <c r="A113" s="1730"/>
      <c r="B113" s="1730"/>
      <c r="C113" s="1730"/>
      <c r="D113" s="1728"/>
      <c r="E113" s="1697" t="s">
        <v>873</v>
      </c>
      <c r="F113" s="1729"/>
      <c r="G113" s="1729"/>
      <c r="H113" s="1730"/>
      <c r="I113" s="1730"/>
      <c r="J113" s="1730"/>
      <c r="K113" s="1730"/>
      <c r="L113" s="1730"/>
      <c r="M113" s="1730"/>
      <c r="N113" s="1730"/>
      <c r="O113" s="1730"/>
      <c r="P113" s="1730"/>
      <c r="Q113" s="1730"/>
      <c r="R113" s="1677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77"/>
      <c r="EL113" s="1677"/>
      <c r="EM113" s="1677"/>
      <c r="EN113" s="1677"/>
      <c r="EO113" s="1677"/>
      <c r="EP113" s="1677"/>
      <c r="EQ113" s="1677"/>
      <c r="ER113" s="1677"/>
      <c r="ES113" s="1677"/>
      <c r="ET113" s="1677"/>
      <c r="EU113" s="1677"/>
      <c r="EV113" s="1677"/>
      <c r="EW113" s="1677"/>
      <c r="EX113" s="1677"/>
      <c r="EY113" s="1677"/>
      <c r="EZ113" s="1677"/>
      <c r="FA113" s="1677"/>
      <c r="FB113" s="1677"/>
      <c r="FC113" s="1677"/>
      <c r="FD113" s="1677"/>
      <c r="FE113" s="1677"/>
      <c r="FF113" s="1677"/>
      <c r="FG113" s="1677"/>
      <c r="FH113" s="1677"/>
      <c r="FI113" s="1677"/>
      <c r="FJ113" s="1677"/>
      <c r="FK113" s="1677"/>
      <c r="FL113" s="1677"/>
      <c r="FM113" s="1677"/>
      <c r="FN113" s="1677"/>
      <c r="FO113" s="1729"/>
      <c r="FP113" s="1729"/>
      <c r="FQ113" s="1729"/>
      <c r="FR113" s="1729"/>
      <c r="FS113" s="1729"/>
      <c r="FT113" s="1729"/>
      <c r="FU113" s="1729"/>
      <c r="FV113" s="1729"/>
      <c r="FW113" s="1729"/>
      <c r="FX113" s="1729"/>
      <c r="FY113" s="1730"/>
      <c r="FZ113" s="1730"/>
      <c r="GA113" s="1730"/>
      <c r="GB113" s="1730"/>
      <c r="GC113" s="1730"/>
      <c r="GD113" s="1730"/>
      <c r="GE113" s="1730"/>
      <c r="GF113" s="1730"/>
      <c r="GG113" s="1730"/>
      <c r="GH113" s="1730"/>
      <c r="GI113" s="1730"/>
      <c r="GJ113" s="1730"/>
      <c r="GK113" s="1730"/>
      <c r="GL113" s="1730"/>
      <c r="GM113" s="1730"/>
      <c r="GN113" s="1730"/>
      <c r="GO113" s="1730"/>
      <c r="GP113" s="1730"/>
      <c r="GQ113" s="1730"/>
      <c r="GR113" s="1730"/>
      <c r="GS113" s="1730"/>
      <c r="GT113" s="1730"/>
      <c r="GU113" s="1730"/>
      <c r="GV113" s="1730"/>
      <c r="GW113" s="1730"/>
      <c r="GX113" s="1730"/>
      <c r="GY113" s="1730"/>
      <c r="GZ113" s="1730"/>
      <c r="HA113" s="1730"/>
      <c r="HB113" s="1730"/>
      <c r="HC113" s="1730"/>
      <c r="HD113" s="1730"/>
      <c r="HE113" s="1730"/>
      <c r="HF113" s="1730"/>
      <c r="HG113" s="1730"/>
      <c r="HH113" s="1730"/>
      <c r="HI113" s="1730"/>
      <c r="HJ113" s="1730"/>
      <c r="HK113" s="1730"/>
      <c r="HL113" s="1730"/>
      <c r="HM113" s="1730"/>
      <c r="HN113" s="1730"/>
      <c r="HO113" s="1730"/>
      <c r="HP113" s="1730"/>
      <c r="HQ113" s="1730"/>
      <c r="HR113" s="1730"/>
      <c r="HS113" s="1730"/>
      <c r="HT113" s="1730"/>
      <c r="HU113" s="1730"/>
      <c r="HV113" s="1730"/>
      <c r="HW113" s="1730"/>
      <c r="HX113" s="1730"/>
      <c r="HY113" s="1730"/>
      <c r="HZ113" s="1730"/>
      <c r="IA113" s="1730"/>
      <c r="IB113" s="1730"/>
      <c r="IC113" s="1730"/>
      <c r="ID113" s="1730"/>
      <c r="IE113" s="1730"/>
      <c r="IF113" s="1730"/>
      <c r="IG113" s="1730"/>
      <c r="IH113" s="1730"/>
      <c r="II113" s="1730"/>
      <c r="IJ113" s="1730"/>
      <c r="IK113" s="1730"/>
      <c r="IL113" s="1730"/>
      <c r="IM113" s="1730"/>
      <c r="IN113" s="1730"/>
      <c r="IO113" s="1730"/>
      <c r="IP113" s="1730"/>
      <c r="IQ113" s="1730"/>
      <c r="IR113" s="1730"/>
      <c r="IS113" s="1730"/>
      <c r="IT113" s="1730"/>
      <c r="IU113" s="1730"/>
      <c r="IV113" s="1730"/>
      <c r="IW113" s="1730"/>
      <c r="IX113" s="1730"/>
      <c r="IY113" s="1730"/>
      <c r="IZ113" s="1730"/>
      <c r="JA113" s="1730"/>
      <c r="JB113" s="1730"/>
      <c r="JC113" s="1730"/>
      <c r="JD113" s="1730"/>
      <c r="JE113" s="1730"/>
      <c r="JF113" s="1730"/>
      <c r="JG113" s="1730"/>
      <c r="JH113" s="1730"/>
      <c r="JI113" s="1730"/>
      <c r="JJ113" s="1730"/>
      <c r="JK113" s="1730"/>
      <c r="JL113" s="1730"/>
      <c r="JM113" s="1730"/>
      <c r="JN113" s="1730"/>
      <c r="JO113" s="1730"/>
      <c r="JP113" s="1730"/>
      <c r="JQ113" s="1730"/>
      <c r="JR113" s="1730"/>
      <c r="JS113" s="1730"/>
      <c r="JT113" s="1730"/>
      <c r="JU113" s="1730"/>
      <c r="JV113" s="1730"/>
      <c r="JW113" s="1730"/>
      <c r="JX113" s="1730"/>
      <c r="JY113" s="1730"/>
      <c r="JZ113" s="1730"/>
      <c r="KA113" s="1730"/>
      <c r="KB113" s="1730"/>
      <c r="KC113" s="1730"/>
      <c r="KD113" s="1730"/>
      <c r="KE113" s="1730"/>
      <c r="KF113" s="1730"/>
      <c r="KG113" s="1730"/>
      <c r="KH113" s="1730"/>
      <c r="KI113" s="1730"/>
      <c r="KJ113" s="1730"/>
      <c r="KK113" s="1730"/>
      <c r="KL113" s="1730"/>
      <c r="KM113" s="1730"/>
      <c r="KN113" s="1730"/>
      <c r="KO113" s="1730"/>
      <c r="KP113" s="1730"/>
      <c r="KQ113" s="1730"/>
      <c r="KR113" s="1730"/>
      <c r="KS113" s="1730"/>
      <c r="KT113" s="1730"/>
      <c r="KU113" s="1730"/>
      <c r="KV113" s="1730"/>
      <c r="KW113" s="1730"/>
      <c r="KX113" s="1730"/>
      <c r="KY113" s="1730"/>
      <c r="KZ113" s="1730"/>
      <c r="LA113" s="1730"/>
      <c r="LB113" s="1730"/>
      <c r="LC113" s="1730"/>
      <c r="LD113" s="1730"/>
      <c r="LE113" s="1730"/>
      <c r="LF113" s="1730"/>
      <c r="LG113" s="1730"/>
      <c r="LH113" s="1730"/>
      <c r="LI113" s="1730"/>
      <c r="LJ113" s="1730"/>
      <c r="LK113" s="1730"/>
      <c r="LL113" s="1730"/>
      <c r="LM113" s="1730"/>
      <c r="LN113" s="1730"/>
      <c r="LO113" s="1730"/>
      <c r="LP113" s="1730"/>
      <c r="LQ113" s="1730"/>
      <c r="LR113" s="1730"/>
      <c r="LS113" s="1730"/>
      <c r="LT113" s="1730"/>
      <c r="LU113" s="1730"/>
      <c r="LV113" s="1730"/>
      <c r="LW113" s="1730"/>
      <c r="LX113" s="1730"/>
      <c r="LY113" s="1730"/>
      <c r="LZ113" s="1730"/>
      <c r="MA113" s="1730"/>
      <c r="MB113" s="1730"/>
      <c r="MC113" s="1730"/>
      <c r="MD113" s="1730"/>
      <c r="ME113" s="1730"/>
      <c r="MF113" s="1730"/>
      <c r="MG113" s="1730"/>
      <c r="MH113" s="1730"/>
      <c r="MI113" s="1730"/>
      <c r="MJ113" s="1730"/>
      <c r="MK113" s="1730"/>
      <c r="ML113" s="1730"/>
      <c r="MM113" s="1730"/>
      <c r="MN113" s="1730"/>
      <c r="MO113" s="1730"/>
      <c r="MP113" s="1730"/>
      <c r="MQ113" s="1730"/>
      <c r="MR113" s="1730"/>
      <c r="MS113" s="1730"/>
      <c r="MT113" s="1730"/>
      <c r="MU113" s="1730"/>
      <c r="MV113" s="1730"/>
      <c r="MW113" s="1730"/>
      <c r="MX113" s="1730"/>
      <c r="MY113" s="1730"/>
      <c r="MZ113" s="1730"/>
      <c r="NA113" s="1730"/>
      <c r="NB113" s="1730"/>
      <c r="NC113" s="1730"/>
      <c r="ND113" s="1730"/>
      <c r="NE113" s="1730"/>
      <c r="NF113" s="1730"/>
      <c r="NG113" s="1730"/>
      <c r="NH113" s="1730"/>
      <c r="NI113" s="1730"/>
      <c r="NJ113" s="1730"/>
      <c r="NK113" s="1730"/>
      <c r="NL113" s="1730"/>
      <c r="NM113" s="1730"/>
      <c r="NN113" s="1730"/>
      <c r="NO113" s="1730"/>
      <c r="NP113" s="1730"/>
      <c r="NQ113" s="1730"/>
      <c r="NR113" s="1730"/>
      <c r="NS113" s="1730"/>
      <c r="NT113" s="1730"/>
      <c r="NU113" s="1730"/>
      <c r="NV113" s="1730"/>
      <c r="NW113" s="1730"/>
      <c r="NX113" s="1730"/>
      <c r="NY113" s="1730"/>
      <c r="NZ113" s="1730"/>
      <c r="OA113" s="1730"/>
      <c r="OB113" s="1730"/>
      <c r="OC113" s="1730"/>
      <c r="OD113" s="1730"/>
      <c r="OE113" s="1730"/>
      <c r="OF113" s="1730"/>
      <c r="OG113" s="1730"/>
      <c r="OH113" s="1730"/>
      <c r="OI113" s="1730"/>
      <c r="OJ113" s="1730"/>
      <c r="OK113" s="1730"/>
      <c r="OL113" s="1730"/>
      <c r="OM113" s="1730"/>
      <c r="ON113" s="1730"/>
      <c r="OO113" s="1730"/>
      <c r="OP113" s="1730"/>
      <c r="OQ113" s="1730"/>
      <c r="OR113" s="1730"/>
      <c r="OS113" s="1730"/>
      <c r="OT113" s="1730"/>
      <c r="OU113" s="1730"/>
      <c r="OV113" s="1730"/>
      <c r="OW113" s="1730"/>
      <c r="OX113" s="1730"/>
      <c r="OY113" s="1730"/>
      <c r="OZ113" s="1730"/>
      <c r="PA113" s="1730"/>
      <c r="PB113" s="1730"/>
      <c r="PC113" s="1730"/>
      <c r="PD113" s="1730"/>
      <c r="PE113" s="1730"/>
      <c r="PF113" s="1730"/>
      <c r="PG113" s="1730"/>
      <c r="PH113" s="1730"/>
      <c r="PI113" s="1730"/>
      <c r="PJ113" s="1730"/>
      <c r="PK113" s="1730"/>
      <c r="PL113" s="1730"/>
      <c r="PM113" s="1730"/>
      <c r="PN113" s="1730"/>
      <c r="PO113" s="1730"/>
      <c r="PP113" s="1730"/>
      <c r="PQ113" s="1730"/>
      <c r="PR113" s="1730"/>
      <c r="PS113" s="1730"/>
      <c r="PT113" s="1730"/>
      <c r="PU113" s="1730"/>
      <c r="PV113" s="1730"/>
      <c r="PW113" s="1730"/>
      <c r="PX113" s="1730"/>
      <c r="PY113" s="1730"/>
      <c r="PZ113" s="1730"/>
      <c r="QA113" s="1730"/>
      <c r="QB113" s="1730"/>
      <c r="QC113" s="1730"/>
      <c r="QD113" s="1730"/>
      <c r="QE113" s="1730"/>
      <c r="QF113" s="1730"/>
      <c r="QG113" s="1730"/>
      <c r="QH113" s="1730"/>
      <c r="QI113" s="1730"/>
      <c r="QJ113" s="1730"/>
      <c r="QK113" s="1730"/>
      <c r="QL113" s="1730"/>
      <c r="QM113" s="1730"/>
      <c r="QN113" s="1730"/>
      <c r="QO113" s="1730"/>
      <c r="QP113" s="1730"/>
      <c r="QQ113" s="1730"/>
      <c r="QR113" s="1730"/>
      <c r="QS113" s="1730"/>
      <c r="QT113" s="1730"/>
      <c r="QU113" s="1730"/>
      <c r="QV113" s="1730"/>
      <c r="QW113" s="1730"/>
      <c r="QX113" s="1730"/>
      <c r="QY113" s="1730"/>
      <c r="QZ113" s="1730"/>
      <c r="RA113" s="1730"/>
      <c r="RB113" s="1730"/>
      <c r="RC113" s="1730"/>
      <c r="RD113" s="1730"/>
      <c r="RE113" s="1730"/>
      <c r="RF113" s="1730"/>
      <c r="RG113" s="1730"/>
      <c r="RH113" s="1730"/>
      <c r="RI113" s="1730"/>
      <c r="RJ113" s="1730"/>
      <c r="RK113" s="1730"/>
      <c r="RL113" s="1730"/>
      <c r="RM113" s="1730"/>
      <c r="RN113" s="1730"/>
      <c r="RO113" s="1730"/>
      <c r="RP113" s="1730"/>
      <c r="RQ113" s="1730"/>
      <c r="RR113" s="1730"/>
      <c r="RS113" s="1730"/>
      <c r="RT113" s="1730"/>
      <c r="RU113" s="1730"/>
      <c r="RV113" s="1730"/>
      <c r="RW113" s="1730"/>
      <c r="RX113" s="1730"/>
      <c r="RY113" s="1730"/>
      <c r="RZ113" s="1730"/>
      <c r="SA113" s="1730"/>
      <c r="SB113" s="1730"/>
      <c r="SC113" s="1730"/>
      <c r="SD113" s="1730"/>
      <c r="SE113" s="1730"/>
    </row>
    <row r="114" spans="1:840" ht="27.6" customHeight="1">
      <c r="A114" s="1604"/>
      <c r="B114" s="1604"/>
      <c r="C114" s="1604"/>
      <c r="D114" s="1609"/>
      <c r="E114" s="1694"/>
      <c r="F114" s="1663"/>
      <c r="G114" s="1644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3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07"/>
      <c r="EL114" s="1607"/>
      <c r="EM114" s="1607"/>
      <c r="EN114" s="1607"/>
      <c r="EO114" s="1607"/>
      <c r="EP114" s="1607"/>
      <c r="EQ114" s="1607"/>
      <c r="ER114" s="1607"/>
      <c r="ES114" s="1607"/>
      <c r="ET114" s="1607"/>
      <c r="EU114" s="1607"/>
      <c r="EV114" s="1607"/>
      <c r="EW114" s="1607"/>
      <c r="EX114" s="1607"/>
      <c r="EY114" s="1607"/>
      <c r="EZ114" s="1607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3"/>
      <c r="FP114" s="333"/>
      <c r="FQ114" s="333"/>
      <c r="FR114" s="333"/>
      <c r="FS114" s="333"/>
      <c r="FT114" s="333"/>
      <c r="FU114" s="333"/>
      <c r="FV114" s="333"/>
      <c r="FW114" s="333"/>
      <c r="FX114" s="333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" customHeight="1">
      <c r="A115" s="1604"/>
      <c r="B115" s="1604"/>
      <c r="C115" s="1604"/>
      <c r="D115" s="1609"/>
      <c r="E115" s="1694"/>
      <c r="F115" s="1663"/>
      <c r="G115" s="1644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163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3"/>
      <c r="DS115" s="333"/>
      <c r="DT115" s="333"/>
      <c r="DU115" s="333"/>
      <c r="DV115" s="1607"/>
      <c r="DW115" s="1607"/>
      <c r="DX115" s="1607"/>
      <c r="DY115" s="1607"/>
      <c r="DZ115" s="1607"/>
      <c r="EA115" s="1607"/>
      <c r="EB115" s="1607"/>
      <c r="EC115" s="1607"/>
      <c r="ED115" s="1607"/>
      <c r="EE115" s="1607"/>
      <c r="EF115" s="1607"/>
      <c r="EG115" s="1607"/>
      <c r="EH115" s="1607"/>
      <c r="EI115" s="1607"/>
      <c r="EJ115" s="1607"/>
      <c r="EK115" s="1607"/>
      <c r="EL115" s="1607"/>
      <c r="EM115" s="1607"/>
      <c r="EN115" s="1607"/>
      <c r="EO115" s="1607"/>
      <c r="EP115" s="1607"/>
      <c r="EQ115" s="1607"/>
      <c r="ER115" s="1607"/>
      <c r="ES115" s="1607"/>
      <c r="ET115" s="1607"/>
      <c r="EU115" s="1607"/>
      <c r="EV115" s="1607"/>
      <c r="EW115" s="1607"/>
      <c r="EX115" s="1607"/>
      <c r="EY115" s="1607"/>
      <c r="EZ115" s="1607"/>
      <c r="FA115" s="1607"/>
      <c r="FB115" s="1607"/>
      <c r="FC115" s="1607"/>
      <c r="FD115" s="1607"/>
      <c r="FE115" s="1607"/>
      <c r="FF115" s="1607"/>
      <c r="FG115" s="1607"/>
      <c r="FH115" s="1607"/>
      <c r="FI115" s="1607"/>
      <c r="FJ115" s="1607"/>
      <c r="FK115" s="1607"/>
      <c r="FL115" s="1607"/>
      <c r="FM115" s="1607"/>
      <c r="FN115" s="1607"/>
      <c r="FO115" s="1607"/>
      <c r="FP115" s="1607"/>
      <c r="FQ115" s="1607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07"/>
      <c r="GE115" s="1607"/>
      <c r="GF115" s="1607"/>
      <c r="GG115" s="1607"/>
      <c r="GH115" s="1607"/>
      <c r="GI115" s="1607"/>
      <c r="GJ115" s="1607"/>
      <c r="GK115" s="1607"/>
      <c r="GL115" s="1607"/>
      <c r="GM115" s="1607"/>
      <c r="GN115" s="1607"/>
      <c r="GO115" s="1607"/>
      <c r="GP115" s="1607"/>
      <c r="GQ115" s="1607"/>
      <c r="GR115" s="1607"/>
      <c r="GS115" s="1607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3"/>
      <c r="HI115" s="333"/>
      <c r="HJ115" s="333"/>
      <c r="HK115" s="333"/>
      <c r="HL115" s="333"/>
      <c r="HM115" s="333"/>
      <c r="HN115" s="333"/>
      <c r="HO115" s="333"/>
      <c r="HP115" s="333"/>
      <c r="HQ115" s="333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35" customHeight="1">
      <c r="A116" s="1604"/>
      <c r="B116" s="1604"/>
      <c r="C116" s="1604"/>
      <c r="D116" s="1609"/>
      <c r="E116" s="1694"/>
      <c r="F116" s="1663"/>
      <c r="G116" s="1644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163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3"/>
      <c r="DS116" s="333"/>
      <c r="DT116" s="333"/>
      <c r="DU116" s="333"/>
      <c r="DV116" s="1607"/>
      <c r="DW116" s="1607"/>
      <c r="DX116" s="1607"/>
      <c r="DY116" s="1607"/>
      <c r="DZ116" s="1607"/>
      <c r="EA116" s="1607"/>
      <c r="EB116" s="1607"/>
      <c r="EC116" s="1607"/>
      <c r="ED116" s="1607"/>
      <c r="EE116" s="1607"/>
      <c r="EF116" s="1607"/>
      <c r="EG116" s="1607"/>
      <c r="EH116" s="1607"/>
      <c r="EI116" s="1607"/>
      <c r="EJ116" s="1607"/>
      <c r="EK116" s="1607"/>
      <c r="EL116" s="1607"/>
      <c r="EM116" s="1607"/>
      <c r="EN116" s="1607"/>
      <c r="EO116" s="1607"/>
      <c r="EP116" s="1607"/>
      <c r="EQ116" s="1607"/>
      <c r="ER116" s="1607"/>
      <c r="ES116" s="1607"/>
      <c r="ET116" s="1607"/>
      <c r="EU116" s="1607"/>
      <c r="EV116" s="1607"/>
      <c r="EW116" s="1607"/>
      <c r="EX116" s="1607"/>
      <c r="EY116" s="1607"/>
      <c r="EZ116" s="1607"/>
      <c r="FA116" s="1607"/>
      <c r="FB116" s="1607"/>
      <c r="FC116" s="1607"/>
      <c r="FD116" s="1607"/>
      <c r="FE116" s="1607"/>
      <c r="FF116" s="1607"/>
      <c r="FG116" s="1607"/>
      <c r="FH116" s="1607"/>
      <c r="FI116" s="1607"/>
      <c r="FJ116" s="1607"/>
      <c r="FK116" s="1607"/>
      <c r="FL116" s="1607"/>
      <c r="FM116" s="1607"/>
      <c r="FN116" s="1607"/>
      <c r="FO116" s="1607"/>
      <c r="FP116" s="1607"/>
      <c r="FQ116" s="1607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07"/>
      <c r="GE116" s="1607"/>
      <c r="GF116" s="1607"/>
      <c r="GG116" s="1607"/>
      <c r="GH116" s="1607"/>
      <c r="GI116" s="1607"/>
      <c r="GJ116" s="1607"/>
      <c r="GK116" s="1607"/>
      <c r="GL116" s="1607"/>
      <c r="GM116" s="1607"/>
      <c r="GN116" s="1607"/>
      <c r="GO116" s="1607"/>
      <c r="GP116" s="1607"/>
      <c r="GQ116" s="1607"/>
      <c r="GR116" s="1607"/>
      <c r="GS116" s="1607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3"/>
      <c r="HI116" s="333"/>
      <c r="HJ116" s="333"/>
      <c r="HK116" s="333"/>
      <c r="HL116" s="333"/>
      <c r="HM116" s="333"/>
      <c r="HN116" s="333"/>
      <c r="HO116" s="333"/>
      <c r="HP116" s="333"/>
      <c r="HQ116" s="333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6" customFormat="1" ht="37.5" customHeight="1">
      <c r="A117" s="2464" t="s">
        <v>874</v>
      </c>
      <c r="B117" s="2465"/>
      <c r="C117" s="2466"/>
      <c r="D117" s="1653"/>
      <c r="E117" s="1619">
        <v>44208</v>
      </c>
      <c r="F117" s="1631">
        <v>0</v>
      </c>
      <c r="G117" s="1640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1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6" customFormat="1" ht="41.25" customHeight="1">
      <c r="B118" s="2417">
        <v>44208</v>
      </c>
      <c r="C118" s="2417"/>
      <c r="D118" s="1763" t="s">
        <v>341</v>
      </c>
      <c r="E118" s="1694"/>
      <c r="F118" s="2335" t="s">
        <v>881</v>
      </c>
      <c r="G118" s="2336"/>
      <c r="H118" s="2336"/>
      <c r="I118" s="2336"/>
      <c r="J118" s="2336"/>
      <c r="K118" s="2336"/>
      <c r="L118" s="2336"/>
      <c r="M118" s="2336"/>
      <c r="N118" s="2336"/>
      <c r="O118" s="2336"/>
      <c r="P118" s="2336"/>
      <c r="Q118" s="2336"/>
      <c r="R118" s="2336"/>
      <c r="S118" s="2336"/>
      <c r="T118" s="2336"/>
      <c r="U118" s="2337"/>
      <c r="X118" s="2314" t="s">
        <v>883</v>
      </c>
      <c r="Y118" s="2315"/>
      <c r="Z118" s="2315"/>
      <c r="AA118" s="2315"/>
      <c r="AB118" s="2315"/>
      <c r="AC118" s="2315"/>
      <c r="AD118" s="2315"/>
      <c r="AE118" s="2315"/>
      <c r="AF118" s="2315"/>
      <c r="AG118" s="2315"/>
      <c r="AH118" s="2315"/>
      <c r="AI118" s="2315"/>
      <c r="AJ118" s="2315"/>
      <c r="AK118" s="2315"/>
      <c r="AL118" s="2315"/>
      <c r="AM118" s="2315"/>
      <c r="AN118" s="2315"/>
      <c r="AO118" s="2315"/>
      <c r="AP118" s="2315"/>
      <c r="AQ118" s="2315"/>
      <c r="AR118" s="2315"/>
      <c r="AS118" s="2316"/>
      <c r="AY118" s="2314" t="s">
        <v>916</v>
      </c>
      <c r="AZ118" s="2315"/>
      <c r="BA118" s="2315"/>
      <c r="BB118" s="2315"/>
      <c r="BC118" s="2315"/>
      <c r="BD118" s="2315"/>
      <c r="BE118" s="2315"/>
      <c r="BF118" s="2315"/>
      <c r="BG118" s="2315"/>
      <c r="BH118" s="2315"/>
      <c r="BI118" s="2315"/>
      <c r="BJ118" s="2315"/>
      <c r="BK118" s="2315"/>
      <c r="BL118" s="2315"/>
      <c r="BM118" s="2315"/>
      <c r="BN118" s="2315"/>
      <c r="BO118" s="2315"/>
      <c r="BP118" s="2315"/>
      <c r="BQ118" s="2315"/>
      <c r="BR118" s="2315"/>
      <c r="BS118" s="2315"/>
      <c r="BT118" s="2316"/>
      <c r="BW118" s="2314" t="s">
        <v>915</v>
      </c>
      <c r="BX118" s="2315"/>
      <c r="BY118" s="2315"/>
      <c r="BZ118" s="2315"/>
      <c r="CA118" s="2315"/>
      <c r="CB118" s="2315"/>
      <c r="CC118" s="2315"/>
      <c r="CD118" s="2315"/>
      <c r="CE118" s="2315"/>
      <c r="CF118" s="2315"/>
      <c r="CG118" s="2315"/>
      <c r="CH118" s="2315"/>
      <c r="CI118" s="2315"/>
      <c r="CJ118" s="2315"/>
      <c r="CK118" s="2315"/>
      <c r="CL118" s="2315"/>
      <c r="CM118" s="2315"/>
      <c r="CN118" s="2315"/>
      <c r="CO118" s="2315"/>
      <c r="CP118" s="2315"/>
      <c r="CQ118" s="2315"/>
      <c r="CR118" s="2316"/>
      <c r="CT118" s="2314" t="s">
        <v>751</v>
      </c>
      <c r="CU118" s="2315"/>
      <c r="CV118" s="2315"/>
      <c r="CW118" s="2315"/>
      <c r="CX118" s="2315"/>
      <c r="CY118" s="2315"/>
      <c r="CZ118" s="2315"/>
      <c r="DA118" s="2315"/>
      <c r="DB118" s="2315"/>
      <c r="DC118" s="2315"/>
      <c r="DD118" s="2315"/>
      <c r="DE118" s="2315"/>
      <c r="DF118" s="2315"/>
      <c r="DG118" s="2315"/>
      <c r="DH118" s="2315"/>
      <c r="DI118" s="2316"/>
      <c r="EI118" s="2314" t="s">
        <v>470</v>
      </c>
      <c r="EJ118" s="2315"/>
      <c r="EK118" s="2315"/>
      <c r="EL118" s="2315"/>
      <c r="EM118" s="2315"/>
      <c r="EN118" s="2315"/>
      <c r="EO118" s="2315"/>
      <c r="EP118" s="2315"/>
      <c r="EQ118" s="2315"/>
      <c r="ER118" s="2315"/>
      <c r="ES118" s="2315"/>
      <c r="ET118" s="2315"/>
      <c r="EU118" s="2315"/>
      <c r="EV118" s="2315"/>
      <c r="EW118" s="2315"/>
      <c r="EX118" s="2316"/>
      <c r="FA118" s="2314" t="s">
        <v>911</v>
      </c>
      <c r="FB118" s="2315"/>
      <c r="FC118" s="2315"/>
      <c r="FD118" s="2315"/>
      <c r="FE118" s="2315"/>
      <c r="FF118" s="2315"/>
      <c r="FG118" s="2315"/>
      <c r="FH118" s="2315"/>
      <c r="FI118" s="2315"/>
      <c r="FJ118" s="2315"/>
      <c r="FK118" s="2315"/>
      <c r="FL118" s="2315"/>
      <c r="FM118" s="2315"/>
      <c r="FN118" s="2315"/>
      <c r="FO118" s="2315"/>
      <c r="FP118" s="2315"/>
      <c r="FQ118" s="2315"/>
      <c r="FR118" s="2315"/>
      <c r="FS118" s="2315"/>
      <c r="FT118" s="2315"/>
      <c r="FU118" s="2315"/>
      <c r="FV118" s="2316"/>
      <c r="FY118" s="2314" t="s">
        <v>884</v>
      </c>
      <c r="FZ118" s="2315"/>
      <c r="GA118" s="2315"/>
      <c r="GB118" s="2315"/>
      <c r="GC118" s="2315"/>
      <c r="GD118" s="2315"/>
      <c r="GE118" s="2315"/>
      <c r="GF118" s="2315"/>
      <c r="GG118" s="2315"/>
      <c r="GH118" s="2315"/>
      <c r="GI118" s="2315"/>
      <c r="GJ118" s="2315"/>
      <c r="GK118" s="2315"/>
      <c r="GL118" s="2315"/>
      <c r="GM118" s="2315"/>
      <c r="GN118" s="2315"/>
      <c r="GO118" s="2315"/>
      <c r="GP118" s="2315"/>
      <c r="GQ118" s="2315"/>
      <c r="GR118" s="2315"/>
      <c r="GS118" s="2315"/>
      <c r="GT118" s="2316"/>
      <c r="GW118" s="2314" t="s">
        <v>882</v>
      </c>
      <c r="GX118" s="2315"/>
      <c r="GY118" s="2315"/>
      <c r="GZ118" s="2315"/>
      <c r="HA118" s="2315"/>
      <c r="HB118" s="2315"/>
      <c r="HC118" s="2315"/>
      <c r="HD118" s="2315"/>
      <c r="HE118" s="2315"/>
      <c r="HF118" s="2315"/>
      <c r="HG118" s="2315"/>
      <c r="HH118" s="2315"/>
      <c r="HI118" s="2315"/>
      <c r="HJ118" s="2315"/>
      <c r="HK118" s="2315"/>
      <c r="HL118" s="2315"/>
      <c r="HM118" s="2315"/>
      <c r="HN118" s="2315"/>
      <c r="HO118" s="2315"/>
      <c r="HP118" s="2315"/>
      <c r="HQ118" s="2315"/>
      <c r="HR118" s="2316"/>
      <c r="HU118" s="2314" t="s">
        <v>885</v>
      </c>
      <c r="HV118" s="2315"/>
      <c r="HW118" s="2315"/>
      <c r="HX118" s="2315"/>
      <c r="HY118" s="2315"/>
      <c r="HZ118" s="2315"/>
      <c r="IA118" s="2315"/>
      <c r="IB118" s="2315"/>
      <c r="IC118" s="2315"/>
      <c r="ID118" s="2315"/>
      <c r="IE118" s="2315"/>
      <c r="IF118" s="2315"/>
      <c r="IG118" s="2315"/>
      <c r="IH118" s="2315"/>
      <c r="II118" s="2315"/>
      <c r="IJ118" s="2315"/>
      <c r="IK118" s="2315"/>
      <c r="IL118" s="2315"/>
      <c r="IM118" s="2315"/>
      <c r="IN118" s="2315"/>
      <c r="IO118" s="2315"/>
      <c r="IP118" s="2316"/>
      <c r="IS118" s="2314" t="s">
        <v>751</v>
      </c>
      <c r="IT118" s="2315"/>
      <c r="IU118" s="2315"/>
      <c r="IV118" s="2315"/>
      <c r="IW118" s="2315"/>
      <c r="IX118" s="2315"/>
      <c r="IY118" s="2315"/>
      <c r="IZ118" s="2315"/>
      <c r="JA118" s="2315"/>
      <c r="JB118" s="2315"/>
      <c r="JC118" s="2315"/>
      <c r="JD118" s="2315"/>
      <c r="JE118" s="2315"/>
      <c r="JF118" s="2315"/>
      <c r="JG118" s="2315"/>
      <c r="JH118" s="2316"/>
      <c r="JK118" s="2314" t="s">
        <v>897</v>
      </c>
      <c r="JL118" s="2315"/>
      <c r="JM118" s="2315"/>
      <c r="JN118" s="2315"/>
      <c r="JO118" s="2315"/>
      <c r="JP118" s="2315"/>
      <c r="JQ118" s="2315"/>
      <c r="JR118" s="2315"/>
      <c r="JS118" s="2315"/>
      <c r="JT118" s="2315"/>
      <c r="JU118" s="2315"/>
      <c r="JV118" s="2315"/>
      <c r="JW118" s="2315"/>
      <c r="JX118" s="2315"/>
      <c r="JY118" s="2315"/>
      <c r="JZ118" s="2315"/>
      <c r="KA118" s="2315"/>
      <c r="KB118" s="2315"/>
      <c r="KC118" s="2315"/>
      <c r="KD118" s="2315"/>
      <c r="KE118" s="2315"/>
      <c r="KF118" s="2316"/>
      <c r="KI118" s="2314" t="s">
        <v>880</v>
      </c>
      <c r="KJ118" s="2315"/>
      <c r="KK118" s="2315"/>
      <c r="KL118" s="2315"/>
      <c r="KM118" s="2315"/>
      <c r="KN118" s="2315"/>
      <c r="KO118" s="2315"/>
      <c r="KP118" s="2315"/>
      <c r="KQ118" s="2315"/>
      <c r="KR118" s="2315"/>
      <c r="KS118" s="2315"/>
      <c r="KT118" s="2315"/>
      <c r="KU118" s="2315"/>
      <c r="KV118" s="2315"/>
      <c r="KW118" s="2315"/>
      <c r="KX118" s="2315"/>
      <c r="KY118" s="2315"/>
      <c r="KZ118" s="2315"/>
      <c r="LA118" s="2315"/>
      <c r="LB118" s="2315"/>
      <c r="LC118" s="2315"/>
      <c r="LD118" s="2316"/>
      <c r="MG118" s="1674"/>
      <c r="MH118" s="1674"/>
      <c r="MI118" s="1674"/>
      <c r="MJ118" s="1674"/>
      <c r="MK118" s="1674"/>
      <c r="ML118" s="1674"/>
      <c r="MM118" s="1674"/>
      <c r="MN118" s="1674"/>
      <c r="MO118" s="1674"/>
      <c r="MP118" s="1674"/>
      <c r="MQ118" s="1674"/>
      <c r="MR118" s="1674"/>
      <c r="MS118" s="1674"/>
      <c r="MT118" s="1674"/>
      <c r="MU118" s="1674"/>
      <c r="MV118" s="1674"/>
      <c r="MW118" s="1674"/>
      <c r="MX118" s="1674"/>
      <c r="ADI118" s="339"/>
      <c r="ADJ118" s="339"/>
      <c r="AFC118" s="340"/>
      <c r="AFD118" s="340"/>
      <c r="AFE118" s="340"/>
      <c r="AFF118" s="340"/>
      <c r="AFG118" s="340"/>
      <c r="AFH118" s="340"/>
    </row>
    <row r="119" spans="1:840" s="1674" customFormat="1" ht="41.25" customHeight="1">
      <c r="B119" s="2418"/>
      <c r="C119" s="2418"/>
      <c r="D119" s="1679"/>
      <c r="E119" s="1697" t="s">
        <v>873</v>
      </c>
      <c r="F119" s="1681">
        <v>500</v>
      </c>
      <c r="G119" s="1681">
        <v>500</v>
      </c>
      <c r="H119" s="1681">
        <v>500</v>
      </c>
      <c r="I119" s="1681">
        <v>500</v>
      </c>
      <c r="J119" s="1681">
        <v>500</v>
      </c>
      <c r="K119" s="1681">
        <v>500</v>
      </c>
      <c r="L119" s="1681">
        <v>500</v>
      </c>
      <c r="M119" s="1681">
        <v>500</v>
      </c>
      <c r="N119" s="1681">
        <v>500</v>
      </c>
      <c r="O119" s="1681">
        <v>500</v>
      </c>
      <c r="P119" s="1681">
        <v>500</v>
      </c>
      <c r="Q119" s="1681">
        <v>500</v>
      </c>
      <c r="R119" s="1681">
        <v>500</v>
      </c>
      <c r="S119" s="1681">
        <v>500</v>
      </c>
      <c r="T119" s="1681">
        <v>500</v>
      </c>
      <c r="U119" s="1681">
        <v>500</v>
      </c>
      <c r="V119" s="336"/>
      <c r="W119" s="336"/>
      <c r="X119" s="1681">
        <v>500</v>
      </c>
      <c r="Y119" s="1681">
        <v>500</v>
      </c>
      <c r="Z119" s="1681">
        <v>500</v>
      </c>
      <c r="AA119" s="1681">
        <v>500</v>
      </c>
      <c r="AB119" s="1681">
        <v>500</v>
      </c>
      <c r="AC119" s="1681">
        <v>500</v>
      </c>
      <c r="AD119" s="1681">
        <v>500</v>
      </c>
      <c r="AE119" s="1681">
        <v>500</v>
      </c>
      <c r="AF119" s="1681">
        <v>500</v>
      </c>
      <c r="AG119" s="1681">
        <v>500</v>
      </c>
      <c r="AH119" s="1681">
        <v>500</v>
      </c>
      <c r="AI119" s="1681">
        <v>500</v>
      </c>
      <c r="AJ119" s="1681">
        <v>500</v>
      </c>
      <c r="AK119" s="1681">
        <v>500</v>
      </c>
      <c r="AL119" s="1681">
        <v>500</v>
      </c>
      <c r="AM119" s="1681">
        <v>500</v>
      </c>
      <c r="AN119" s="1681">
        <v>500</v>
      </c>
      <c r="AO119" s="1681">
        <v>500</v>
      </c>
      <c r="AP119" s="1681">
        <v>500</v>
      </c>
      <c r="AQ119" s="1681">
        <v>500</v>
      </c>
      <c r="AR119" s="1681">
        <v>500</v>
      </c>
      <c r="AS119" s="1681">
        <v>500</v>
      </c>
      <c r="AY119" s="1681">
        <v>500</v>
      </c>
      <c r="AZ119" s="1681">
        <v>500</v>
      </c>
      <c r="BA119" s="1681">
        <v>500</v>
      </c>
      <c r="BB119" s="1681">
        <v>500</v>
      </c>
      <c r="BC119" s="1681">
        <v>500</v>
      </c>
      <c r="BD119" s="1681">
        <v>500</v>
      </c>
      <c r="BE119" s="1681">
        <v>500</v>
      </c>
      <c r="BF119" s="1681">
        <v>500</v>
      </c>
      <c r="BG119" s="1681">
        <v>500</v>
      </c>
      <c r="BH119" s="1681">
        <v>500</v>
      </c>
      <c r="BI119" s="1681">
        <v>500</v>
      </c>
      <c r="BJ119" s="1681">
        <v>500</v>
      </c>
      <c r="BK119" s="1681">
        <v>500</v>
      </c>
      <c r="BL119" s="1681">
        <v>500</v>
      </c>
      <c r="BM119" s="1681">
        <v>500</v>
      </c>
      <c r="BN119" s="1681">
        <v>500</v>
      </c>
      <c r="BO119" s="1681">
        <v>500</v>
      </c>
      <c r="BP119" s="1681">
        <v>500</v>
      </c>
      <c r="BQ119" s="1681">
        <v>500</v>
      </c>
      <c r="BR119" s="1681">
        <v>500</v>
      </c>
      <c r="BS119" s="1681">
        <v>500</v>
      </c>
      <c r="BT119" s="1681">
        <v>500</v>
      </c>
      <c r="BW119" s="1681">
        <v>500</v>
      </c>
      <c r="BX119" s="1681">
        <v>500</v>
      </c>
      <c r="BY119" s="1681">
        <v>500</v>
      </c>
      <c r="BZ119" s="1681">
        <v>500</v>
      </c>
      <c r="CA119" s="1681">
        <v>500</v>
      </c>
      <c r="CB119" s="1681">
        <v>500</v>
      </c>
      <c r="CC119" s="1681">
        <v>500</v>
      </c>
      <c r="CD119" s="1681">
        <v>500</v>
      </c>
      <c r="CE119" s="1681">
        <v>500</v>
      </c>
      <c r="CF119" s="1681">
        <v>500</v>
      </c>
      <c r="CG119" s="1681">
        <v>500</v>
      </c>
      <c r="CH119" s="1681">
        <v>500</v>
      </c>
      <c r="CI119" s="1681">
        <v>500</v>
      </c>
      <c r="CJ119" s="1681">
        <v>500</v>
      </c>
      <c r="CK119" s="1681">
        <v>500</v>
      </c>
      <c r="CL119" s="1681">
        <v>500</v>
      </c>
      <c r="CM119" s="1681">
        <v>500</v>
      </c>
      <c r="CN119" s="1681">
        <v>500</v>
      </c>
      <c r="CO119" s="1681">
        <v>500</v>
      </c>
      <c r="CP119" s="1681">
        <v>500</v>
      </c>
      <c r="CQ119" s="1681">
        <v>500</v>
      </c>
      <c r="CR119" s="1681">
        <v>500</v>
      </c>
      <c r="CT119" s="1681">
        <v>500</v>
      </c>
      <c r="CU119" s="1681">
        <v>500</v>
      </c>
      <c r="CV119" s="1681">
        <v>500</v>
      </c>
      <c r="CW119" s="1681">
        <v>500</v>
      </c>
      <c r="CX119" s="1681">
        <v>500</v>
      </c>
      <c r="CY119" s="1681">
        <v>500</v>
      </c>
      <c r="CZ119" s="1681">
        <v>500</v>
      </c>
      <c r="DA119" s="1681">
        <v>500</v>
      </c>
      <c r="DB119" s="1681">
        <v>500</v>
      </c>
      <c r="DC119" s="1681">
        <v>500</v>
      </c>
      <c r="DD119" s="1681">
        <v>500</v>
      </c>
      <c r="DE119" s="1681">
        <v>500</v>
      </c>
      <c r="DF119" s="1681">
        <v>500</v>
      </c>
      <c r="DG119" s="1681">
        <v>500</v>
      </c>
      <c r="DH119" s="1681">
        <v>500</v>
      </c>
      <c r="DI119" s="1681">
        <v>500</v>
      </c>
      <c r="EG119" s="336"/>
      <c r="EI119" s="1681">
        <v>500</v>
      </c>
      <c r="EJ119" s="1681">
        <v>500</v>
      </c>
      <c r="EK119" s="1681">
        <v>500</v>
      </c>
      <c r="EL119" s="1681">
        <v>500</v>
      </c>
      <c r="EM119" s="1681">
        <v>500</v>
      </c>
      <c r="EN119" s="1681">
        <v>500</v>
      </c>
      <c r="EO119" s="1681">
        <v>500</v>
      </c>
      <c r="EP119" s="1681">
        <v>500</v>
      </c>
      <c r="EQ119" s="1681">
        <v>500</v>
      </c>
      <c r="ER119" s="1681">
        <v>500</v>
      </c>
      <c r="ES119" s="1681">
        <v>500</v>
      </c>
      <c r="ET119" s="1681">
        <v>500</v>
      </c>
      <c r="EU119" s="1681">
        <v>500</v>
      </c>
      <c r="EV119" s="1681">
        <v>500</v>
      </c>
      <c r="EW119" s="1681">
        <v>500</v>
      </c>
      <c r="EX119" s="1681">
        <v>500</v>
      </c>
      <c r="FA119" s="1681">
        <v>500</v>
      </c>
      <c r="FB119" s="1681">
        <v>500</v>
      </c>
      <c r="FC119" s="1681">
        <v>500</v>
      </c>
      <c r="FD119" s="1681">
        <v>500</v>
      </c>
      <c r="FE119" s="1681">
        <v>500</v>
      </c>
      <c r="FF119" s="1681">
        <v>500</v>
      </c>
      <c r="FG119" s="1681">
        <v>500</v>
      </c>
      <c r="FH119" s="1681">
        <v>500</v>
      </c>
      <c r="FI119" s="1681">
        <v>500</v>
      </c>
      <c r="FJ119" s="1681">
        <v>500</v>
      </c>
      <c r="FK119" s="1681">
        <v>500</v>
      </c>
      <c r="FL119" s="1681">
        <v>500</v>
      </c>
      <c r="FM119" s="1681">
        <v>500</v>
      </c>
      <c r="FN119" s="1681">
        <v>500</v>
      </c>
      <c r="FO119" s="1681">
        <v>500</v>
      </c>
      <c r="FP119" s="1681">
        <v>500</v>
      </c>
      <c r="FQ119" s="1681">
        <v>500</v>
      </c>
      <c r="FR119" s="1681">
        <v>500</v>
      </c>
      <c r="FS119" s="1681">
        <v>500</v>
      </c>
      <c r="FT119" s="1681">
        <v>500</v>
      </c>
      <c r="FU119" s="1681">
        <v>500</v>
      </c>
      <c r="FV119" s="1681">
        <v>500</v>
      </c>
      <c r="FY119" s="1681">
        <v>500</v>
      </c>
      <c r="FZ119" s="1681">
        <v>500</v>
      </c>
      <c r="GA119" s="1681">
        <v>500</v>
      </c>
      <c r="GB119" s="1681">
        <v>500</v>
      </c>
      <c r="GC119" s="1681">
        <v>500</v>
      </c>
      <c r="GD119" s="1681">
        <v>500</v>
      </c>
      <c r="GE119" s="1681">
        <v>500</v>
      </c>
      <c r="GF119" s="1681">
        <v>500</v>
      </c>
      <c r="GG119" s="1681">
        <v>500</v>
      </c>
      <c r="GH119" s="1681">
        <v>500</v>
      </c>
      <c r="GI119" s="1681">
        <v>500</v>
      </c>
      <c r="GJ119" s="1681">
        <v>500</v>
      </c>
      <c r="GK119" s="1681">
        <v>500</v>
      </c>
      <c r="GL119" s="1681">
        <v>500</v>
      </c>
      <c r="GM119" s="1681">
        <v>500</v>
      </c>
      <c r="GN119" s="1681">
        <v>500</v>
      </c>
      <c r="GO119" s="1681">
        <v>500</v>
      </c>
      <c r="GP119" s="1681">
        <v>500</v>
      </c>
      <c r="GQ119" s="1681">
        <v>500</v>
      </c>
      <c r="GR119" s="1681">
        <v>500</v>
      </c>
      <c r="GS119" s="1681">
        <v>500</v>
      </c>
      <c r="GT119" s="1681">
        <v>500</v>
      </c>
      <c r="GW119" s="1681">
        <v>500</v>
      </c>
      <c r="GX119" s="1681">
        <v>500</v>
      </c>
      <c r="GY119" s="1681">
        <v>500</v>
      </c>
      <c r="GZ119" s="1681">
        <v>500</v>
      </c>
      <c r="HA119" s="1681">
        <v>500</v>
      </c>
      <c r="HB119" s="1681">
        <v>500</v>
      </c>
      <c r="HC119" s="1681">
        <v>500</v>
      </c>
      <c r="HD119" s="1681">
        <v>500</v>
      </c>
      <c r="HE119" s="1681">
        <v>500</v>
      </c>
      <c r="HF119" s="1681">
        <v>500</v>
      </c>
      <c r="HG119" s="1681">
        <v>500</v>
      </c>
      <c r="HH119" s="1681">
        <v>500</v>
      </c>
      <c r="HI119" s="1681">
        <v>500</v>
      </c>
      <c r="HJ119" s="1681">
        <v>500</v>
      </c>
      <c r="HK119" s="1681">
        <v>500</v>
      </c>
      <c r="HL119" s="1681">
        <v>500</v>
      </c>
      <c r="HM119" s="1681">
        <v>500</v>
      </c>
      <c r="HN119" s="1681">
        <v>500</v>
      </c>
      <c r="HO119" s="1681">
        <v>500</v>
      </c>
      <c r="HP119" s="1681">
        <v>500</v>
      </c>
      <c r="HQ119" s="1681">
        <v>500</v>
      </c>
      <c r="HR119" s="1681">
        <v>500</v>
      </c>
      <c r="HU119" s="1681">
        <v>500</v>
      </c>
      <c r="HV119" s="1681">
        <v>500</v>
      </c>
      <c r="HW119" s="1681">
        <v>500</v>
      </c>
      <c r="HX119" s="1681">
        <v>500</v>
      </c>
      <c r="HY119" s="1681">
        <v>500</v>
      </c>
      <c r="HZ119" s="1681">
        <v>500</v>
      </c>
      <c r="IA119" s="1681">
        <v>500</v>
      </c>
      <c r="IB119" s="1681">
        <v>500</v>
      </c>
      <c r="IC119" s="1681">
        <v>500</v>
      </c>
      <c r="ID119" s="1681">
        <v>500</v>
      </c>
      <c r="IE119" s="1681">
        <v>500</v>
      </c>
      <c r="IF119" s="1681">
        <v>500</v>
      </c>
      <c r="IG119" s="1681">
        <v>500</v>
      </c>
      <c r="IH119" s="1681">
        <v>500</v>
      </c>
      <c r="II119" s="1681">
        <v>500</v>
      </c>
      <c r="IJ119" s="1681">
        <v>500</v>
      </c>
      <c r="IK119" s="1681">
        <v>500</v>
      </c>
      <c r="IL119" s="1681">
        <v>500</v>
      </c>
      <c r="IM119" s="1681">
        <v>500</v>
      </c>
      <c r="IN119" s="1681">
        <v>500</v>
      </c>
      <c r="IO119" s="1681">
        <v>500</v>
      </c>
      <c r="IP119" s="1681">
        <v>500</v>
      </c>
      <c r="IS119" s="1681">
        <v>500</v>
      </c>
      <c r="IT119" s="1681">
        <v>500</v>
      </c>
      <c r="IU119" s="1681">
        <v>500</v>
      </c>
      <c r="IV119" s="1681">
        <v>500</v>
      </c>
      <c r="IW119" s="1681">
        <v>500</v>
      </c>
      <c r="IX119" s="1681">
        <v>500</v>
      </c>
      <c r="IY119" s="1681">
        <v>500</v>
      </c>
      <c r="IZ119" s="1681">
        <v>500</v>
      </c>
      <c r="JA119" s="1681">
        <v>500</v>
      </c>
      <c r="JB119" s="1681">
        <v>500</v>
      </c>
      <c r="JC119" s="1681">
        <v>500</v>
      </c>
      <c r="JD119" s="1681">
        <v>500</v>
      </c>
      <c r="JE119" s="1681">
        <v>500</v>
      </c>
      <c r="JF119" s="1681">
        <v>500</v>
      </c>
      <c r="JG119" s="1681">
        <v>500</v>
      </c>
      <c r="JH119" s="1681">
        <v>500</v>
      </c>
      <c r="JK119" s="1681">
        <v>500</v>
      </c>
      <c r="JL119" s="1681">
        <v>500</v>
      </c>
      <c r="JM119" s="1681">
        <v>500</v>
      </c>
      <c r="JN119" s="1681">
        <v>500</v>
      </c>
      <c r="JO119" s="1681">
        <v>500</v>
      </c>
      <c r="JP119" s="1681">
        <v>500</v>
      </c>
      <c r="JQ119" s="1681">
        <v>500</v>
      </c>
      <c r="JR119" s="1681">
        <v>500</v>
      </c>
      <c r="JS119" s="1681">
        <v>500</v>
      </c>
      <c r="JT119" s="1681">
        <v>500</v>
      </c>
      <c r="JU119" s="1681">
        <v>500</v>
      </c>
      <c r="JV119" s="1681">
        <v>500</v>
      </c>
      <c r="JW119" s="1681">
        <v>500</v>
      </c>
      <c r="JX119" s="1681">
        <v>500</v>
      </c>
      <c r="JY119" s="1681">
        <v>500</v>
      </c>
      <c r="JZ119" s="1681">
        <v>500</v>
      </c>
      <c r="KA119" s="1681">
        <v>500</v>
      </c>
      <c r="KB119" s="1681">
        <v>500</v>
      </c>
      <c r="KC119" s="1681">
        <v>500</v>
      </c>
      <c r="KD119" s="1681">
        <v>500</v>
      </c>
      <c r="KE119" s="1681">
        <v>500</v>
      </c>
      <c r="KF119" s="1681">
        <v>500</v>
      </c>
      <c r="KI119" s="1681">
        <v>500</v>
      </c>
      <c r="KJ119" s="1681">
        <v>500</v>
      </c>
      <c r="KK119" s="1681">
        <v>500</v>
      </c>
      <c r="KL119" s="1681">
        <v>500</v>
      </c>
      <c r="KM119" s="1681">
        <v>500</v>
      </c>
      <c r="KN119" s="1681">
        <v>500</v>
      </c>
      <c r="KO119" s="1681">
        <v>500</v>
      </c>
      <c r="KP119" s="1681">
        <v>500</v>
      </c>
      <c r="KQ119" s="1681">
        <v>500</v>
      </c>
      <c r="KR119" s="1681">
        <v>500</v>
      </c>
      <c r="KS119" s="1681">
        <v>500</v>
      </c>
      <c r="KT119" s="1681">
        <v>500</v>
      </c>
      <c r="KU119" s="1681">
        <v>500</v>
      </c>
      <c r="KV119" s="1681">
        <v>500</v>
      </c>
      <c r="KW119" s="1681">
        <v>500</v>
      </c>
      <c r="KX119" s="1681">
        <v>500</v>
      </c>
      <c r="KY119" s="1681">
        <v>500</v>
      </c>
      <c r="KZ119" s="1681">
        <v>500</v>
      </c>
      <c r="LA119" s="1681">
        <v>500</v>
      </c>
      <c r="LB119" s="1681">
        <v>500</v>
      </c>
      <c r="LC119" s="1681">
        <v>500</v>
      </c>
      <c r="LD119" s="1681">
        <v>500</v>
      </c>
      <c r="LE119" s="336"/>
      <c r="LF119" s="336"/>
      <c r="LG119" s="336"/>
      <c r="LH119" s="336"/>
      <c r="LI119" s="336"/>
      <c r="LJ119" s="336"/>
      <c r="LK119" s="336"/>
      <c r="ADI119" s="1730"/>
      <c r="ADJ119" s="1730"/>
      <c r="AFC119" s="1687"/>
      <c r="AFD119" s="1687"/>
      <c r="AFE119" s="1687"/>
      <c r="AFF119" s="1687"/>
      <c r="AFG119" s="1687"/>
      <c r="AFH119" s="1687"/>
    </row>
    <row r="120" spans="1:840" s="336" customFormat="1" ht="41.25" customHeight="1">
      <c r="B120" s="2417"/>
      <c r="C120" s="2417"/>
      <c r="D120" s="1763" t="s">
        <v>342</v>
      </c>
      <c r="E120" s="1694"/>
      <c r="F120" s="2335" t="s">
        <v>917</v>
      </c>
      <c r="G120" s="2336"/>
      <c r="H120" s="2336"/>
      <c r="I120" s="2336"/>
      <c r="J120" s="2336"/>
      <c r="K120" s="2336"/>
      <c r="L120" s="2336"/>
      <c r="M120" s="2336"/>
      <c r="N120" s="2336"/>
      <c r="O120" s="2336"/>
      <c r="P120" s="2336"/>
      <c r="Q120" s="2336"/>
      <c r="R120" s="2336"/>
      <c r="S120" s="2336"/>
      <c r="T120" s="2336"/>
      <c r="U120" s="2337"/>
      <c r="EH120" s="2335" t="s">
        <v>415</v>
      </c>
      <c r="EI120" s="2336"/>
      <c r="EJ120" s="2336"/>
      <c r="EK120" s="2336"/>
      <c r="EL120" s="2336"/>
      <c r="EM120" s="2336"/>
      <c r="EN120" s="2336"/>
      <c r="EO120" s="2336"/>
      <c r="EP120" s="2336"/>
      <c r="EQ120" s="2336"/>
      <c r="ER120" s="2336"/>
      <c r="ES120" s="2336"/>
      <c r="ET120" s="2336"/>
      <c r="EU120" s="2336"/>
      <c r="EV120" s="2336"/>
      <c r="EW120" s="2337"/>
      <c r="EY120" s="2335" t="s">
        <v>443</v>
      </c>
      <c r="EZ120" s="2336"/>
      <c r="FA120" s="2336"/>
      <c r="FB120" s="2336"/>
      <c r="FC120" s="2336"/>
      <c r="FD120" s="2336"/>
      <c r="FE120" s="2336"/>
      <c r="FF120" s="2336"/>
      <c r="FG120" s="2336"/>
      <c r="FH120" s="2336"/>
      <c r="FI120" s="2336"/>
      <c r="FJ120" s="2336"/>
      <c r="FK120" s="2336"/>
      <c r="FL120" s="2336"/>
      <c r="FM120" s="2336"/>
      <c r="FN120" s="2337"/>
      <c r="QL120" s="340"/>
      <c r="QM120" s="340"/>
      <c r="QN120" s="340"/>
      <c r="QO120" s="340"/>
      <c r="QP120" s="340"/>
      <c r="QQ120" s="340"/>
    </row>
    <row r="121" spans="1:840" s="1674" customFormat="1" ht="41.25" customHeight="1">
      <c r="B121" s="2418"/>
      <c r="C121" s="2418"/>
      <c r="D121" s="1679"/>
      <c r="E121" s="1697" t="s">
        <v>873</v>
      </c>
      <c r="F121" s="1681">
        <v>500</v>
      </c>
      <c r="G121" s="1681">
        <v>500</v>
      </c>
      <c r="H121" s="1681">
        <v>500</v>
      </c>
      <c r="I121" s="1681">
        <v>500</v>
      </c>
      <c r="J121" s="1681">
        <v>500</v>
      </c>
      <c r="K121" s="1681">
        <v>500</v>
      </c>
      <c r="L121" s="1681">
        <v>500</v>
      </c>
      <c r="M121" s="1681">
        <v>500</v>
      </c>
      <c r="N121" s="1681">
        <v>500</v>
      </c>
      <c r="O121" s="1681">
        <v>500</v>
      </c>
      <c r="P121" s="1681">
        <v>500</v>
      </c>
      <c r="Q121" s="1681">
        <v>500</v>
      </c>
      <c r="R121" s="1681">
        <v>500</v>
      </c>
      <c r="S121" s="1681">
        <v>500</v>
      </c>
      <c r="T121" s="1681">
        <v>500</v>
      </c>
      <c r="U121" s="1681">
        <v>500</v>
      </c>
      <c r="BO121" s="336"/>
      <c r="BP121" s="336"/>
      <c r="BQ121" s="336"/>
      <c r="BR121" s="336"/>
      <c r="BS121" s="336"/>
      <c r="BT121" s="336"/>
      <c r="BU121" s="336"/>
      <c r="BV121" s="336"/>
      <c r="BW121" s="336"/>
      <c r="BX121" s="336"/>
      <c r="BY121" s="336"/>
      <c r="BZ121" s="336"/>
      <c r="CA121" s="336"/>
      <c r="CB121" s="336"/>
      <c r="CC121" s="336"/>
      <c r="CD121" s="336"/>
      <c r="CE121" s="336"/>
      <c r="CF121" s="336"/>
      <c r="CG121" s="336"/>
      <c r="CH121" s="336"/>
      <c r="CI121" s="336"/>
      <c r="CJ121" s="336"/>
      <c r="CK121" s="336"/>
      <c r="CL121" s="336"/>
      <c r="CM121" s="336"/>
      <c r="CN121" s="336"/>
      <c r="CO121" s="336"/>
      <c r="CP121" s="336"/>
      <c r="CQ121" s="336"/>
      <c r="CR121" s="336"/>
      <c r="CS121" s="336"/>
      <c r="CT121" s="336"/>
      <c r="CU121" s="336"/>
      <c r="CV121" s="336"/>
      <c r="CW121" s="336"/>
      <c r="CX121" s="336"/>
      <c r="CY121" s="336"/>
      <c r="CZ121" s="336"/>
      <c r="DA121" s="336"/>
      <c r="DB121" s="336"/>
      <c r="DC121" s="336"/>
      <c r="DD121" s="336"/>
      <c r="DE121" s="336"/>
      <c r="DF121" s="336"/>
      <c r="DG121" s="336"/>
      <c r="DH121" s="336"/>
      <c r="DI121" s="336"/>
      <c r="DJ121" s="336"/>
      <c r="DK121" s="336"/>
      <c r="DL121" s="336"/>
      <c r="DM121" s="336"/>
      <c r="DN121" s="336"/>
      <c r="DO121" s="336"/>
      <c r="DP121" s="336"/>
      <c r="DQ121" s="336"/>
      <c r="DR121" s="336"/>
      <c r="DS121" s="336"/>
      <c r="DT121" s="336"/>
      <c r="EH121" s="1681">
        <v>500</v>
      </c>
      <c r="EI121" s="1681">
        <v>500</v>
      </c>
      <c r="EJ121" s="1681">
        <v>500</v>
      </c>
      <c r="EK121" s="1681">
        <v>500</v>
      </c>
      <c r="EL121" s="1681">
        <v>500</v>
      </c>
      <c r="EM121" s="1681">
        <v>500</v>
      </c>
      <c r="EN121" s="1681">
        <v>500</v>
      </c>
      <c r="EO121" s="1681">
        <v>500</v>
      </c>
      <c r="EP121" s="1681">
        <v>500</v>
      </c>
      <c r="EQ121" s="1681">
        <v>500</v>
      </c>
      <c r="ER121" s="1681">
        <v>500</v>
      </c>
      <c r="ES121" s="1681">
        <v>500</v>
      </c>
      <c r="ET121" s="1681">
        <v>500</v>
      </c>
      <c r="EU121" s="1681">
        <v>500</v>
      </c>
      <c r="EV121" s="1681">
        <v>500</v>
      </c>
      <c r="EW121" s="1681">
        <v>500</v>
      </c>
      <c r="EY121" s="1681">
        <v>500</v>
      </c>
      <c r="EZ121" s="1681">
        <v>500</v>
      </c>
      <c r="FA121" s="1681">
        <v>500</v>
      </c>
      <c r="FB121" s="1681">
        <v>500</v>
      </c>
      <c r="FC121" s="1681">
        <v>500</v>
      </c>
      <c r="FD121" s="1681">
        <v>500</v>
      </c>
      <c r="FE121" s="1681">
        <v>500</v>
      </c>
      <c r="FF121" s="1681">
        <v>500</v>
      </c>
      <c r="FG121" s="1681">
        <v>500</v>
      </c>
      <c r="FH121" s="1681">
        <v>500</v>
      </c>
      <c r="FI121" s="1681">
        <v>500</v>
      </c>
      <c r="FJ121" s="1681">
        <v>500</v>
      </c>
      <c r="FK121" s="1681">
        <v>500</v>
      </c>
      <c r="FL121" s="1681">
        <v>500</v>
      </c>
      <c r="FM121" s="1681">
        <v>500</v>
      </c>
      <c r="FN121" s="1681">
        <v>500</v>
      </c>
      <c r="FO121" s="336"/>
      <c r="FP121" s="336"/>
      <c r="FQ121" s="336"/>
      <c r="FR121" s="336"/>
      <c r="FS121" s="336"/>
      <c r="FT121" s="336"/>
      <c r="FU121" s="336"/>
      <c r="FV121" s="336"/>
      <c r="FW121" s="336"/>
      <c r="FX121" s="336"/>
      <c r="FY121" s="336"/>
      <c r="FZ121" s="336"/>
      <c r="GA121" s="336"/>
      <c r="GB121" s="336"/>
      <c r="GC121" s="336"/>
      <c r="JZ121" s="336"/>
      <c r="KA121" s="336"/>
      <c r="KB121" s="336"/>
      <c r="KC121" s="336"/>
      <c r="KD121" s="336"/>
      <c r="KE121" s="336"/>
      <c r="KF121" s="336"/>
      <c r="KG121" s="336"/>
      <c r="KH121" s="336"/>
      <c r="KI121" s="336"/>
      <c r="KJ121" s="336"/>
      <c r="KK121" s="336"/>
      <c r="KL121" s="336"/>
      <c r="KM121" s="336"/>
      <c r="KN121" s="336"/>
      <c r="KO121" s="336"/>
      <c r="KP121" s="336"/>
      <c r="KQ121" s="336"/>
      <c r="KR121" s="336"/>
      <c r="KS121" s="336"/>
      <c r="KT121" s="336"/>
      <c r="KU121" s="336"/>
      <c r="KV121" s="336"/>
      <c r="KW121" s="336"/>
      <c r="KX121" s="336"/>
      <c r="KY121" s="336"/>
      <c r="KZ121" s="336"/>
      <c r="LA121" s="336"/>
      <c r="LB121" s="336"/>
      <c r="LC121" s="336"/>
      <c r="LD121" s="336"/>
      <c r="LE121" s="336"/>
      <c r="LF121" s="336"/>
      <c r="LG121" s="336"/>
      <c r="LH121" s="336"/>
      <c r="LI121" s="336"/>
      <c r="LJ121" s="336"/>
      <c r="LK121" s="336"/>
      <c r="LL121" s="336"/>
      <c r="LM121" s="336"/>
      <c r="LN121" s="336"/>
      <c r="LO121" s="336"/>
      <c r="QL121" s="1687"/>
      <c r="QM121" s="1687"/>
      <c r="QN121" s="1687"/>
      <c r="QO121" s="1687"/>
      <c r="QP121" s="1687"/>
      <c r="QQ121" s="1687"/>
    </row>
    <row r="122" spans="1:840" s="336" customFormat="1" ht="41.25" customHeight="1">
      <c r="B122" s="1647" t="s">
        <v>40</v>
      </c>
      <c r="C122" s="1647"/>
      <c r="D122" s="1647"/>
      <c r="E122" s="1694"/>
      <c r="F122" s="1631">
        <v>0</v>
      </c>
      <c r="G122" s="1640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1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6" customFormat="1" ht="44.25" customHeight="1">
      <c r="B123" s="2417">
        <v>44208</v>
      </c>
      <c r="C123" s="2417"/>
      <c r="D123" s="1763" t="s">
        <v>343</v>
      </c>
      <c r="E123" s="1694"/>
      <c r="F123" s="2314" t="s">
        <v>888</v>
      </c>
      <c r="G123" s="2315"/>
      <c r="H123" s="2315"/>
      <c r="I123" s="2315"/>
      <c r="J123" s="2315"/>
      <c r="K123" s="2315"/>
      <c r="L123" s="2315"/>
      <c r="M123" s="2315"/>
      <c r="N123" s="2315"/>
      <c r="O123" s="2315"/>
      <c r="P123" s="2315"/>
      <c r="Q123" s="2315"/>
      <c r="R123" s="2315"/>
      <c r="S123" s="2315"/>
      <c r="T123" s="2315"/>
      <c r="U123" s="2315"/>
      <c r="V123" s="2315"/>
      <c r="W123" s="2315"/>
      <c r="X123" s="2315"/>
      <c r="Y123" s="2315"/>
      <c r="Z123" s="2315"/>
      <c r="AA123" s="2315"/>
      <c r="AB123" s="2315"/>
      <c r="AC123" s="2315"/>
      <c r="AD123" s="2315"/>
      <c r="AE123" s="2315"/>
      <c r="AF123" s="2315"/>
      <c r="AG123" s="2315"/>
      <c r="AH123" s="2316"/>
      <c r="BN123" s="2335" t="s">
        <v>901</v>
      </c>
      <c r="BO123" s="2336"/>
      <c r="BP123" s="2336"/>
      <c r="BQ123" s="2336"/>
      <c r="BR123" s="2336"/>
      <c r="BS123" s="2336"/>
      <c r="BT123" s="2336"/>
      <c r="BU123" s="2336"/>
      <c r="DJ123" s="2314" t="s">
        <v>932</v>
      </c>
      <c r="DK123" s="2315"/>
      <c r="DL123" s="2315"/>
      <c r="DM123" s="2315"/>
      <c r="DN123" s="2315"/>
      <c r="DO123" s="2315"/>
      <c r="DP123" s="2315"/>
      <c r="DQ123" s="2315"/>
      <c r="DR123" s="2315"/>
      <c r="DS123" s="2315"/>
      <c r="DT123" s="2315"/>
      <c r="DU123" s="2315"/>
      <c r="DV123" s="2315"/>
      <c r="DW123" s="2315"/>
      <c r="DX123" s="2315"/>
      <c r="DY123" s="2316"/>
      <c r="EB123" s="2314" t="s">
        <v>923</v>
      </c>
      <c r="EC123" s="2315"/>
      <c r="ED123" s="2315"/>
      <c r="EE123" s="2315"/>
      <c r="EF123" s="2315"/>
      <c r="EG123" s="2315"/>
      <c r="EH123" s="2315"/>
      <c r="EI123" s="2315"/>
      <c r="EJ123" s="2315"/>
      <c r="EK123" s="2315"/>
      <c r="EL123" s="2315"/>
      <c r="EM123" s="2315"/>
      <c r="EN123" s="2315"/>
      <c r="EO123" s="2315"/>
      <c r="EP123" s="2315"/>
      <c r="EQ123" s="2316"/>
      <c r="GD123" s="2314" t="s">
        <v>344</v>
      </c>
      <c r="GE123" s="2315"/>
      <c r="GF123" s="2315"/>
      <c r="GG123" s="2315"/>
      <c r="GH123" s="2315"/>
      <c r="GI123" s="2315"/>
      <c r="GJ123" s="2315"/>
      <c r="GK123" s="2315"/>
      <c r="GL123" s="2315"/>
      <c r="GM123" s="2315"/>
      <c r="GN123" s="2315"/>
      <c r="GO123" s="2315"/>
      <c r="GP123" s="2315"/>
      <c r="GQ123" s="2315"/>
      <c r="GR123" s="2315"/>
      <c r="GS123" s="2315"/>
      <c r="GT123" s="2316"/>
      <c r="GW123" s="2314" t="s">
        <v>886</v>
      </c>
      <c r="GX123" s="2315"/>
      <c r="GY123" s="2315"/>
      <c r="GZ123" s="2315"/>
      <c r="HA123" s="2315"/>
      <c r="HB123" s="2315"/>
      <c r="HC123" s="2315"/>
      <c r="HD123" s="2315"/>
      <c r="HE123" s="2315"/>
      <c r="HF123" s="2315"/>
      <c r="HG123" s="2315"/>
      <c r="HH123" s="2315"/>
      <c r="HI123" s="2315"/>
      <c r="HJ123" s="2315"/>
      <c r="HK123" s="2315"/>
      <c r="HL123" s="2316"/>
      <c r="HO123" s="2314" t="s">
        <v>887</v>
      </c>
      <c r="HP123" s="2315"/>
      <c r="HQ123" s="2315"/>
      <c r="HR123" s="2315"/>
      <c r="HS123" s="2315"/>
      <c r="HT123" s="2315"/>
      <c r="HU123" s="2315"/>
      <c r="HV123" s="2315"/>
      <c r="HW123" s="2315"/>
      <c r="HX123" s="2315"/>
      <c r="HY123" s="2315"/>
      <c r="HZ123" s="2315"/>
      <c r="IA123" s="2315"/>
      <c r="IB123" s="2315"/>
      <c r="IC123" s="2315"/>
      <c r="ID123" s="2316"/>
      <c r="IG123" s="2314" t="s">
        <v>752</v>
      </c>
      <c r="IH123" s="2315"/>
      <c r="II123" s="2315"/>
      <c r="IJ123" s="2315"/>
      <c r="IK123" s="2315"/>
      <c r="IL123" s="2315"/>
      <c r="IM123" s="2315"/>
      <c r="IN123" s="2315"/>
      <c r="IO123" s="2315"/>
      <c r="IP123" s="2315"/>
      <c r="IQ123" s="2315"/>
      <c r="IR123" s="2315"/>
      <c r="IS123" s="2315"/>
      <c r="IT123" s="2315"/>
      <c r="IU123" s="2315"/>
      <c r="IV123" s="2315"/>
      <c r="IW123" s="2315"/>
      <c r="IX123" s="2315"/>
      <c r="IY123" s="2315"/>
      <c r="IZ123" s="2315"/>
      <c r="JA123" s="2315"/>
      <c r="JB123" s="2315"/>
      <c r="JC123" s="2315"/>
      <c r="JD123" s="2315"/>
      <c r="JE123" s="2315"/>
      <c r="JF123" s="2315"/>
      <c r="JG123" s="2315"/>
      <c r="JH123" s="2315"/>
      <c r="JI123" s="2316"/>
      <c r="JL123" s="2314" t="s">
        <v>933</v>
      </c>
      <c r="JM123" s="2315"/>
      <c r="JN123" s="2315"/>
      <c r="JO123" s="2315"/>
      <c r="JP123" s="2315"/>
      <c r="JQ123" s="2315"/>
      <c r="JR123" s="2315"/>
      <c r="JS123" s="2315"/>
      <c r="JT123" s="2315"/>
      <c r="JU123" s="2315"/>
      <c r="JV123" s="2315"/>
      <c r="JW123" s="2315"/>
      <c r="JX123" s="2315"/>
      <c r="JY123" s="2315"/>
      <c r="JZ123" s="2315"/>
      <c r="KA123" s="2315"/>
      <c r="KB123" s="2316"/>
      <c r="KE123" s="2335" t="s">
        <v>901</v>
      </c>
      <c r="KF123" s="2336"/>
      <c r="KG123" s="2336"/>
      <c r="KH123" s="2336"/>
      <c r="KI123" s="2336"/>
      <c r="KJ123" s="2336"/>
      <c r="KK123" s="2336"/>
      <c r="KL123" s="2336"/>
      <c r="KO123" s="2314" t="s">
        <v>888</v>
      </c>
      <c r="KP123" s="2315"/>
      <c r="KQ123" s="2315"/>
      <c r="KR123" s="2315"/>
      <c r="KS123" s="2315"/>
      <c r="KT123" s="2315"/>
      <c r="KU123" s="2315"/>
      <c r="KV123" s="2315"/>
      <c r="KW123" s="2315"/>
      <c r="KX123" s="2315"/>
      <c r="KY123" s="2315"/>
      <c r="KZ123" s="2315"/>
      <c r="LA123" s="2315"/>
      <c r="LB123" s="2315"/>
      <c r="LC123" s="2315"/>
      <c r="LD123" s="2315"/>
      <c r="LE123" s="2315"/>
      <c r="LF123" s="2315"/>
      <c r="LG123" s="2315"/>
      <c r="LH123" s="2315"/>
      <c r="LI123" s="2315"/>
      <c r="LJ123" s="2315"/>
      <c r="LK123" s="2315"/>
      <c r="LL123" s="2315"/>
      <c r="LM123" s="2315"/>
      <c r="LN123" s="2315"/>
      <c r="LO123" s="2315"/>
      <c r="LP123" s="2315"/>
      <c r="LQ123" s="2316"/>
      <c r="LT123" s="2314" t="s">
        <v>345</v>
      </c>
      <c r="LU123" s="2315"/>
      <c r="LV123" s="2315"/>
      <c r="LW123" s="2315"/>
      <c r="LX123" s="2315"/>
      <c r="LY123" s="2315"/>
      <c r="LZ123" s="2315"/>
      <c r="MA123" s="2315"/>
      <c r="MB123" s="2315"/>
      <c r="MC123" s="2315"/>
      <c r="MD123" s="2315"/>
      <c r="ME123" s="2315"/>
      <c r="MF123" s="2315"/>
      <c r="MG123" s="2315"/>
      <c r="MH123" s="2315"/>
      <c r="MI123" s="2315"/>
      <c r="MJ123" s="2316"/>
      <c r="MM123" s="2314" t="s">
        <v>346</v>
      </c>
      <c r="MN123" s="2315"/>
      <c r="MO123" s="2315"/>
      <c r="MP123" s="2315"/>
      <c r="MQ123" s="2315"/>
      <c r="MR123" s="2315"/>
      <c r="MS123" s="2315"/>
      <c r="MT123" s="2315"/>
      <c r="MU123" s="2315"/>
      <c r="MV123" s="2315"/>
      <c r="MW123" s="2315"/>
      <c r="MX123" s="2315"/>
      <c r="MY123" s="2315"/>
      <c r="MZ123" s="2315"/>
      <c r="NA123" s="2315"/>
      <c r="NB123" s="2315"/>
      <c r="NC123" s="2316"/>
      <c r="NF123" s="2314" t="s">
        <v>899</v>
      </c>
      <c r="NG123" s="2315"/>
      <c r="NH123" s="2315"/>
      <c r="NI123" s="2315"/>
      <c r="NJ123" s="2315"/>
      <c r="NK123" s="2315"/>
      <c r="NL123" s="2315"/>
      <c r="NM123" s="2315"/>
      <c r="NN123" s="2315"/>
      <c r="NO123" s="2315"/>
      <c r="NP123" s="2315"/>
      <c r="NQ123" s="2315"/>
      <c r="NR123" s="2315"/>
      <c r="NS123" s="2315"/>
      <c r="NT123" s="2315"/>
      <c r="NU123" s="2316"/>
      <c r="TY123" s="340"/>
      <c r="TZ123" s="340"/>
      <c r="UA123" s="340"/>
      <c r="UB123" s="340"/>
      <c r="UC123" s="340"/>
      <c r="UD123" s="340"/>
      <c r="UE123" s="340"/>
      <c r="UF123" s="340"/>
      <c r="UG123" s="340"/>
      <c r="UH123" s="340"/>
      <c r="UI123" s="340"/>
      <c r="UJ123" s="340"/>
      <c r="UK123" s="340"/>
      <c r="UL123" s="340"/>
      <c r="UM123" s="340"/>
      <c r="UN123" s="340"/>
      <c r="UO123" s="340"/>
      <c r="UP123" s="340"/>
    </row>
    <row r="124" spans="1:840" s="1674" customFormat="1" ht="44.25" customHeight="1">
      <c r="B124" s="2418"/>
      <c r="C124" s="2418"/>
      <c r="D124" s="1679"/>
      <c r="E124" s="1697" t="s">
        <v>873</v>
      </c>
      <c r="F124" s="1681">
        <v>500</v>
      </c>
      <c r="G124" s="1681">
        <v>500</v>
      </c>
      <c r="H124" s="1681">
        <v>500</v>
      </c>
      <c r="I124" s="1681">
        <v>500</v>
      </c>
      <c r="J124" s="1681">
        <v>500</v>
      </c>
      <c r="K124" s="1681">
        <v>500</v>
      </c>
      <c r="L124" s="1681">
        <v>500</v>
      </c>
      <c r="M124" s="1681">
        <v>500</v>
      </c>
      <c r="N124" s="1681">
        <v>500</v>
      </c>
      <c r="O124" s="1681">
        <v>500</v>
      </c>
      <c r="P124" s="1681">
        <v>500</v>
      </c>
      <c r="Q124" s="1681">
        <v>500</v>
      </c>
      <c r="R124" s="1681">
        <v>500</v>
      </c>
      <c r="S124" s="1681">
        <v>500</v>
      </c>
      <c r="T124" s="1681">
        <v>500</v>
      </c>
      <c r="U124" s="1681">
        <v>500</v>
      </c>
      <c r="V124" s="1681">
        <v>500</v>
      </c>
      <c r="W124" s="1681">
        <v>500</v>
      </c>
      <c r="X124" s="1681">
        <v>500</v>
      </c>
      <c r="Y124" s="1681">
        <v>500</v>
      </c>
      <c r="Z124" s="1681">
        <v>500</v>
      </c>
      <c r="AA124" s="1681">
        <v>500</v>
      </c>
      <c r="AB124" s="1681">
        <v>500</v>
      </c>
      <c r="AC124" s="1681">
        <v>500</v>
      </c>
      <c r="AD124" s="1681">
        <v>500</v>
      </c>
      <c r="AE124" s="1681">
        <v>500</v>
      </c>
      <c r="AF124" s="1681">
        <v>500</v>
      </c>
      <c r="AG124" s="1681">
        <v>500</v>
      </c>
      <c r="AH124" s="1681">
        <v>500</v>
      </c>
      <c r="BB124" s="336"/>
      <c r="BC124" s="336"/>
      <c r="BD124" s="336"/>
      <c r="BE124" s="336"/>
      <c r="BF124" s="336"/>
      <c r="BG124" s="336"/>
      <c r="BH124" s="336"/>
      <c r="BI124" s="336"/>
      <c r="BJ124" s="336"/>
      <c r="BK124" s="336"/>
      <c r="BL124" s="336"/>
      <c r="BM124" s="336"/>
      <c r="BN124" s="1681">
        <v>500</v>
      </c>
      <c r="BO124" s="1681">
        <v>500</v>
      </c>
      <c r="BP124" s="1681">
        <v>500</v>
      </c>
      <c r="BQ124" s="1681">
        <v>500</v>
      </c>
      <c r="BR124" s="1681">
        <v>500</v>
      </c>
      <c r="BS124" s="1681">
        <v>500</v>
      </c>
      <c r="BT124" s="1681">
        <v>500</v>
      </c>
      <c r="BU124" s="1681">
        <v>500</v>
      </c>
      <c r="BW124" s="336"/>
      <c r="BX124" s="336"/>
      <c r="BY124" s="336"/>
      <c r="BZ124" s="336"/>
      <c r="CA124" s="336"/>
      <c r="CB124" s="336"/>
      <c r="CC124" s="336"/>
      <c r="CD124" s="336"/>
      <c r="CE124" s="336"/>
      <c r="CF124" s="336"/>
      <c r="CG124" s="336"/>
      <c r="CH124" s="336"/>
      <c r="CI124" s="336"/>
      <c r="DJ124" s="1681">
        <v>500</v>
      </c>
      <c r="DK124" s="1681">
        <v>500</v>
      </c>
      <c r="DL124" s="1681">
        <v>500</v>
      </c>
      <c r="DM124" s="1681">
        <v>500</v>
      </c>
      <c r="DN124" s="1681">
        <v>500</v>
      </c>
      <c r="DO124" s="1681">
        <v>500</v>
      </c>
      <c r="DP124" s="1681">
        <v>500</v>
      </c>
      <c r="DQ124" s="1681">
        <v>500</v>
      </c>
      <c r="DR124" s="1681">
        <v>500</v>
      </c>
      <c r="DS124" s="1681">
        <v>500</v>
      </c>
      <c r="DT124" s="1681">
        <v>500</v>
      </c>
      <c r="DU124" s="1681">
        <v>500</v>
      </c>
      <c r="DV124" s="1681">
        <v>500</v>
      </c>
      <c r="DW124" s="1681">
        <v>500</v>
      </c>
      <c r="DX124" s="1681">
        <v>500</v>
      </c>
      <c r="DY124" s="1681">
        <v>500</v>
      </c>
      <c r="DZ124" s="336"/>
      <c r="EA124" s="336"/>
      <c r="EB124" s="1681">
        <v>500</v>
      </c>
      <c r="EC124" s="1681">
        <v>500</v>
      </c>
      <c r="ED124" s="1681">
        <v>500</v>
      </c>
      <c r="EE124" s="1681">
        <v>500</v>
      </c>
      <c r="EF124" s="1681">
        <v>500</v>
      </c>
      <c r="EG124" s="1681">
        <v>500</v>
      </c>
      <c r="EH124" s="1681">
        <v>500</v>
      </c>
      <c r="EI124" s="1681">
        <v>500</v>
      </c>
      <c r="EJ124" s="1681">
        <v>500</v>
      </c>
      <c r="EK124" s="1681">
        <v>500</v>
      </c>
      <c r="EL124" s="1681">
        <v>500</v>
      </c>
      <c r="EM124" s="1681">
        <v>500</v>
      </c>
      <c r="EN124" s="1681">
        <v>500</v>
      </c>
      <c r="EO124" s="1681">
        <v>500</v>
      </c>
      <c r="EP124" s="1681">
        <v>500</v>
      </c>
      <c r="EQ124" s="1681">
        <v>500</v>
      </c>
      <c r="EV124" s="336"/>
      <c r="EW124" s="336"/>
      <c r="EX124" s="336"/>
      <c r="EY124" s="336"/>
      <c r="EZ124" s="336"/>
      <c r="FA124" s="336"/>
      <c r="FB124" s="336"/>
      <c r="FC124" s="336"/>
      <c r="FD124" s="336"/>
      <c r="FE124" s="336"/>
      <c r="FF124" s="336"/>
      <c r="FG124" s="336"/>
      <c r="FH124" s="336"/>
      <c r="FI124" s="336"/>
      <c r="FJ124" s="336"/>
      <c r="FK124" s="336"/>
      <c r="FL124" s="336"/>
      <c r="GD124" s="1680">
        <v>500</v>
      </c>
      <c r="GE124" s="1681">
        <v>500</v>
      </c>
      <c r="GF124" s="1681">
        <v>500</v>
      </c>
      <c r="GG124" s="1681">
        <v>500</v>
      </c>
      <c r="GH124" s="1681">
        <v>500</v>
      </c>
      <c r="GI124" s="1681">
        <v>500</v>
      </c>
      <c r="GJ124" s="1681">
        <v>500</v>
      </c>
      <c r="GK124" s="1681">
        <v>500</v>
      </c>
      <c r="GL124" s="1681">
        <v>500</v>
      </c>
      <c r="GM124" s="1681">
        <v>500</v>
      </c>
      <c r="GN124" s="1681">
        <v>500</v>
      </c>
      <c r="GO124" s="1681">
        <v>500</v>
      </c>
      <c r="GP124" s="1681">
        <v>500</v>
      </c>
      <c r="GQ124" s="1681">
        <v>500</v>
      </c>
      <c r="GR124" s="1681">
        <v>500</v>
      </c>
      <c r="GS124" s="1681">
        <v>500</v>
      </c>
      <c r="GT124" s="1682">
        <v>500</v>
      </c>
      <c r="GW124" s="1681">
        <v>500</v>
      </c>
      <c r="GX124" s="1681">
        <v>500</v>
      </c>
      <c r="GY124" s="1681">
        <v>500</v>
      </c>
      <c r="GZ124" s="1681">
        <v>500</v>
      </c>
      <c r="HA124" s="1681">
        <v>500</v>
      </c>
      <c r="HB124" s="1681">
        <v>500</v>
      </c>
      <c r="HC124" s="1681">
        <v>500</v>
      </c>
      <c r="HD124" s="1681">
        <v>500</v>
      </c>
      <c r="HE124" s="1681">
        <v>500</v>
      </c>
      <c r="HF124" s="1681">
        <v>500</v>
      </c>
      <c r="HG124" s="1681">
        <v>500</v>
      </c>
      <c r="HH124" s="1681">
        <v>500</v>
      </c>
      <c r="HI124" s="1681">
        <v>500</v>
      </c>
      <c r="HJ124" s="1681">
        <v>500</v>
      </c>
      <c r="HK124" s="1681">
        <v>500</v>
      </c>
      <c r="HL124" s="1681">
        <v>500</v>
      </c>
      <c r="HO124" s="1681">
        <v>500</v>
      </c>
      <c r="HP124" s="1681">
        <v>500</v>
      </c>
      <c r="HQ124" s="1681">
        <v>500</v>
      </c>
      <c r="HR124" s="1681">
        <v>500</v>
      </c>
      <c r="HS124" s="1681">
        <v>500</v>
      </c>
      <c r="HT124" s="1681">
        <v>500</v>
      </c>
      <c r="HU124" s="1681">
        <v>500</v>
      </c>
      <c r="HV124" s="1681">
        <v>500</v>
      </c>
      <c r="HW124" s="1681">
        <v>500</v>
      </c>
      <c r="HX124" s="1681">
        <v>500</v>
      </c>
      <c r="HY124" s="1681">
        <v>500</v>
      </c>
      <c r="HZ124" s="1681">
        <v>500</v>
      </c>
      <c r="IA124" s="1681">
        <v>500</v>
      </c>
      <c r="IB124" s="1681">
        <v>500</v>
      </c>
      <c r="IC124" s="1681">
        <v>500</v>
      </c>
      <c r="ID124" s="1681">
        <v>500</v>
      </c>
      <c r="IG124" s="1681">
        <v>500</v>
      </c>
      <c r="IH124" s="1681">
        <v>500</v>
      </c>
      <c r="II124" s="1681">
        <v>500</v>
      </c>
      <c r="IJ124" s="1681">
        <v>500</v>
      </c>
      <c r="IK124" s="1681">
        <v>500</v>
      </c>
      <c r="IL124" s="1681">
        <v>500</v>
      </c>
      <c r="IM124" s="1681">
        <v>500</v>
      </c>
      <c r="IN124" s="1681">
        <v>500</v>
      </c>
      <c r="IO124" s="1681">
        <v>500</v>
      </c>
      <c r="IP124" s="1681">
        <v>500</v>
      </c>
      <c r="IQ124" s="1681">
        <v>500</v>
      </c>
      <c r="IR124" s="1681">
        <v>500</v>
      </c>
      <c r="IS124" s="1681">
        <v>500</v>
      </c>
      <c r="IT124" s="1681">
        <v>500</v>
      </c>
      <c r="IU124" s="1681">
        <v>500</v>
      </c>
      <c r="IV124" s="1681">
        <v>500</v>
      </c>
      <c r="IW124" s="1681">
        <v>500</v>
      </c>
      <c r="IX124" s="1681">
        <v>500</v>
      </c>
      <c r="IY124" s="1681">
        <v>500</v>
      </c>
      <c r="IZ124" s="1681">
        <v>500</v>
      </c>
      <c r="JA124" s="1681">
        <v>500</v>
      </c>
      <c r="JB124" s="1681">
        <v>500</v>
      </c>
      <c r="JC124" s="1681">
        <v>500</v>
      </c>
      <c r="JD124" s="1681">
        <v>500</v>
      </c>
      <c r="JE124" s="1681">
        <v>500</v>
      </c>
      <c r="JF124" s="1681">
        <v>500</v>
      </c>
      <c r="JG124" s="1681">
        <v>500</v>
      </c>
      <c r="JH124" s="1681">
        <v>500</v>
      </c>
      <c r="JI124" s="1681">
        <v>500</v>
      </c>
      <c r="JL124" s="1681">
        <v>500</v>
      </c>
      <c r="JM124" s="1681">
        <v>500</v>
      </c>
      <c r="JN124" s="1681">
        <v>500</v>
      </c>
      <c r="JO124" s="1681">
        <v>500</v>
      </c>
      <c r="JP124" s="1681">
        <v>500</v>
      </c>
      <c r="JQ124" s="1681">
        <v>500</v>
      </c>
      <c r="JR124" s="1681">
        <v>500</v>
      </c>
      <c r="JS124" s="1681">
        <v>500</v>
      </c>
      <c r="JT124" s="1681">
        <v>500</v>
      </c>
      <c r="JU124" s="1681">
        <v>500</v>
      </c>
      <c r="JV124" s="1681">
        <v>500</v>
      </c>
      <c r="JW124" s="1681">
        <v>500</v>
      </c>
      <c r="JX124" s="1681">
        <v>500</v>
      </c>
      <c r="JY124" s="1681">
        <v>500</v>
      </c>
      <c r="JZ124" s="1681">
        <v>500</v>
      </c>
      <c r="KA124" s="1681">
        <v>500</v>
      </c>
      <c r="KB124" s="1681">
        <v>500</v>
      </c>
      <c r="KE124" s="1681">
        <v>500</v>
      </c>
      <c r="KF124" s="1681">
        <v>500</v>
      </c>
      <c r="KG124" s="1681">
        <v>500</v>
      </c>
      <c r="KH124" s="1681">
        <v>500</v>
      </c>
      <c r="KI124" s="1681">
        <v>500</v>
      </c>
      <c r="KJ124" s="1681">
        <v>500</v>
      </c>
      <c r="KK124" s="1681">
        <v>500</v>
      </c>
      <c r="KL124" s="1681">
        <v>500</v>
      </c>
      <c r="KO124" s="1681">
        <v>500</v>
      </c>
      <c r="KP124" s="1681">
        <v>500</v>
      </c>
      <c r="KQ124" s="1681">
        <v>500</v>
      </c>
      <c r="KR124" s="1681">
        <v>500</v>
      </c>
      <c r="KS124" s="1681">
        <v>500</v>
      </c>
      <c r="KT124" s="1681">
        <v>500</v>
      </c>
      <c r="KU124" s="1681">
        <v>500</v>
      </c>
      <c r="KV124" s="1681">
        <v>500</v>
      </c>
      <c r="KW124" s="1681">
        <v>500</v>
      </c>
      <c r="KX124" s="1681">
        <v>500</v>
      </c>
      <c r="KY124" s="1681">
        <v>500</v>
      </c>
      <c r="KZ124" s="1681">
        <v>500</v>
      </c>
      <c r="LA124" s="1681">
        <v>500</v>
      </c>
      <c r="LB124" s="1681">
        <v>500</v>
      </c>
      <c r="LC124" s="1681">
        <v>500</v>
      </c>
      <c r="LD124" s="1681">
        <v>500</v>
      </c>
      <c r="LE124" s="1681">
        <v>500</v>
      </c>
      <c r="LF124" s="1681">
        <v>500</v>
      </c>
      <c r="LG124" s="1681">
        <v>500</v>
      </c>
      <c r="LH124" s="1681">
        <v>500</v>
      </c>
      <c r="LI124" s="1681">
        <v>500</v>
      </c>
      <c r="LJ124" s="1681">
        <v>500</v>
      </c>
      <c r="LK124" s="1681">
        <v>500</v>
      </c>
      <c r="LL124" s="1681">
        <v>500</v>
      </c>
      <c r="LM124" s="1681">
        <v>500</v>
      </c>
      <c r="LN124" s="1681">
        <v>500</v>
      </c>
      <c r="LO124" s="1681">
        <v>500</v>
      </c>
      <c r="LP124" s="1681">
        <v>500</v>
      </c>
      <c r="LQ124" s="1681">
        <v>500</v>
      </c>
      <c r="LT124" s="1681">
        <v>500</v>
      </c>
      <c r="LU124" s="1681">
        <v>500</v>
      </c>
      <c r="LV124" s="1681">
        <v>500</v>
      </c>
      <c r="LW124" s="1681">
        <v>500</v>
      </c>
      <c r="LX124" s="1681">
        <v>500</v>
      </c>
      <c r="LY124" s="1681">
        <v>500</v>
      </c>
      <c r="LZ124" s="1681">
        <v>500</v>
      </c>
      <c r="MA124" s="1681">
        <v>500</v>
      </c>
      <c r="MB124" s="1681">
        <v>500</v>
      </c>
      <c r="MC124" s="1681">
        <v>500</v>
      </c>
      <c r="MD124" s="1681">
        <v>500</v>
      </c>
      <c r="ME124" s="1681">
        <v>500</v>
      </c>
      <c r="MF124" s="1681">
        <v>500</v>
      </c>
      <c r="MG124" s="1681">
        <v>500</v>
      </c>
      <c r="MH124" s="1681">
        <v>500</v>
      </c>
      <c r="MI124" s="1681">
        <v>500</v>
      </c>
      <c r="MJ124" s="1681">
        <v>500</v>
      </c>
      <c r="MM124" s="1681">
        <v>500</v>
      </c>
      <c r="MN124" s="1681">
        <v>500</v>
      </c>
      <c r="MO124" s="1681">
        <v>500</v>
      </c>
      <c r="MP124" s="1681">
        <v>500</v>
      </c>
      <c r="MQ124" s="1681">
        <v>500</v>
      </c>
      <c r="MR124" s="1681">
        <v>500</v>
      </c>
      <c r="MS124" s="1681">
        <v>500</v>
      </c>
      <c r="MT124" s="1681">
        <v>500</v>
      </c>
      <c r="MU124" s="1681">
        <v>500</v>
      </c>
      <c r="MV124" s="1681">
        <v>500</v>
      </c>
      <c r="MW124" s="1681">
        <v>500</v>
      </c>
      <c r="MX124" s="1681">
        <v>500</v>
      </c>
      <c r="MY124" s="1681">
        <v>500</v>
      </c>
      <c r="MZ124" s="1681">
        <v>500</v>
      </c>
      <c r="NA124" s="1681">
        <v>500</v>
      </c>
      <c r="NB124" s="1681">
        <v>500</v>
      </c>
      <c r="NC124" s="1681">
        <v>500</v>
      </c>
      <c r="NF124" s="1681">
        <v>500</v>
      </c>
      <c r="NG124" s="1681">
        <v>500</v>
      </c>
      <c r="NH124" s="1681">
        <v>500</v>
      </c>
      <c r="NI124" s="1681">
        <v>500</v>
      </c>
      <c r="NJ124" s="1681">
        <v>500</v>
      </c>
      <c r="NK124" s="1681">
        <v>500</v>
      </c>
      <c r="NL124" s="1681">
        <v>500</v>
      </c>
      <c r="NM124" s="1681">
        <v>500</v>
      </c>
      <c r="NN124" s="1681">
        <v>500</v>
      </c>
      <c r="NO124" s="1681">
        <v>500</v>
      </c>
      <c r="NP124" s="1681">
        <v>500</v>
      </c>
      <c r="NQ124" s="1681">
        <v>500</v>
      </c>
      <c r="NR124" s="1681">
        <v>500</v>
      </c>
      <c r="NS124" s="1681">
        <v>500</v>
      </c>
      <c r="NT124" s="1681">
        <v>500</v>
      </c>
      <c r="NU124" s="1681">
        <v>500</v>
      </c>
      <c r="OX124" s="336"/>
      <c r="OY124" s="336"/>
      <c r="OZ124" s="336"/>
      <c r="PA124" s="336"/>
      <c r="PB124" s="336"/>
      <c r="PC124" s="336"/>
      <c r="PD124" s="336"/>
      <c r="PE124" s="336"/>
      <c r="PF124" s="336"/>
      <c r="PG124" s="336"/>
      <c r="PH124" s="336"/>
      <c r="PI124" s="336"/>
      <c r="PJ124" s="336"/>
      <c r="PK124" s="336"/>
      <c r="PL124" s="336"/>
      <c r="PM124" s="336"/>
      <c r="PN124" s="336"/>
      <c r="PO124" s="336"/>
      <c r="PP124" s="336"/>
      <c r="PQ124" s="336"/>
      <c r="PR124" s="336"/>
      <c r="PS124" s="336"/>
      <c r="PT124" s="336"/>
      <c r="PU124" s="336"/>
      <c r="PV124" s="336"/>
      <c r="PW124" s="336"/>
      <c r="PX124" s="336"/>
      <c r="PY124" s="336"/>
      <c r="PZ124" s="336"/>
      <c r="QA124" s="336"/>
      <c r="QB124" s="336"/>
      <c r="QC124" s="336"/>
      <c r="QD124" s="336"/>
      <c r="QE124" s="336"/>
      <c r="QF124" s="336"/>
      <c r="QG124" s="336"/>
      <c r="QH124" s="336"/>
      <c r="QI124" s="336"/>
      <c r="QJ124" s="336"/>
      <c r="QK124" s="336"/>
      <c r="QL124" s="336"/>
      <c r="QM124" s="336"/>
      <c r="QN124" s="336"/>
      <c r="QO124" s="336"/>
      <c r="QP124" s="336"/>
      <c r="QQ124" s="336"/>
      <c r="QR124" s="336"/>
      <c r="QS124" s="336"/>
      <c r="QT124" s="336"/>
      <c r="QU124" s="336"/>
      <c r="QV124" s="336"/>
      <c r="QW124" s="336"/>
      <c r="QX124" s="336"/>
      <c r="QY124" s="336"/>
      <c r="QZ124" s="336"/>
      <c r="RA124" s="336"/>
      <c r="RB124" s="336"/>
      <c r="RC124" s="336"/>
      <c r="RD124" s="336"/>
      <c r="RE124" s="336"/>
      <c r="RF124" s="336"/>
      <c r="TY124" s="1687"/>
      <c r="TZ124" s="1687"/>
      <c r="UA124" s="1687"/>
      <c r="UB124" s="1687"/>
      <c r="UC124" s="1687"/>
      <c r="UD124" s="1687"/>
      <c r="UE124" s="1687"/>
      <c r="UF124" s="1687"/>
      <c r="UG124" s="1687"/>
      <c r="UH124" s="1687"/>
      <c r="UI124" s="1687"/>
      <c r="UJ124" s="1687"/>
      <c r="UK124" s="1687"/>
      <c r="UL124" s="1687"/>
      <c r="UM124" s="1687"/>
      <c r="UN124" s="1687"/>
      <c r="UO124" s="1687"/>
      <c r="UP124" s="1687"/>
    </row>
    <row r="125" spans="1:840" s="336" customFormat="1" ht="45" customHeight="1">
      <c r="B125" s="2417"/>
      <c r="C125" s="2417"/>
      <c r="D125" s="1763" t="s">
        <v>347</v>
      </c>
      <c r="E125" s="1694"/>
      <c r="F125" s="2314" t="s">
        <v>349</v>
      </c>
      <c r="G125" s="2315"/>
      <c r="H125" s="2315"/>
      <c r="I125" s="2315"/>
      <c r="J125" s="2315"/>
      <c r="K125" s="2315"/>
      <c r="L125" s="2315"/>
      <c r="M125" s="2315"/>
      <c r="N125" s="2315"/>
      <c r="O125" s="2315"/>
      <c r="P125" s="2315"/>
      <c r="Q125" s="2315"/>
      <c r="R125" s="2315"/>
      <c r="S125" s="2315"/>
      <c r="T125" s="2315"/>
      <c r="U125" s="2315"/>
      <c r="V125" s="2315"/>
      <c r="W125" s="2315"/>
      <c r="X125" s="2315"/>
      <c r="Y125" s="2315"/>
      <c r="Z125" s="2315"/>
      <c r="AA125" s="2315"/>
      <c r="AB125" s="2315"/>
      <c r="AC125" s="2315"/>
      <c r="AD125" s="2315"/>
      <c r="AE125" s="2315"/>
      <c r="AF125" s="2315"/>
      <c r="AG125" s="2315"/>
      <c r="AH125" s="2315"/>
      <c r="AI125" s="2315"/>
      <c r="AJ125" s="2315"/>
      <c r="AK125" s="2316"/>
      <c r="AN125" s="2314" t="s">
        <v>930</v>
      </c>
      <c r="AO125" s="2315"/>
      <c r="AP125" s="2315"/>
      <c r="AQ125" s="2315"/>
      <c r="AR125" s="2315"/>
      <c r="AS125" s="2315"/>
      <c r="AT125" s="2315"/>
      <c r="AU125" s="2315"/>
      <c r="AV125" s="2315"/>
      <c r="AW125" s="2315"/>
      <c r="AX125" s="2315"/>
      <c r="AY125" s="2315"/>
      <c r="AZ125" s="2315"/>
      <c r="BA125" s="2315"/>
      <c r="BB125" s="2315"/>
      <c r="BC125" s="2316"/>
      <c r="BF125" s="2419" t="s">
        <v>348</v>
      </c>
      <c r="BG125" s="2420"/>
      <c r="BH125" s="2420"/>
      <c r="BI125" s="2420"/>
      <c r="BJ125" s="2420"/>
      <c r="BK125" s="2420"/>
      <c r="BL125" s="2420"/>
      <c r="BM125" s="2420"/>
      <c r="BN125" s="2420"/>
      <c r="BO125" s="2420"/>
      <c r="BP125" s="2420"/>
      <c r="BQ125" s="2420"/>
      <c r="BR125" s="2420"/>
      <c r="BS125" s="2420"/>
      <c r="BT125" s="2420"/>
      <c r="BU125" s="2420"/>
      <c r="BV125" s="2421"/>
      <c r="BY125" s="2419" t="s">
        <v>350</v>
      </c>
      <c r="BZ125" s="2420"/>
      <c r="CA125" s="2420"/>
      <c r="CB125" s="2420"/>
      <c r="CC125" s="2420"/>
      <c r="CD125" s="2420"/>
      <c r="CE125" s="2420"/>
      <c r="CF125" s="2420"/>
      <c r="CG125" s="2420"/>
      <c r="CH125" s="2420"/>
      <c r="CI125" s="2420"/>
      <c r="CJ125" s="2420"/>
      <c r="CK125" s="2420"/>
      <c r="CL125" s="2420"/>
      <c r="CM125" s="2420"/>
      <c r="CN125" s="2420"/>
      <c r="CO125" s="2421"/>
      <c r="EH125" s="2314" t="s">
        <v>935</v>
      </c>
      <c r="EI125" s="2315"/>
      <c r="EJ125" s="2315"/>
      <c r="EK125" s="2315"/>
      <c r="EL125" s="2315"/>
      <c r="EM125" s="2315"/>
      <c r="EN125" s="2315"/>
      <c r="EO125" s="2315"/>
      <c r="EP125" s="2315"/>
      <c r="EQ125" s="2315"/>
      <c r="ER125" s="2315"/>
      <c r="ES125" s="2315"/>
      <c r="ET125" s="2315"/>
      <c r="EU125" s="2315"/>
      <c r="EV125" s="2315"/>
      <c r="EW125" s="2316"/>
      <c r="EZ125" s="2314" t="s">
        <v>936</v>
      </c>
      <c r="FA125" s="2315"/>
      <c r="FB125" s="2315"/>
      <c r="FC125" s="2315"/>
      <c r="FD125" s="2315"/>
      <c r="FE125" s="2315"/>
      <c r="FF125" s="2315"/>
      <c r="FG125" s="2315"/>
      <c r="FH125" s="2315"/>
      <c r="FI125" s="2315"/>
      <c r="FJ125" s="2315"/>
      <c r="FK125" s="2315"/>
      <c r="FL125" s="2315"/>
      <c r="FM125" s="2315"/>
      <c r="FN125" s="2315"/>
      <c r="FO125" s="2316"/>
      <c r="FR125" s="2314" t="s">
        <v>937</v>
      </c>
      <c r="FS125" s="2315"/>
      <c r="FT125" s="2315"/>
      <c r="FU125" s="2315"/>
      <c r="FV125" s="2315"/>
      <c r="FW125" s="2315"/>
      <c r="FX125" s="2315"/>
      <c r="FY125" s="2315"/>
      <c r="FZ125" s="2315"/>
      <c r="GA125" s="2315"/>
      <c r="GB125" s="2315"/>
      <c r="GC125" s="2315"/>
      <c r="GD125" s="2315"/>
      <c r="GE125" s="2315"/>
      <c r="GF125" s="2315"/>
      <c r="GG125" s="2316"/>
      <c r="GJ125" s="2314" t="s">
        <v>934</v>
      </c>
      <c r="GK125" s="2315"/>
      <c r="GL125" s="2315"/>
      <c r="GM125" s="2315"/>
      <c r="GN125" s="2315"/>
      <c r="GO125" s="2315"/>
      <c r="GP125" s="2315"/>
      <c r="GQ125" s="2315"/>
      <c r="GR125" s="2315"/>
      <c r="GS125" s="2315"/>
      <c r="GT125" s="2315"/>
      <c r="GU125" s="2315"/>
      <c r="GV125" s="2315"/>
      <c r="GW125" s="2315"/>
      <c r="GX125" s="2315"/>
      <c r="GY125" s="2316"/>
      <c r="HN125" s="2314" t="s">
        <v>938</v>
      </c>
      <c r="HO125" s="2315"/>
      <c r="HP125" s="2315"/>
      <c r="HQ125" s="2315"/>
      <c r="HR125" s="2315"/>
      <c r="HS125" s="2315"/>
      <c r="HT125" s="2315"/>
      <c r="HU125" s="2315"/>
      <c r="HV125" s="2315"/>
      <c r="HW125" s="2315"/>
      <c r="HX125" s="2315"/>
      <c r="HY125" s="2315"/>
      <c r="HZ125" s="2315"/>
      <c r="IA125" s="2315"/>
      <c r="IB125" s="2315"/>
      <c r="IC125" s="2316"/>
      <c r="IF125" s="2314" t="s">
        <v>944</v>
      </c>
      <c r="IG125" s="2315"/>
      <c r="IH125" s="2315"/>
      <c r="II125" s="2315"/>
      <c r="IJ125" s="2315"/>
      <c r="IK125" s="2315"/>
      <c r="IL125" s="2315"/>
      <c r="IM125" s="2315"/>
      <c r="IN125" s="2315"/>
      <c r="IO125" s="2315"/>
      <c r="IP125" s="2315"/>
      <c r="IQ125" s="2315"/>
      <c r="IR125" s="2315"/>
      <c r="IS125" s="2315"/>
      <c r="IT125" s="2315"/>
      <c r="IU125" s="2316"/>
      <c r="IX125" s="2314" t="s">
        <v>945</v>
      </c>
      <c r="IY125" s="2315"/>
      <c r="IZ125" s="2315"/>
      <c r="JA125" s="2315"/>
      <c r="JB125" s="2315"/>
      <c r="JC125" s="2315"/>
      <c r="JD125" s="2315"/>
      <c r="JE125" s="2315"/>
      <c r="JF125" s="2315"/>
      <c r="JG125" s="2315"/>
      <c r="JH125" s="2315"/>
      <c r="JI125" s="2315"/>
      <c r="JJ125" s="2315"/>
      <c r="JK125" s="2315"/>
      <c r="JL125" s="2315"/>
      <c r="JM125" s="2316"/>
      <c r="JP125" s="2314" t="s">
        <v>939</v>
      </c>
      <c r="JQ125" s="2315"/>
      <c r="JR125" s="2315"/>
      <c r="JS125" s="2315"/>
      <c r="JT125" s="2315"/>
      <c r="JU125" s="2315"/>
      <c r="JV125" s="2315"/>
      <c r="JW125" s="2315"/>
      <c r="JX125" s="2315"/>
      <c r="JY125" s="2315"/>
      <c r="JZ125" s="2315"/>
      <c r="KA125" s="2315"/>
      <c r="KB125" s="2315"/>
      <c r="KC125" s="2315"/>
      <c r="KD125" s="2315"/>
      <c r="KE125" s="2316"/>
      <c r="KH125" s="2314" t="s">
        <v>349</v>
      </c>
      <c r="KI125" s="2315"/>
      <c r="KJ125" s="2315"/>
      <c r="KK125" s="2315"/>
      <c r="KL125" s="2315"/>
      <c r="KM125" s="2315"/>
      <c r="KN125" s="2315"/>
      <c r="KO125" s="2315"/>
      <c r="KP125" s="2315"/>
      <c r="KQ125" s="2315"/>
      <c r="KR125" s="2315"/>
      <c r="KS125" s="2315"/>
      <c r="KT125" s="2315"/>
      <c r="KU125" s="2315"/>
      <c r="KV125" s="2315"/>
      <c r="KW125" s="2315"/>
      <c r="KX125" s="2315"/>
      <c r="KY125" s="2315"/>
      <c r="KZ125" s="2315"/>
      <c r="LA125" s="2315"/>
      <c r="LB125" s="2315"/>
      <c r="LC125" s="2315"/>
      <c r="LD125" s="2315"/>
      <c r="LE125" s="2315"/>
      <c r="LF125" s="2315"/>
      <c r="LG125" s="2315"/>
      <c r="LH125" s="2315"/>
      <c r="LI125" s="2315"/>
      <c r="LJ125" s="2315"/>
      <c r="LK125" s="2315"/>
      <c r="LL125" s="2315"/>
      <c r="LM125" s="2316"/>
      <c r="LP125" s="2419" t="s">
        <v>348</v>
      </c>
      <c r="LQ125" s="2420"/>
      <c r="LR125" s="2420"/>
      <c r="LS125" s="2420"/>
      <c r="LT125" s="2420"/>
      <c r="LU125" s="2420"/>
      <c r="LV125" s="2420"/>
      <c r="LW125" s="2420"/>
      <c r="LX125" s="2420"/>
      <c r="LY125" s="2420"/>
      <c r="LZ125" s="2420"/>
      <c r="MA125" s="2420"/>
      <c r="MB125" s="2420"/>
      <c r="MC125" s="2420"/>
      <c r="MD125" s="2420"/>
      <c r="ME125" s="2420"/>
      <c r="MF125" s="2421"/>
      <c r="MI125" s="2419" t="s">
        <v>350</v>
      </c>
      <c r="MJ125" s="2420"/>
      <c r="MK125" s="2420"/>
      <c r="ML125" s="2420"/>
      <c r="MM125" s="2420"/>
      <c r="MN125" s="2420"/>
      <c r="MO125" s="2420"/>
      <c r="MP125" s="2420"/>
      <c r="MQ125" s="2420"/>
      <c r="MR125" s="2420"/>
      <c r="MS125" s="2420"/>
      <c r="MT125" s="2420"/>
      <c r="MU125" s="2420"/>
      <c r="MV125" s="2420"/>
      <c r="MW125" s="2420"/>
      <c r="MX125" s="2420"/>
      <c r="MY125" s="2421"/>
      <c r="OX125" s="340"/>
      <c r="OY125" s="340"/>
      <c r="OZ125" s="340"/>
      <c r="PA125" s="340"/>
      <c r="PB125" s="340"/>
      <c r="PC125" s="340"/>
      <c r="PD125" s="340"/>
      <c r="PE125" s="340"/>
      <c r="PF125" s="340"/>
      <c r="PG125" s="340"/>
      <c r="PH125" s="340"/>
      <c r="PI125" s="340"/>
      <c r="PJ125" s="340"/>
      <c r="PK125" s="340"/>
      <c r="PL125" s="340"/>
      <c r="PM125" s="340"/>
      <c r="PN125" s="340"/>
    </row>
    <row r="126" spans="1:840" s="1674" customFormat="1" ht="45" customHeight="1">
      <c r="B126" s="2418"/>
      <c r="C126" s="2418"/>
      <c r="D126" s="1679"/>
      <c r="E126" s="1697" t="s">
        <v>873</v>
      </c>
      <c r="F126" s="1681">
        <v>500</v>
      </c>
      <c r="G126" s="1681">
        <v>500</v>
      </c>
      <c r="H126" s="1681">
        <v>500</v>
      </c>
      <c r="I126" s="1681">
        <v>500</v>
      </c>
      <c r="J126" s="1681">
        <v>500</v>
      </c>
      <c r="K126" s="1681">
        <v>500</v>
      </c>
      <c r="L126" s="1681">
        <v>500</v>
      </c>
      <c r="M126" s="1681">
        <v>500</v>
      </c>
      <c r="N126" s="1681">
        <v>500</v>
      </c>
      <c r="O126" s="1681">
        <v>500</v>
      </c>
      <c r="P126" s="1681">
        <v>500</v>
      </c>
      <c r="Q126" s="1681">
        <v>500</v>
      </c>
      <c r="R126" s="1681">
        <v>500</v>
      </c>
      <c r="S126" s="1681">
        <v>500</v>
      </c>
      <c r="T126" s="1681">
        <v>500</v>
      </c>
      <c r="U126" s="1681">
        <v>500</v>
      </c>
      <c r="V126" s="1681">
        <v>500</v>
      </c>
      <c r="W126" s="1681">
        <v>500</v>
      </c>
      <c r="X126" s="1681">
        <v>500</v>
      </c>
      <c r="Y126" s="1681">
        <v>500</v>
      </c>
      <c r="Z126" s="1681">
        <v>500</v>
      </c>
      <c r="AA126" s="1681">
        <v>500</v>
      </c>
      <c r="AB126" s="1681">
        <v>500</v>
      </c>
      <c r="AC126" s="1681">
        <v>500</v>
      </c>
      <c r="AD126" s="1681">
        <v>500</v>
      </c>
      <c r="AE126" s="1681">
        <v>500</v>
      </c>
      <c r="AF126" s="1681">
        <v>500</v>
      </c>
      <c r="AG126" s="1681">
        <v>500</v>
      </c>
      <c r="AH126" s="1681">
        <v>500</v>
      </c>
      <c r="AI126" s="1681">
        <v>500</v>
      </c>
      <c r="AJ126" s="1681">
        <v>500</v>
      </c>
      <c r="AK126" s="1681">
        <v>500</v>
      </c>
      <c r="AN126" s="1680">
        <v>500</v>
      </c>
      <c r="AO126" s="1681">
        <v>500</v>
      </c>
      <c r="AP126" s="1681">
        <v>500</v>
      </c>
      <c r="AQ126" s="1681">
        <v>500</v>
      </c>
      <c r="AR126" s="1681">
        <v>500</v>
      </c>
      <c r="AS126" s="1681">
        <v>500</v>
      </c>
      <c r="AT126" s="1681">
        <v>500</v>
      </c>
      <c r="AU126" s="1681">
        <v>500</v>
      </c>
      <c r="AV126" s="1681">
        <v>500</v>
      </c>
      <c r="AW126" s="1681">
        <v>500</v>
      </c>
      <c r="AX126" s="1681">
        <v>500</v>
      </c>
      <c r="AY126" s="1681">
        <v>500</v>
      </c>
      <c r="AZ126" s="1681">
        <v>500</v>
      </c>
      <c r="BA126" s="1681">
        <v>500</v>
      </c>
      <c r="BB126" s="1681">
        <v>500</v>
      </c>
      <c r="BC126" s="1682">
        <v>500</v>
      </c>
      <c r="BF126" s="1681">
        <v>500</v>
      </c>
      <c r="BG126" s="1681">
        <v>500</v>
      </c>
      <c r="BH126" s="1681">
        <v>500</v>
      </c>
      <c r="BI126" s="1681">
        <v>500</v>
      </c>
      <c r="BJ126" s="1681">
        <v>500</v>
      </c>
      <c r="BK126" s="1681">
        <v>500</v>
      </c>
      <c r="BL126" s="1681">
        <v>500</v>
      </c>
      <c r="BM126" s="1681">
        <v>500</v>
      </c>
      <c r="BN126" s="1681">
        <v>500</v>
      </c>
      <c r="BO126" s="1681">
        <v>500</v>
      </c>
      <c r="BP126" s="1681">
        <v>500</v>
      </c>
      <c r="BQ126" s="1681">
        <v>500</v>
      </c>
      <c r="BR126" s="1681">
        <v>500</v>
      </c>
      <c r="BS126" s="1681">
        <v>500</v>
      </c>
      <c r="BT126" s="1681">
        <v>500</v>
      </c>
      <c r="BU126" s="1681">
        <v>500</v>
      </c>
      <c r="BV126" s="1681">
        <v>500</v>
      </c>
      <c r="BY126" s="1681">
        <v>500</v>
      </c>
      <c r="BZ126" s="1681">
        <v>500</v>
      </c>
      <c r="CA126" s="1681">
        <v>500</v>
      </c>
      <c r="CB126" s="1681">
        <v>500</v>
      </c>
      <c r="CC126" s="1681">
        <v>500</v>
      </c>
      <c r="CD126" s="1681">
        <v>500</v>
      </c>
      <c r="CE126" s="1681">
        <v>500</v>
      </c>
      <c r="CF126" s="1681">
        <v>500</v>
      </c>
      <c r="CG126" s="1681">
        <v>500</v>
      </c>
      <c r="CH126" s="1681">
        <v>500</v>
      </c>
      <c r="CI126" s="1681">
        <v>500</v>
      </c>
      <c r="CJ126" s="1681">
        <v>500</v>
      </c>
      <c r="CK126" s="1681">
        <v>500</v>
      </c>
      <c r="CL126" s="1681">
        <v>500</v>
      </c>
      <c r="CM126" s="1681">
        <v>500</v>
      </c>
      <c r="CN126" s="1681">
        <v>500</v>
      </c>
      <c r="CO126" s="1681">
        <v>500</v>
      </c>
      <c r="CP126" s="336"/>
      <c r="CQ126" s="336"/>
      <c r="CR126" s="336"/>
      <c r="CS126" s="336"/>
      <c r="CT126" s="336"/>
      <c r="CU126" s="336"/>
      <c r="CV126" s="336"/>
      <c r="CW126" s="336"/>
      <c r="CX126" s="336"/>
      <c r="CY126" s="336"/>
      <c r="CZ126" s="336"/>
      <c r="DA126" s="336"/>
      <c r="DB126" s="336"/>
      <c r="DC126" s="336"/>
      <c r="DD126" s="336"/>
      <c r="DE126" s="336"/>
      <c r="DF126" s="336"/>
      <c r="DG126" s="336"/>
      <c r="DH126" s="336"/>
      <c r="DI126" s="336"/>
      <c r="DJ126" s="336"/>
      <c r="DK126" s="336"/>
      <c r="DL126" s="336"/>
      <c r="DM126" s="336"/>
      <c r="DN126" s="336"/>
      <c r="DO126" s="336"/>
      <c r="DP126" s="336"/>
      <c r="DQ126" s="336"/>
      <c r="DR126" s="336"/>
      <c r="DS126" s="336"/>
      <c r="DT126" s="336"/>
      <c r="DU126" s="336"/>
      <c r="DV126" s="336"/>
      <c r="DW126" s="336"/>
      <c r="DX126" s="336"/>
      <c r="DY126" s="336"/>
      <c r="DZ126" s="336"/>
      <c r="EA126" s="336"/>
      <c r="EB126" s="336"/>
      <c r="EC126" s="336"/>
      <c r="ED126" s="336"/>
      <c r="EE126" s="336"/>
      <c r="EF126" s="336"/>
      <c r="EH126" s="1680">
        <v>500</v>
      </c>
      <c r="EI126" s="1681">
        <v>500</v>
      </c>
      <c r="EJ126" s="1681">
        <v>500</v>
      </c>
      <c r="EK126" s="1681">
        <v>500</v>
      </c>
      <c r="EL126" s="1681">
        <v>500</v>
      </c>
      <c r="EM126" s="1681">
        <v>500</v>
      </c>
      <c r="EN126" s="1681">
        <v>500</v>
      </c>
      <c r="EO126" s="1681">
        <v>500</v>
      </c>
      <c r="EP126" s="1681">
        <v>500</v>
      </c>
      <c r="EQ126" s="1681">
        <v>500</v>
      </c>
      <c r="ER126" s="1681">
        <v>500</v>
      </c>
      <c r="ES126" s="1681">
        <v>500</v>
      </c>
      <c r="ET126" s="1681">
        <v>500</v>
      </c>
      <c r="EU126" s="1681">
        <v>500</v>
      </c>
      <c r="EV126" s="1681">
        <v>500</v>
      </c>
      <c r="EW126" s="1682">
        <v>500</v>
      </c>
      <c r="EZ126" s="1680">
        <v>500</v>
      </c>
      <c r="FA126" s="1681">
        <v>500</v>
      </c>
      <c r="FB126" s="1681">
        <v>500</v>
      </c>
      <c r="FC126" s="1681">
        <v>500</v>
      </c>
      <c r="FD126" s="1681">
        <v>500</v>
      </c>
      <c r="FE126" s="1681">
        <v>500</v>
      </c>
      <c r="FF126" s="1681">
        <v>500</v>
      </c>
      <c r="FG126" s="1681">
        <v>500</v>
      </c>
      <c r="FH126" s="1681">
        <v>500</v>
      </c>
      <c r="FI126" s="1681">
        <v>500</v>
      </c>
      <c r="FJ126" s="1681">
        <v>500</v>
      </c>
      <c r="FK126" s="1681">
        <v>500</v>
      </c>
      <c r="FL126" s="1681">
        <v>500</v>
      </c>
      <c r="FM126" s="1681">
        <v>500</v>
      </c>
      <c r="FN126" s="1681">
        <v>500</v>
      </c>
      <c r="FO126" s="1682">
        <v>500</v>
      </c>
      <c r="FP126" s="336"/>
      <c r="FQ126" s="336"/>
      <c r="FR126" s="1680">
        <v>500</v>
      </c>
      <c r="FS126" s="1681">
        <v>500</v>
      </c>
      <c r="FT126" s="1681">
        <v>500</v>
      </c>
      <c r="FU126" s="1681">
        <v>500</v>
      </c>
      <c r="FV126" s="1681">
        <v>500</v>
      </c>
      <c r="FW126" s="1681">
        <v>500</v>
      </c>
      <c r="FX126" s="1681">
        <v>500</v>
      </c>
      <c r="FY126" s="1681">
        <v>500</v>
      </c>
      <c r="FZ126" s="1681">
        <v>500</v>
      </c>
      <c r="GA126" s="1681">
        <v>500</v>
      </c>
      <c r="GB126" s="1681">
        <v>500</v>
      </c>
      <c r="GC126" s="1681">
        <v>500</v>
      </c>
      <c r="GD126" s="1681">
        <v>500</v>
      </c>
      <c r="GE126" s="1681">
        <v>500</v>
      </c>
      <c r="GF126" s="1681">
        <v>500</v>
      </c>
      <c r="GG126" s="1682">
        <v>500</v>
      </c>
      <c r="GH126" s="336"/>
      <c r="GI126" s="336"/>
      <c r="GJ126" s="1680">
        <v>500</v>
      </c>
      <c r="GK126" s="1681">
        <v>500</v>
      </c>
      <c r="GL126" s="1681">
        <v>500</v>
      </c>
      <c r="GM126" s="1681">
        <v>500</v>
      </c>
      <c r="GN126" s="1681">
        <v>500</v>
      </c>
      <c r="GO126" s="1681">
        <v>500</v>
      </c>
      <c r="GP126" s="1681">
        <v>500</v>
      </c>
      <c r="GQ126" s="1681">
        <v>500</v>
      </c>
      <c r="GR126" s="1681">
        <v>500</v>
      </c>
      <c r="GS126" s="1681">
        <v>500</v>
      </c>
      <c r="GT126" s="1681">
        <v>500</v>
      </c>
      <c r="GU126" s="1681">
        <v>500</v>
      </c>
      <c r="GV126" s="1681">
        <v>500</v>
      </c>
      <c r="GW126" s="1681">
        <v>500</v>
      </c>
      <c r="GX126" s="1681">
        <v>500</v>
      </c>
      <c r="GY126" s="1682">
        <v>500</v>
      </c>
      <c r="GZ126" s="336"/>
      <c r="HA126" s="336"/>
      <c r="HB126" s="336"/>
      <c r="HC126" s="336"/>
      <c r="HD126" s="336"/>
      <c r="HE126" s="336"/>
      <c r="HF126" s="336"/>
      <c r="HG126" s="336"/>
      <c r="HH126" s="336"/>
      <c r="HI126" s="336"/>
      <c r="HJ126" s="336"/>
      <c r="HK126" s="336"/>
      <c r="HL126" s="336"/>
      <c r="HM126" s="336"/>
      <c r="HN126" s="1680">
        <v>500</v>
      </c>
      <c r="HO126" s="1681">
        <v>500</v>
      </c>
      <c r="HP126" s="1681">
        <v>500</v>
      </c>
      <c r="HQ126" s="1681">
        <v>500</v>
      </c>
      <c r="HR126" s="1681">
        <v>500</v>
      </c>
      <c r="HS126" s="1681">
        <v>500</v>
      </c>
      <c r="HT126" s="1681">
        <v>500</v>
      </c>
      <c r="HU126" s="1681">
        <v>500</v>
      </c>
      <c r="HV126" s="1681">
        <v>500</v>
      </c>
      <c r="HW126" s="1681">
        <v>500</v>
      </c>
      <c r="HX126" s="1681">
        <v>500</v>
      </c>
      <c r="HY126" s="1681">
        <v>500</v>
      </c>
      <c r="HZ126" s="1681">
        <v>500</v>
      </c>
      <c r="IA126" s="1681">
        <v>500</v>
      </c>
      <c r="IB126" s="1681">
        <v>500</v>
      </c>
      <c r="IC126" s="1682">
        <v>500</v>
      </c>
      <c r="ID126" s="336"/>
      <c r="IE126" s="336"/>
      <c r="IF126" s="1680">
        <v>500</v>
      </c>
      <c r="IG126" s="1681">
        <v>500</v>
      </c>
      <c r="IH126" s="1681">
        <v>500</v>
      </c>
      <c r="II126" s="1681">
        <v>500</v>
      </c>
      <c r="IJ126" s="1681">
        <v>500</v>
      </c>
      <c r="IK126" s="1681">
        <v>500</v>
      </c>
      <c r="IL126" s="1681">
        <v>500</v>
      </c>
      <c r="IM126" s="1681">
        <v>500</v>
      </c>
      <c r="IN126" s="1681">
        <v>500</v>
      </c>
      <c r="IO126" s="1681">
        <v>500</v>
      </c>
      <c r="IP126" s="1681">
        <v>500</v>
      </c>
      <c r="IQ126" s="1681">
        <v>500</v>
      </c>
      <c r="IR126" s="1681">
        <v>500</v>
      </c>
      <c r="IS126" s="1681">
        <v>500</v>
      </c>
      <c r="IT126" s="1681">
        <v>500</v>
      </c>
      <c r="IU126" s="1682">
        <v>500</v>
      </c>
      <c r="IX126" s="1680">
        <v>500</v>
      </c>
      <c r="IY126" s="1681">
        <v>500</v>
      </c>
      <c r="IZ126" s="1681">
        <v>500</v>
      </c>
      <c r="JA126" s="1681">
        <v>500</v>
      </c>
      <c r="JB126" s="1681">
        <v>500</v>
      </c>
      <c r="JC126" s="1681">
        <v>500</v>
      </c>
      <c r="JD126" s="1681">
        <v>500</v>
      </c>
      <c r="JE126" s="1681">
        <v>500</v>
      </c>
      <c r="JF126" s="1681">
        <v>500</v>
      </c>
      <c r="JG126" s="1681">
        <v>500</v>
      </c>
      <c r="JH126" s="1681">
        <v>500</v>
      </c>
      <c r="JI126" s="1681">
        <v>500</v>
      </c>
      <c r="JJ126" s="1681">
        <v>500</v>
      </c>
      <c r="JK126" s="1681">
        <v>500</v>
      </c>
      <c r="JL126" s="1681">
        <v>500</v>
      </c>
      <c r="JM126" s="1682">
        <v>500</v>
      </c>
      <c r="JP126" s="1680">
        <v>500</v>
      </c>
      <c r="JQ126" s="1681">
        <v>500</v>
      </c>
      <c r="JR126" s="1681">
        <v>500</v>
      </c>
      <c r="JS126" s="1681">
        <v>500</v>
      </c>
      <c r="JT126" s="1681">
        <v>500</v>
      </c>
      <c r="JU126" s="1681">
        <v>500</v>
      </c>
      <c r="JV126" s="1681">
        <v>500</v>
      </c>
      <c r="JW126" s="1681">
        <v>500</v>
      </c>
      <c r="JX126" s="1681">
        <v>500</v>
      </c>
      <c r="JY126" s="1681">
        <v>500</v>
      </c>
      <c r="JZ126" s="1681">
        <v>500</v>
      </c>
      <c r="KA126" s="1681">
        <v>500</v>
      </c>
      <c r="KB126" s="1681">
        <v>500</v>
      </c>
      <c r="KC126" s="1681">
        <v>500</v>
      </c>
      <c r="KD126" s="1681">
        <v>500</v>
      </c>
      <c r="KE126" s="1682">
        <v>500</v>
      </c>
      <c r="KF126" s="336"/>
      <c r="KG126" s="336"/>
      <c r="KH126" s="1681">
        <v>500</v>
      </c>
      <c r="KI126" s="1681">
        <v>500</v>
      </c>
      <c r="KJ126" s="1681">
        <v>500</v>
      </c>
      <c r="KK126" s="1681">
        <v>500</v>
      </c>
      <c r="KL126" s="1681">
        <v>500</v>
      </c>
      <c r="KM126" s="1681">
        <v>500</v>
      </c>
      <c r="KN126" s="1681">
        <v>500</v>
      </c>
      <c r="KO126" s="1681">
        <v>500</v>
      </c>
      <c r="KP126" s="1681">
        <v>500</v>
      </c>
      <c r="KQ126" s="1681">
        <v>500</v>
      </c>
      <c r="KR126" s="1681">
        <v>500</v>
      </c>
      <c r="KS126" s="1681">
        <v>500</v>
      </c>
      <c r="KT126" s="1681">
        <v>500</v>
      </c>
      <c r="KU126" s="1681">
        <v>500</v>
      </c>
      <c r="KV126" s="1681">
        <v>500</v>
      </c>
      <c r="KW126" s="1681">
        <v>500</v>
      </c>
      <c r="KX126" s="1681">
        <v>500</v>
      </c>
      <c r="KY126" s="1681">
        <v>500</v>
      </c>
      <c r="KZ126" s="1681">
        <v>500</v>
      </c>
      <c r="LA126" s="1681">
        <v>500</v>
      </c>
      <c r="LB126" s="1681">
        <v>500</v>
      </c>
      <c r="LC126" s="1681">
        <v>500</v>
      </c>
      <c r="LD126" s="1681">
        <v>500</v>
      </c>
      <c r="LE126" s="1681">
        <v>500</v>
      </c>
      <c r="LF126" s="1681">
        <v>500</v>
      </c>
      <c r="LG126" s="1681">
        <v>500</v>
      </c>
      <c r="LH126" s="1681">
        <v>500</v>
      </c>
      <c r="LI126" s="1681">
        <v>500</v>
      </c>
      <c r="LJ126" s="1681">
        <v>500</v>
      </c>
      <c r="LK126" s="1681">
        <v>500</v>
      </c>
      <c r="LL126" s="1681">
        <v>500</v>
      </c>
      <c r="LM126" s="1681">
        <v>500</v>
      </c>
      <c r="LP126" s="1681">
        <v>500</v>
      </c>
      <c r="LQ126" s="1681">
        <v>500</v>
      </c>
      <c r="LR126" s="1681">
        <v>500</v>
      </c>
      <c r="LS126" s="1681">
        <v>500</v>
      </c>
      <c r="LT126" s="1681">
        <v>500</v>
      </c>
      <c r="LU126" s="1681">
        <v>500</v>
      </c>
      <c r="LV126" s="1681">
        <v>500</v>
      </c>
      <c r="LW126" s="1681">
        <v>500</v>
      </c>
      <c r="LX126" s="1681">
        <v>500</v>
      </c>
      <c r="LY126" s="1681">
        <v>500</v>
      </c>
      <c r="LZ126" s="1681">
        <v>500</v>
      </c>
      <c r="MA126" s="1681">
        <v>500</v>
      </c>
      <c r="MB126" s="1681">
        <v>500</v>
      </c>
      <c r="MC126" s="1681">
        <v>500</v>
      </c>
      <c r="MD126" s="1681">
        <v>500</v>
      </c>
      <c r="ME126" s="1681">
        <v>500</v>
      </c>
      <c r="MF126" s="1681">
        <v>500</v>
      </c>
      <c r="MI126" s="1681">
        <v>500</v>
      </c>
      <c r="MJ126" s="1681">
        <v>500</v>
      </c>
      <c r="MK126" s="1681">
        <v>500</v>
      </c>
      <c r="ML126" s="1681">
        <v>500</v>
      </c>
      <c r="MM126" s="1681">
        <v>500</v>
      </c>
      <c r="MN126" s="1681">
        <v>500</v>
      </c>
      <c r="MO126" s="1681">
        <v>500</v>
      </c>
      <c r="MP126" s="1681">
        <v>500</v>
      </c>
      <c r="MQ126" s="1681">
        <v>500</v>
      </c>
      <c r="MR126" s="1681">
        <v>500</v>
      </c>
      <c r="MS126" s="1681">
        <v>500</v>
      </c>
      <c r="MT126" s="1681">
        <v>500</v>
      </c>
      <c r="MU126" s="1681">
        <v>500</v>
      </c>
      <c r="MV126" s="1681">
        <v>500</v>
      </c>
      <c r="MW126" s="1681">
        <v>500</v>
      </c>
      <c r="MX126" s="1681">
        <v>500</v>
      </c>
      <c r="MY126" s="1681">
        <v>500</v>
      </c>
      <c r="MZ126" s="336"/>
      <c r="NA126" s="336"/>
      <c r="NB126" s="336"/>
      <c r="NC126" s="336"/>
      <c r="ND126" s="336"/>
      <c r="NE126" s="336"/>
      <c r="NF126" s="336"/>
      <c r="NG126" s="336"/>
      <c r="NH126" s="336"/>
      <c r="NI126" s="336"/>
      <c r="NJ126" s="336"/>
      <c r="NK126" s="336"/>
      <c r="NL126" s="336"/>
      <c r="NM126" s="336"/>
      <c r="NN126" s="336"/>
      <c r="NO126" s="336"/>
      <c r="NP126" s="336"/>
      <c r="NQ126" s="336"/>
      <c r="NR126" s="336"/>
      <c r="NS126" s="336"/>
      <c r="NT126" s="336"/>
      <c r="NU126" s="336"/>
      <c r="NV126" s="336"/>
      <c r="NW126" s="336"/>
      <c r="NX126" s="336"/>
      <c r="NY126" s="336"/>
      <c r="NZ126" s="336"/>
      <c r="OA126" s="336"/>
      <c r="OB126" s="336"/>
      <c r="OC126" s="336"/>
      <c r="OD126" s="336"/>
      <c r="OE126" s="336"/>
      <c r="OF126" s="336"/>
      <c r="OG126" s="336"/>
      <c r="OH126" s="336"/>
      <c r="OI126" s="336"/>
      <c r="OJ126" s="336"/>
      <c r="OK126" s="336"/>
      <c r="OL126" s="336"/>
      <c r="OM126" s="336"/>
      <c r="ON126" s="336"/>
      <c r="OO126" s="336"/>
      <c r="OX126" s="1687"/>
      <c r="OY126" s="1687"/>
      <c r="OZ126" s="1687"/>
      <c r="PA126" s="1687"/>
      <c r="PB126" s="1687"/>
      <c r="PC126" s="1687"/>
      <c r="PD126" s="1687"/>
      <c r="PE126" s="1687"/>
      <c r="PF126" s="1687"/>
      <c r="PG126" s="1687"/>
      <c r="PH126" s="1687"/>
      <c r="PI126" s="1687"/>
      <c r="PJ126" s="1687"/>
      <c r="PK126" s="1687"/>
      <c r="PL126" s="1687"/>
      <c r="PM126" s="1687"/>
      <c r="PN126" s="1687"/>
    </row>
    <row r="127" spans="1:840" s="61" customFormat="1" ht="25.35" customHeight="1">
      <c r="A127" s="2414" t="s">
        <v>875</v>
      </c>
      <c r="B127" s="2415"/>
      <c r="C127" s="2416"/>
      <c r="D127" s="1653"/>
      <c r="E127" s="1694"/>
      <c r="F127" s="1631">
        <v>0</v>
      </c>
      <c r="G127" s="1640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1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6"/>
      <c r="B128" s="2417">
        <v>44208</v>
      </c>
      <c r="C128" s="2417"/>
      <c r="D128" s="1610" t="s">
        <v>341</v>
      </c>
      <c r="E128" s="1694"/>
      <c r="F128" s="2314" t="s">
        <v>918</v>
      </c>
      <c r="G128" s="2315"/>
      <c r="H128" s="2315"/>
      <c r="I128" s="2315"/>
      <c r="J128" s="2315"/>
      <c r="K128" s="2315"/>
      <c r="L128" s="2315"/>
      <c r="M128" s="2315"/>
      <c r="N128" s="2315"/>
      <c r="O128" s="2315"/>
      <c r="P128" s="2315"/>
      <c r="Q128" s="2315"/>
      <c r="R128" s="2315"/>
      <c r="S128" s="2315"/>
      <c r="T128" s="2315"/>
      <c r="U128" s="2316"/>
      <c r="AP128" s="2335" t="s">
        <v>919</v>
      </c>
      <c r="AQ128" s="2336"/>
      <c r="AR128" s="2336"/>
      <c r="AS128" s="2336"/>
      <c r="AT128" s="2336"/>
      <c r="AU128" s="2336"/>
      <c r="AV128" s="2336"/>
      <c r="AW128" s="2336"/>
      <c r="AX128" s="2336"/>
      <c r="AY128" s="2336"/>
      <c r="AZ128" s="2336"/>
      <c r="BA128" s="2336"/>
      <c r="BB128" s="2336"/>
      <c r="BC128" s="2336"/>
      <c r="BD128" s="2336"/>
      <c r="BE128" s="2337"/>
      <c r="BN128" s="2335" t="s">
        <v>920</v>
      </c>
      <c r="BO128" s="2336"/>
      <c r="BP128" s="2336"/>
      <c r="BQ128" s="2336"/>
      <c r="BR128" s="2336"/>
      <c r="BS128" s="2336"/>
      <c r="BT128" s="2336"/>
      <c r="BU128" s="2336"/>
      <c r="BV128" s="2336"/>
      <c r="BW128" s="2336"/>
      <c r="BX128" s="2336"/>
      <c r="BY128" s="2336"/>
      <c r="BZ128" s="2336"/>
      <c r="CA128" s="2336"/>
      <c r="CB128" s="2336"/>
      <c r="CC128" s="2337"/>
      <c r="CF128" s="336"/>
      <c r="CG128" s="336"/>
      <c r="CH128" s="336"/>
      <c r="CI128" s="336"/>
      <c r="CJ128" s="336"/>
      <c r="CK128" s="336"/>
      <c r="CL128" s="2335" t="s">
        <v>922</v>
      </c>
      <c r="CM128" s="2336"/>
      <c r="CN128" s="2336"/>
      <c r="CO128" s="2336"/>
      <c r="CP128" s="2336"/>
      <c r="CQ128" s="2336"/>
      <c r="CR128" s="2336"/>
      <c r="CS128" s="2336"/>
      <c r="CT128" s="2336"/>
      <c r="CU128" s="2336"/>
      <c r="CV128" s="2336"/>
      <c r="CW128" s="2336"/>
      <c r="CX128" s="2336"/>
      <c r="CY128" s="2336"/>
      <c r="CZ128" s="2336"/>
      <c r="DA128" s="2337"/>
      <c r="DB128" s="336"/>
      <c r="DC128" s="336"/>
      <c r="DD128" s="336"/>
      <c r="DE128" s="336"/>
      <c r="DF128" s="336"/>
      <c r="DG128" s="336"/>
      <c r="DH128" s="336"/>
      <c r="DI128" s="336"/>
      <c r="DJ128" s="336"/>
      <c r="DK128" s="336"/>
      <c r="DL128" s="336"/>
      <c r="DM128" s="336"/>
      <c r="DN128" s="336"/>
      <c r="DO128" s="336"/>
      <c r="DP128" s="336"/>
      <c r="DQ128" s="1635"/>
      <c r="DR128" s="336"/>
      <c r="DS128" s="336"/>
      <c r="DT128" s="336"/>
      <c r="DU128" s="336"/>
      <c r="DV128" s="2335" t="s">
        <v>913</v>
      </c>
      <c r="DW128" s="2336"/>
      <c r="DX128" s="2336"/>
      <c r="DY128" s="2336"/>
      <c r="DZ128" s="2336"/>
      <c r="EA128" s="2336"/>
      <c r="EB128" s="2336"/>
      <c r="EC128" s="2336"/>
      <c r="ED128" s="2336"/>
      <c r="EE128" s="2336"/>
      <c r="EF128" s="2336"/>
      <c r="EG128" s="2336"/>
      <c r="EH128" s="2336"/>
      <c r="EI128" s="2336"/>
      <c r="EJ128" s="2336"/>
      <c r="EK128" s="2337"/>
      <c r="EL128" s="336"/>
      <c r="EM128" s="336"/>
      <c r="EN128" s="336"/>
      <c r="FE128" s="2335" t="s">
        <v>921</v>
      </c>
      <c r="FF128" s="2336"/>
      <c r="FG128" s="2336"/>
      <c r="FH128" s="2336"/>
      <c r="FI128" s="2336"/>
      <c r="FJ128" s="2336"/>
      <c r="FK128" s="2336"/>
      <c r="FL128" s="2336"/>
      <c r="FM128" s="2336"/>
      <c r="FN128" s="2336"/>
      <c r="FO128" s="2336"/>
      <c r="FP128" s="2336"/>
      <c r="FQ128" s="2336"/>
      <c r="FR128" s="2336"/>
      <c r="FS128" s="2336"/>
      <c r="FT128" s="2337"/>
      <c r="NU128" s="1674"/>
      <c r="NV128" s="1674"/>
      <c r="PB128" s="1674"/>
      <c r="PC128" s="1674"/>
      <c r="PD128" s="1674"/>
      <c r="PE128" s="1674"/>
      <c r="PF128" s="1674"/>
      <c r="PG128" s="1674"/>
      <c r="PH128" s="1674"/>
      <c r="PI128" s="1674"/>
      <c r="SB128" s="341"/>
      <c r="SC128" s="341"/>
      <c r="SD128" s="341"/>
      <c r="SE128" s="341"/>
      <c r="SF128" s="341"/>
      <c r="SG128" s="341"/>
      <c r="SH128" s="341"/>
      <c r="SI128" s="341"/>
      <c r="SJ128" s="341"/>
      <c r="SK128" s="341"/>
      <c r="SL128" s="341"/>
      <c r="SM128" s="341"/>
      <c r="SN128" s="341"/>
      <c r="SO128" s="341"/>
      <c r="SP128" s="341"/>
      <c r="SQ128" s="341"/>
      <c r="SR128" s="341"/>
      <c r="SS128" s="341"/>
      <c r="ST128" s="341"/>
      <c r="SU128" s="341"/>
      <c r="SV128" s="341"/>
      <c r="SW128" s="341"/>
      <c r="SX128" s="341"/>
      <c r="SY128" s="341"/>
      <c r="SZ128" s="341"/>
      <c r="TA128" s="341"/>
      <c r="TB128" s="341"/>
      <c r="TC128" s="341"/>
      <c r="TD128" s="341"/>
      <c r="TE128" s="341"/>
      <c r="TF128" s="341"/>
      <c r="TG128" s="341"/>
      <c r="TH128" s="341"/>
      <c r="TI128" s="341"/>
      <c r="TJ128" s="341"/>
      <c r="TK128" s="341"/>
      <c r="TL128" s="341"/>
      <c r="TM128" s="341"/>
      <c r="TN128" s="341"/>
      <c r="TO128" s="341"/>
      <c r="TP128" s="341"/>
      <c r="TQ128" s="341"/>
      <c r="TR128" s="341"/>
      <c r="TS128" s="341"/>
      <c r="TT128" s="341"/>
      <c r="TU128" s="341"/>
      <c r="TV128" s="341"/>
      <c r="TW128" s="341"/>
      <c r="TX128" s="341"/>
      <c r="TY128" s="341"/>
      <c r="TZ128" s="341"/>
      <c r="UA128" s="341"/>
      <c r="UB128" s="341"/>
      <c r="UC128" s="341"/>
      <c r="UD128" s="341"/>
      <c r="UE128" s="341"/>
      <c r="UF128" s="341"/>
      <c r="UG128" s="341"/>
      <c r="UH128" s="341"/>
      <c r="UI128" s="341"/>
      <c r="UJ128" s="341"/>
      <c r="UK128" s="341"/>
      <c r="UL128" s="341"/>
      <c r="UM128" s="341"/>
      <c r="UN128" s="341"/>
      <c r="UO128" s="341"/>
      <c r="UP128" s="341"/>
      <c r="UQ128" s="341"/>
      <c r="UR128" s="341"/>
      <c r="US128" s="341"/>
      <c r="UT128" s="341"/>
      <c r="UU128" s="341"/>
      <c r="UV128" s="341"/>
      <c r="UW128" s="341"/>
      <c r="UX128" s="341"/>
      <c r="UY128" s="341"/>
      <c r="UZ128" s="341"/>
      <c r="VA128" s="341"/>
      <c r="VB128" s="341"/>
      <c r="VC128" s="341"/>
      <c r="VD128" s="341"/>
      <c r="VE128" s="341"/>
      <c r="VF128" s="341"/>
      <c r="VG128" s="341"/>
      <c r="VH128" s="341"/>
      <c r="VI128" s="341"/>
      <c r="VJ128" s="341"/>
      <c r="VK128" s="341"/>
      <c r="VL128" s="341"/>
      <c r="VM128" s="341"/>
      <c r="VN128" s="341"/>
      <c r="VO128" s="341"/>
      <c r="VP128" s="341"/>
      <c r="VQ128" s="341"/>
      <c r="VR128" s="341"/>
      <c r="VS128" s="341"/>
      <c r="VT128" s="341"/>
      <c r="VU128" s="341"/>
      <c r="VV128" s="341"/>
      <c r="VW128" s="341"/>
      <c r="VX128" s="341"/>
      <c r="VY128" s="341"/>
      <c r="VZ128" s="341"/>
      <c r="WA128" s="341"/>
      <c r="WB128" s="341"/>
      <c r="WC128" s="341"/>
      <c r="WD128" s="341"/>
      <c r="WE128" s="341"/>
      <c r="WF128" s="341"/>
      <c r="WG128" s="341"/>
      <c r="WH128" s="341"/>
      <c r="WI128" s="341"/>
      <c r="WJ128" s="341"/>
      <c r="WK128" s="341"/>
      <c r="WL128" s="341"/>
      <c r="WM128" s="341"/>
      <c r="WN128" s="341"/>
      <c r="WO128" s="341"/>
    </row>
    <row r="129" spans="1:665" s="1674" customFormat="1" ht="43.5" customHeight="1">
      <c r="B129" s="2418"/>
      <c r="C129" s="2418"/>
      <c r="D129" s="1683"/>
      <c r="E129" s="1697" t="s">
        <v>873</v>
      </c>
      <c r="F129" s="1680">
        <v>750</v>
      </c>
      <c r="G129" s="1680">
        <v>750</v>
      </c>
      <c r="H129" s="1680">
        <v>750</v>
      </c>
      <c r="I129" s="1680">
        <v>750</v>
      </c>
      <c r="J129" s="1680">
        <v>750</v>
      </c>
      <c r="K129" s="1680">
        <v>750</v>
      </c>
      <c r="L129" s="1680">
        <v>750</v>
      </c>
      <c r="M129" s="1680">
        <v>750</v>
      </c>
      <c r="N129" s="1680">
        <v>750</v>
      </c>
      <c r="O129" s="1680">
        <v>750</v>
      </c>
      <c r="P129" s="1680">
        <v>750</v>
      </c>
      <c r="Q129" s="1680">
        <v>750</v>
      </c>
      <c r="R129" s="1680">
        <v>750</v>
      </c>
      <c r="S129" s="1680">
        <v>750</v>
      </c>
      <c r="T129" s="1680">
        <v>750</v>
      </c>
      <c r="U129" s="1680">
        <v>750</v>
      </c>
      <c r="V129" s="61"/>
      <c r="W129" s="61"/>
      <c r="AP129" s="1680">
        <v>750</v>
      </c>
      <c r="AQ129" s="1680">
        <v>750</v>
      </c>
      <c r="AR129" s="1680">
        <v>750</v>
      </c>
      <c r="AS129" s="1680">
        <v>750</v>
      </c>
      <c r="AT129" s="1680">
        <v>750</v>
      </c>
      <c r="AU129" s="1680">
        <v>750</v>
      </c>
      <c r="AV129" s="1680">
        <v>750</v>
      </c>
      <c r="AW129" s="1680">
        <v>750</v>
      </c>
      <c r="AX129" s="1680">
        <v>750</v>
      </c>
      <c r="AY129" s="1680">
        <v>750</v>
      </c>
      <c r="AZ129" s="1680">
        <v>750</v>
      </c>
      <c r="BA129" s="1680">
        <v>750</v>
      </c>
      <c r="BB129" s="1680">
        <v>750</v>
      </c>
      <c r="BC129" s="1680">
        <v>750</v>
      </c>
      <c r="BD129" s="1680">
        <v>750</v>
      </c>
      <c r="BE129" s="1680">
        <v>750</v>
      </c>
      <c r="BN129" s="1680">
        <v>750</v>
      </c>
      <c r="BO129" s="1680">
        <v>750</v>
      </c>
      <c r="BP129" s="1680">
        <v>750</v>
      </c>
      <c r="BQ129" s="1680">
        <v>750</v>
      </c>
      <c r="BR129" s="1680">
        <v>750</v>
      </c>
      <c r="BS129" s="1680">
        <v>750</v>
      </c>
      <c r="BT129" s="1680">
        <v>750</v>
      </c>
      <c r="BU129" s="1680">
        <v>750</v>
      </c>
      <c r="BV129" s="1680">
        <v>750</v>
      </c>
      <c r="BW129" s="1680">
        <v>750</v>
      </c>
      <c r="BX129" s="1680">
        <v>750</v>
      </c>
      <c r="BY129" s="1680">
        <v>750</v>
      </c>
      <c r="BZ129" s="1680">
        <v>750</v>
      </c>
      <c r="CA129" s="1680">
        <v>750</v>
      </c>
      <c r="CB129" s="1680">
        <v>750</v>
      </c>
      <c r="CC129" s="1680">
        <v>750</v>
      </c>
      <c r="CK129" s="336"/>
      <c r="CL129" s="1680">
        <v>750</v>
      </c>
      <c r="CM129" s="1680">
        <v>750</v>
      </c>
      <c r="CN129" s="1680">
        <v>750</v>
      </c>
      <c r="CO129" s="1680">
        <v>750</v>
      </c>
      <c r="CP129" s="1680">
        <v>750</v>
      </c>
      <c r="CQ129" s="1680">
        <v>750</v>
      </c>
      <c r="CR129" s="1680">
        <v>750</v>
      </c>
      <c r="CS129" s="1680">
        <v>750</v>
      </c>
      <c r="CT129" s="1680">
        <v>750</v>
      </c>
      <c r="CU129" s="1680">
        <v>750</v>
      </c>
      <c r="CV129" s="1680">
        <v>750</v>
      </c>
      <c r="CW129" s="1680">
        <v>750</v>
      </c>
      <c r="CX129" s="1680">
        <v>750</v>
      </c>
      <c r="CY129" s="1680">
        <v>750</v>
      </c>
      <c r="CZ129" s="1680">
        <v>750</v>
      </c>
      <c r="DA129" s="1680">
        <v>750</v>
      </c>
      <c r="DQ129" s="1677"/>
      <c r="DV129" s="1680">
        <v>750</v>
      </c>
      <c r="DW129" s="1680">
        <v>750</v>
      </c>
      <c r="DX129" s="1680">
        <v>750</v>
      </c>
      <c r="DY129" s="1680">
        <v>750</v>
      </c>
      <c r="DZ129" s="1680">
        <v>750</v>
      </c>
      <c r="EA129" s="1680">
        <v>750</v>
      </c>
      <c r="EB129" s="1680">
        <v>750</v>
      </c>
      <c r="EC129" s="1680">
        <v>750</v>
      </c>
      <c r="ED129" s="1680">
        <v>750</v>
      </c>
      <c r="EE129" s="1680">
        <v>750</v>
      </c>
      <c r="EF129" s="1680">
        <v>750</v>
      </c>
      <c r="EG129" s="1680">
        <v>750</v>
      </c>
      <c r="EH129" s="1680">
        <v>750</v>
      </c>
      <c r="EI129" s="1680">
        <v>750</v>
      </c>
      <c r="EJ129" s="1680">
        <v>750</v>
      </c>
      <c r="EK129" s="1680">
        <v>750</v>
      </c>
      <c r="EL129" s="336"/>
      <c r="EM129" s="336"/>
      <c r="EN129" s="336"/>
      <c r="EQ129" s="61"/>
      <c r="ER129" s="61"/>
      <c r="ES129" s="61"/>
      <c r="ET129" s="61"/>
      <c r="FE129" s="1680">
        <v>750</v>
      </c>
      <c r="FF129" s="1680">
        <v>750</v>
      </c>
      <c r="FG129" s="1680">
        <v>750</v>
      </c>
      <c r="FH129" s="1680">
        <v>750</v>
      </c>
      <c r="FI129" s="1680">
        <v>750</v>
      </c>
      <c r="FJ129" s="1680">
        <v>750</v>
      </c>
      <c r="FK129" s="1680">
        <v>750</v>
      </c>
      <c r="FL129" s="1680">
        <v>750</v>
      </c>
      <c r="FM129" s="1680">
        <v>750</v>
      </c>
      <c r="FN129" s="1680">
        <v>750</v>
      </c>
      <c r="FO129" s="1680">
        <v>750</v>
      </c>
      <c r="FP129" s="1680">
        <v>750</v>
      </c>
      <c r="FQ129" s="1680">
        <v>750</v>
      </c>
      <c r="FR129" s="1680">
        <v>750</v>
      </c>
      <c r="FS129" s="1680">
        <v>750</v>
      </c>
      <c r="FT129" s="1680">
        <v>750</v>
      </c>
      <c r="SB129" s="1688"/>
      <c r="SC129" s="1688"/>
      <c r="SD129" s="1688"/>
      <c r="SE129" s="1688"/>
      <c r="SF129" s="1688"/>
      <c r="SG129" s="1688"/>
      <c r="SH129" s="1688"/>
      <c r="SI129" s="1688"/>
      <c r="SJ129" s="1688"/>
      <c r="SK129" s="1688"/>
      <c r="SL129" s="1688"/>
      <c r="SM129" s="1688"/>
      <c r="SN129" s="1688"/>
      <c r="SO129" s="1688"/>
      <c r="SP129" s="1688"/>
      <c r="SQ129" s="1688"/>
      <c r="SR129" s="1688"/>
      <c r="SS129" s="1688"/>
      <c r="ST129" s="1688"/>
      <c r="SU129" s="1688"/>
      <c r="SV129" s="1688"/>
      <c r="SW129" s="1688"/>
      <c r="SX129" s="1688"/>
      <c r="SY129" s="1688"/>
      <c r="SZ129" s="1688"/>
      <c r="TA129" s="1688"/>
      <c r="TB129" s="1688"/>
      <c r="TC129" s="1688"/>
      <c r="TD129" s="1688"/>
      <c r="TE129" s="1688"/>
      <c r="TF129" s="1688"/>
      <c r="TG129" s="1688"/>
      <c r="TH129" s="1688"/>
      <c r="TI129" s="1688"/>
      <c r="TJ129" s="1688"/>
      <c r="TK129" s="1688"/>
      <c r="TL129" s="1688"/>
      <c r="TM129" s="1688"/>
      <c r="TN129" s="1688"/>
      <c r="TO129" s="1688"/>
      <c r="TP129" s="1688"/>
      <c r="TQ129" s="1688"/>
      <c r="TR129" s="1688"/>
      <c r="TS129" s="1688"/>
      <c r="TT129" s="1688"/>
      <c r="TU129" s="1688"/>
      <c r="TV129" s="1688"/>
      <c r="TW129" s="1688"/>
      <c r="TX129" s="1688"/>
      <c r="TY129" s="1688"/>
      <c r="TZ129" s="1688"/>
      <c r="UA129" s="1688"/>
      <c r="UB129" s="1688"/>
      <c r="UC129" s="1688"/>
      <c r="UD129" s="1688"/>
      <c r="UE129" s="1688"/>
      <c r="UF129" s="1688"/>
      <c r="UG129" s="1688"/>
      <c r="UH129" s="1688"/>
      <c r="UI129" s="1688"/>
      <c r="UJ129" s="1688"/>
      <c r="UK129" s="1688"/>
      <c r="UL129" s="1688"/>
      <c r="UM129" s="1688"/>
      <c r="UN129" s="1688"/>
      <c r="UO129" s="1688"/>
      <c r="UP129" s="1688"/>
      <c r="UQ129" s="1688"/>
      <c r="UR129" s="1688"/>
      <c r="US129" s="1688"/>
      <c r="UT129" s="1688"/>
      <c r="UU129" s="1688"/>
      <c r="UV129" s="1688"/>
      <c r="UW129" s="1688"/>
      <c r="UX129" s="1688"/>
      <c r="UY129" s="1688"/>
      <c r="UZ129" s="1688"/>
      <c r="VA129" s="1688"/>
      <c r="VB129" s="1688"/>
      <c r="VC129" s="1688"/>
      <c r="VD129" s="1688"/>
      <c r="VE129" s="1688"/>
      <c r="VF129" s="1688"/>
      <c r="VG129" s="1688"/>
      <c r="VH129" s="1688"/>
      <c r="VI129" s="1688"/>
      <c r="VJ129" s="1688"/>
      <c r="VK129" s="1688"/>
      <c r="VL129" s="1688"/>
      <c r="VM129" s="1688"/>
      <c r="VN129" s="1688"/>
      <c r="VO129" s="1688"/>
      <c r="VP129" s="1688"/>
      <c r="VQ129" s="1688"/>
      <c r="VR129" s="1688"/>
      <c r="VS129" s="1688"/>
      <c r="VT129" s="1688"/>
      <c r="VU129" s="1688"/>
      <c r="VV129" s="1688"/>
      <c r="VW129" s="1688"/>
      <c r="VX129" s="1688"/>
      <c r="VY129" s="1688"/>
      <c r="VZ129" s="1688"/>
      <c r="WA129" s="1688"/>
      <c r="WB129" s="1688"/>
      <c r="WC129" s="1688"/>
      <c r="WD129" s="1688"/>
      <c r="WE129" s="1688"/>
      <c r="WF129" s="1688"/>
      <c r="WG129" s="1688"/>
      <c r="WH129" s="1688"/>
      <c r="WI129" s="1688"/>
      <c r="WJ129" s="1688"/>
      <c r="WK129" s="1688"/>
      <c r="WL129" s="1688"/>
      <c r="WM129" s="1688"/>
      <c r="WN129" s="1688"/>
      <c r="WO129" s="1688"/>
    </row>
    <row r="130" spans="1:665" s="61" customFormat="1" ht="45" customHeight="1">
      <c r="A130" s="336"/>
      <c r="B130" s="2417"/>
      <c r="C130" s="2417"/>
      <c r="D130" s="1610" t="s">
        <v>342</v>
      </c>
      <c r="E130" s="1694"/>
      <c r="F130" s="2314" t="s">
        <v>353</v>
      </c>
      <c r="G130" s="2315"/>
      <c r="H130" s="2315"/>
      <c r="I130" s="2315"/>
      <c r="J130" s="2315"/>
      <c r="K130" s="2315"/>
      <c r="L130" s="2315"/>
      <c r="M130" s="2315"/>
      <c r="N130" s="2315"/>
      <c r="O130" s="2315"/>
      <c r="P130" s="2315"/>
      <c r="Q130" s="2315"/>
      <c r="R130" s="2315"/>
      <c r="S130" s="2315"/>
      <c r="T130" s="2315"/>
      <c r="U130" s="2316"/>
      <c r="X130" s="2314" t="s">
        <v>898</v>
      </c>
      <c r="Y130" s="2315"/>
      <c r="Z130" s="2315"/>
      <c r="AA130" s="2315"/>
      <c r="AB130" s="2315"/>
      <c r="AC130" s="2315"/>
      <c r="AD130" s="2315"/>
      <c r="AE130" s="2315"/>
      <c r="AF130" s="2315"/>
      <c r="AG130" s="2315"/>
      <c r="AH130" s="2315"/>
      <c r="AI130" s="2315"/>
      <c r="AJ130" s="2315"/>
      <c r="AK130" s="2315"/>
      <c r="AL130" s="2315"/>
      <c r="AM130" s="2316"/>
      <c r="AO130" s="336"/>
      <c r="AP130" s="2335" t="s">
        <v>444</v>
      </c>
      <c r="AQ130" s="2336"/>
      <c r="AR130" s="2336"/>
      <c r="AS130" s="2336"/>
      <c r="AT130" s="2336"/>
      <c r="AU130" s="2336"/>
      <c r="AV130" s="2336"/>
      <c r="AW130" s="2336"/>
      <c r="AX130" s="2336"/>
      <c r="AY130" s="2336"/>
      <c r="AZ130" s="2336"/>
      <c r="BA130" s="2336"/>
      <c r="BB130" s="2336"/>
      <c r="BC130" s="2336"/>
      <c r="BD130" s="2336"/>
      <c r="BE130" s="2337"/>
      <c r="BX130" s="336"/>
      <c r="BY130" s="336"/>
      <c r="CM130" s="2335" t="s">
        <v>412</v>
      </c>
      <c r="CN130" s="2336"/>
      <c r="CO130" s="2336"/>
      <c r="CP130" s="2336"/>
      <c r="CQ130" s="2336"/>
      <c r="CR130" s="2336"/>
      <c r="CS130" s="2336"/>
      <c r="CT130" s="2336"/>
      <c r="CU130" s="2336"/>
      <c r="CV130" s="2336"/>
      <c r="CW130" s="2336"/>
      <c r="CX130" s="2336"/>
      <c r="CY130" s="2336"/>
      <c r="CZ130" s="2336"/>
      <c r="DA130" s="2336"/>
      <c r="DB130" s="2337"/>
      <c r="DJ130" s="2335" t="s">
        <v>904</v>
      </c>
      <c r="DK130" s="2336"/>
      <c r="DL130" s="2336"/>
      <c r="DM130" s="2336"/>
      <c r="DN130" s="2336"/>
      <c r="DO130" s="2336"/>
      <c r="DP130" s="2336"/>
      <c r="DQ130" s="2336"/>
      <c r="DR130" s="2336"/>
      <c r="DS130" s="2336"/>
      <c r="DT130" s="2336"/>
      <c r="DU130" s="2336"/>
      <c r="DV130" s="2336"/>
      <c r="DW130" s="2336"/>
      <c r="DX130" s="2336"/>
      <c r="DY130" s="2337"/>
      <c r="EN130" s="2314" t="s">
        <v>352</v>
      </c>
      <c r="EO130" s="2315"/>
      <c r="EP130" s="2315"/>
      <c r="EQ130" s="2315"/>
      <c r="ER130" s="2315"/>
      <c r="ES130" s="2315"/>
      <c r="ET130" s="2315"/>
      <c r="EU130" s="2315"/>
      <c r="EV130" s="2315"/>
      <c r="EW130" s="2315"/>
      <c r="EX130" s="2315"/>
      <c r="EY130" s="2315"/>
      <c r="EZ130" s="2315"/>
      <c r="FA130" s="2315"/>
      <c r="FB130" s="2315"/>
      <c r="FC130" s="2316"/>
      <c r="FW130" s="1674"/>
      <c r="FX130" s="1674"/>
      <c r="FY130" s="1674"/>
      <c r="FZ130" s="1674"/>
      <c r="GA130" s="1674"/>
      <c r="GB130" s="1674"/>
      <c r="HP130" s="336"/>
      <c r="HQ130" s="336"/>
      <c r="HS130" s="2335" t="s">
        <v>412</v>
      </c>
      <c r="HT130" s="2336"/>
      <c r="HU130" s="2336"/>
      <c r="HV130" s="2336"/>
      <c r="HW130" s="2336"/>
      <c r="HX130" s="2336"/>
      <c r="HY130" s="2336"/>
      <c r="HZ130" s="2336"/>
      <c r="IA130" s="2336"/>
      <c r="IB130" s="2336"/>
      <c r="IC130" s="2336"/>
      <c r="ID130" s="2336"/>
      <c r="IE130" s="2336"/>
      <c r="IF130" s="2336"/>
      <c r="IG130" s="2336"/>
      <c r="IH130" s="2337"/>
      <c r="IK130" s="2335" t="s">
        <v>410</v>
      </c>
      <c r="IL130" s="2336"/>
      <c r="IM130" s="2336"/>
      <c r="IN130" s="2336"/>
      <c r="IO130" s="2336"/>
      <c r="IP130" s="2336"/>
      <c r="IQ130" s="2336"/>
      <c r="IR130" s="2336"/>
      <c r="IS130" s="2336"/>
      <c r="IT130" s="2336"/>
      <c r="IU130" s="2336"/>
      <c r="IV130" s="2336"/>
      <c r="IW130" s="2336"/>
      <c r="IX130" s="2336"/>
      <c r="IY130" s="2336"/>
      <c r="IZ130" s="2337"/>
      <c r="JB130" s="2335" t="s">
        <v>413</v>
      </c>
      <c r="JC130" s="2336"/>
      <c r="JD130" s="2336"/>
      <c r="JE130" s="2336"/>
      <c r="JF130" s="2336"/>
      <c r="JG130" s="2336"/>
      <c r="JH130" s="2336"/>
      <c r="JI130" s="2336"/>
      <c r="JJ130" s="2336"/>
      <c r="JK130" s="2336"/>
      <c r="JL130" s="2336"/>
      <c r="JM130" s="2336"/>
      <c r="JN130" s="2336"/>
      <c r="JO130" s="2336"/>
      <c r="JP130" s="2336"/>
      <c r="JQ130" s="2337"/>
      <c r="JV130" s="2314" t="s">
        <v>353</v>
      </c>
      <c r="JW130" s="2315"/>
      <c r="JX130" s="2315"/>
      <c r="JY130" s="2315"/>
      <c r="JZ130" s="2315"/>
      <c r="KA130" s="2315"/>
      <c r="KB130" s="2315"/>
      <c r="KC130" s="2315"/>
      <c r="KD130" s="2315"/>
      <c r="KE130" s="2315"/>
      <c r="KF130" s="2315"/>
      <c r="KG130" s="2315"/>
      <c r="KH130" s="2315"/>
      <c r="KI130" s="2315"/>
      <c r="KJ130" s="2315"/>
      <c r="KK130" s="2316"/>
      <c r="KN130" s="2314" t="s">
        <v>352</v>
      </c>
      <c r="KO130" s="2315"/>
      <c r="KP130" s="2315"/>
      <c r="KQ130" s="2315"/>
      <c r="KR130" s="2315"/>
      <c r="KS130" s="2315"/>
      <c r="KT130" s="2315"/>
      <c r="KU130" s="2315"/>
      <c r="KV130" s="2315"/>
      <c r="KW130" s="2315"/>
      <c r="KX130" s="2315"/>
      <c r="KY130" s="2315"/>
      <c r="KZ130" s="2315"/>
      <c r="LA130" s="2315"/>
      <c r="LB130" s="2315"/>
      <c r="LC130" s="2316"/>
      <c r="OQ130" s="2335" t="s">
        <v>410</v>
      </c>
      <c r="OR130" s="2336"/>
      <c r="OS130" s="2336"/>
      <c r="OT130" s="2336"/>
      <c r="OU130" s="2336"/>
      <c r="OV130" s="2336"/>
      <c r="OW130" s="2336"/>
      <c r="OX130" s="2336"/>
      <c r="OY130" s="2336"/>
      <c r="OZ130" s="2336"/>
      <c r="PA130" s="2336"/>
      <c r="PB130" s="2336"/>
      <c r="PC130" s="2336"/>
      <c r="PD130" s="2336"/>
      <c r="PE130" s="2336"/>
      <c r="PF130" s="2337"/>
      <c r="PG130" s="1674"/>
      <c r="PH130" s="1674"/>
      <c r="PI130" s="1674"/>
      <c r="PJ130" s="1674"/>
      <c r="PK130" s="1674"/>
      <c r="PL130" s="1674"/>
      <c r="PM130" s="1674"/>
      <c r="PN130" s="1674"/>
      <c r="RU130" s="341"/>
      <c r="RV130" s="341"/>
      <c r="RW130" s="341"/>
      <c r="RX130" s="341"/>
      <c r="RY130" s="341"/>
      <c r="RZ130" s="341"/>
      <c r="SA130" s="341"/>
      <c r="SB130" s="341"/>
      <c r="SC130" s="341"/>
      <c r="SD130" s="341"/>
      <c r="SG130" s="341"/>
      <c r="SH130" s="341"/>
      <c r="SI130" s="341"/>
      <c r="SJ130" s="341"/>
      <c r="SK130" s="341"/>
      <c r="SL130" s="341"/>
      <c r="SM130" s="341"/>
      <c r="SN130" s="341"/>
      <c r="SO130" s="341"/>
      <c r="SP130" s="341"/>
      <c r="SQ130" s="341"/>
      <c r="SR130" s="341"/>
      <c r="SS130" s="341"/>
      <c r="ST130" s="341"/>
      <c r="SU130" s="341"/>
      <c r="SV130" s="341"/>
      <c r="SW130" s="341"/>
      <c r="SX130" s="341"/>
      <c r="SY130" s="341"/>
      <c r="SZ130" s="341"/>
      <c r="TA130" s="341"/>
      <c r="TB130" s="341"/>
      <c r="TC130" s="341"/>
      <c r="TD130" s="341"/>
      <c r="TE130" s="341"/>
      <c r="TF130" s="341"/>
      <c r="TG130" s="341"/>
      <c r="TH130" s="341"/>
      <c r="TI130" s="341"/>
      <c r="TJ130" s="341"/>
      <c r="TK130" s="341"/>
      <c r="TL130" s="341"/>
      <c r="TM130" s="341"/>
      <c r="TN130" s="341"/>
      <c r="TO130" s="341"/>
      <c r="TP130" s="341"/>
      <c r="TQ130" s="341"/>
      <c r="TR130" s="341"/>
      <c r="TS130" s="341"/>
      <c r="TT130" s="341"/>
      <c r="TU130" s="341"/>
      <c r="TV130" s="341"/>
      <c r="TW130" s="341"/>
      <c r="TX130" s="341"/>
      <c r="TY130" s="341"/>
      <c r="TZ130" s="341"/>
      <c r="UA130" s="341"/>
      <c r="UB130" s="341"/>
      <c r="UC130" s="341"/>
      <c r="UD130" s="341"/>
      <c r="UE130" s="341"/>
      <c r="UF130" s="341"/>
      <c r="UG130" s="341"/>
      <c r="UH130" s="341"/>
      <c r="UI130" s="341"/>
      <c r="UJ130" s="341"/>
      <c r="UK130" s="341"/>
      <c r="UL130" s="341"/>
      <c r="UM130" s="341"/>
      <c r="UN130" s="341"/>
      <c r="UO130" s="341"/>
      <c r="UP130" s="341"/>
      <c r="UQ130" s="341"/>
      <c r="UR130" s="341"/>
      <c r="US130" s="341"/>
      <c r="UT130" s="341"/>
      <c r="UU130" s="341"/>
      <c r="UV130" s="341"/>
      <c r="UW130" s="341"/>
      <c r="UX130" s="341"/>
      <c r="UY130" s="341"/>
      <c r="UZ130" s="341"/>
      <c r="VA130" s="341"/>
      <c r="VB130" s="341"/>
      <c r="VC130" s="341"/>
      <c r="VD130" s="341"/>
      <c r="VE130" s="341"/>
      <c r="VF130" s="341"/>
      <c r="VG130" s="341"/>
      <c r="VH130" s="341"/>
      <c r="VI130" s="341"/>
      <c r="VJ130" s="341"/>
      <c r="VK130" s="341"/>
      <c r="VL130" s="341"/>
      <c r="VM130" s="341"/>
      <c r="VN130" s="341"/>
      <c r="VO130" s="341"/>
      <c r="VP130" s="341"/>
      <c r="VQ130" s="341"/>
      <c r="VR130" s="341"/>
      <c r="VS130" s="341"/>
      <c r="VT130" s="341"/>
      <c r="VU130" s="341"/>
      <c r="VV130" s="341"/>
      <c r="VW130" s="341"/>
      <c r="VX130" s="341"/>
      <c r="VY130" s="341"/>
      <c r="VZ130" s="341"/>
      <c r="WA130" s="341"/>
      <c r="WB130" s="341"/>
      <c r="WC130" s="341"/>
      <c r="WD130" s="341"/>
      <c r="WE130" s="341"/>
      <c r="WF130" s="341"/>
      <c r="WG130" s="341"/>
      <c r="WH130" s="341"/>
      <c r="WI130" s="341"/>
      <c r="WJ130" s="341"/>
      <c r="WK130" s="341"/>
      <c r="WL130" s="341"/>
      <c r="WM130" s="341"/>
      <c r="WN130" s="341"/>
      <c r="WO130" s="341"/>
      <c r="WP130" s="341"/>
      <c r="WQ130" s="341"/>
      <c r="WR130" s="341"/>
      <c r="WS130" s="341"/>
      <c r="WT130" s="341"/>
    </row>
    <row r="131" spans="1:665" s="1674" customFormat="1" ht="45" customHeight="1">
      <c r="B131" s="2418"/>
      <c r="C131" s="2418"/>
      <c r="D131" s="1684"/>
      <c r="E131" s="1697" t="s">
        <v>873</v>
      </c>
      <c r="F131" s="1680">
        <v>750</v>
      </c>
      <c r="G131" s="1680">
        <v>750</v>
      </c>
      <c r="H131" s="1680">
        <v>750</v>
      </c>
      <c r="I131" s="1680">
        <v>750</v>
      </c>
      <c r="J131" s="1680">
        <v>750</v>
      </c>
      <c r="K131" s="1680">
        <v>750</v>
      </c>
      <c r="L131" s="1680">
        <v>750</v>
      </c>
      <c r="M131" s="1680">
        <v>750</v>
      </c>
      <c r="N131" s="1680">
        <v>750</v>
      </c>
      <c r="O131" s="1680">
        <v>750</v>
      </c>
      <c r="P131" s="1680">
        <v>750</v>
      </c>
      <c r="Q131" s="1680">
        <v>750</v>
      </c>
      <c r="R131" s="1680">
        <v>750</v>
      </c>
      <c r="S131" s="1680">
        <v>750</v>
      </c>
      <c r="T131" s="1680">
        <v>750</v>
      </c>
      <c r="U131" s="1680">
        <v>750</v>
      </c>
      <c r="X131" s="1680">
        <v>750</v>
      </c>
      <c r="Y131" s="1680">
        <v>750</v>
      </c>
      <c r="Z131" s="1680">
        <v>750</v>
      </c>
      <c r="AA131" s="1680">
        <v>750</v>
      </c>
      <c r="AB131" s="1680">
        <v>750</v>
      </c>
      <c r="AC131" s="1680">
        <v>750</v>
      </c>
      <c r="AD131" s="1680">
        <v>750</v>
      </c>
      <c r="AE131" s="1680">
        <v>750</v>
      </c>
      <c r="AF131" s="1680">
        <v>750</v>
      </c>
      <c r="AG131" s="1680">
        <v>750</v>
      </c>
      <c r="AH131" s="1680">
        <v>750</v>
      </c>
      <c r="AI131" s="1680">
        <v>750</v>
      </c>
      <c r="AJ131" s="1680">
        <v>750</v>
      </c>
      <c r="AK131" s="1680">
        <v>750</v>
      </c>
      <c r="AL131" s="1680">
        <v>750</v>
      </c>
      <c r="AM131" s="1680">
        <v>750</v>
      </c>
      <c r="AO131" s="336"/>
      <c r="AP131" s="1680">
        <v>750</v>
      </c>
      <c r="AQ131" s="1680">
        <v>750</v>
      </c>
      <c r="AR131" s="1680">
        <v>750</v>
      </c>
      <c r="AS131" s="1680">
        <v>750</v>
      </c>
      <c r="AT131" s="1680">
        <v>750</v>
      </c>
      <c r="AU131" s="1680">
        <v>750</v>
      </c>
      <c r="AV131" s="1680">
        <v>750</v>
      </c>
      <c r="AW131" s="1680">
        <v>750</v>
      </c>
      <c r="AX131" s="1680">
        <v>750</v>
      </c>
      <c r="AY131" s="1680">
        <v>750</v>
      </c>
      <c r="AZ131" s="1680">
        <v>750</v>
      </c>
      <c r="BA131" s="1680">
        <v>750</v>
      </c>
      <c r="BB131" s="1680">
        <v>750</v>
      </c>
      <c r="BC131" s="1680">
        <v>750</v>
      </c>
      <c r="BD131" s="1680">
        <v>750</v>
      </c>
      <c r="BE131" s="1680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6"/>
      <c r="BY131" s="336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0">
        <v>750</v>
      </c>
      <c r="CN131" s="1680">
        <v>750</v>
      </c>
      <c r="CO131" s="1680">
        <v>750</v>
      </c>
      <c r="CP131" s="1680">
        <v>750</v>
      </c>
      <c r="CQ131" s="1680">
        <v>750</v>
      </c>
      <c r="CR131" s="1680">
        <v>750</v>
      </c>
      <c r="CS131" s="1680">
        <v>750</v>
      </c>
      <c r="CT131" s="1680">
        <v>750</v>
      </c>
      <c r="CU131" s="1680">
        <v>750</v>
      </c>
      <c r="CV131" s="1680">
        <v>750</v>
      </c>
      <c r="CW131" s="1680">
        <v>750</v>
      </c>
      <c r="CX131" s="1680">
        <v>750</v>
      </c>
      <c r="CY131" s="1680">
        <v>750</v>
      </c>
      <c r="CZ131" s="1680">
        <v>750</v>
      </c>
      <c r="DA131" s="1680">
        <v>750</v>
      </c>
      <c r="DB131" s="1680">
        <v>750</v>
      </c>
      <c r="DJ131" s="1680">
        <v>750</v>
      </c>
      <c r="DK131" s="1680">
        <v>750</v>
      </c>
      <c r="DL131" s="1680">
        <v>750</v>
      </c>
      <c r="DM131" s="1680">
        <v>750</v>
      </c>
      <c r="DN131" s="1680">
        <v>750</v>
      </c>
      <c r="DO131" s="1680">
        <v>750</v>
      </c>
      <c r="DP131" s="1680">
        <v>750</v>
      </c>
      <c r="DQ131" s="1680">
        <v>750</v>
      </c>
      <c r="DR131" s="1680">
        <v>750</v>
      </c>
      <c r="DS131" s="1680">
        <v>750</v>
      </c>
      <c r="DT131" s="1680">
        <v>750</v>
      </c>
      <c r="DU131" s="1680">
        <v>750</v>
      </c>
      <c r="DV131" s="1680">
        <v>750</v>
      </c>
      <c r="DW131" s="1680">
        <v>750</v>
      </c>
      <c r="DX131" s="1680">
        <v>750</v>
      </c>
      <c r="DY131" s="1680">
        <v>750</v>
      </c>
      <c r="EN131" s="1680">
        <v>750</v>
      </c>
      <c r="EO131" s="1680">
        <v>750</v>
      </c>
      <c r="EP131" s="1680">
        <v>750</v>
      </c>
      <c r="EQ131" s="1680">
        <v>750</v>
      </c>
      <c r="ER131" s="1680">
        <v>750</v>
      </c>
      <c r="ES131" s="1680">
        <v>750</v>
      </c>
      <c r="ET131" s="1680">
        <v>750</v>
      </c>
      <c r="EU131" s="1680">
        <v>750</v>
      </c>
      <c r="EV131" s="1680">
        <v>750</v>
      </c>
      <c r="EW131" s="1680">
        <v>750</v>
      </c>
      <c r="EX131" s="1680">
        <v>750</v>
      </c>
      <c r="EY131" s="1680">
        <v>750</v>
      </c>
      <c r="EZ131" s="1680">
        <v>750</v>
      </c>
      <c r="FA131" s="1680">
        <v>750</v>
      </c>
      <c r="FB131" s="1680">
        <v>750</v>
      </c>
      <c r="FC131" s="1680">
        <v>750</v>
      </c>
      <c r="HS131" s="1680">
        <v>750</v>
      </c>
      <c r="HT131" s="1680">
        <v>750</v>
      </c>
      <c r="HU131" s="1680">
        <v>750</v>
      </c>
      <c r="HV131" s="1680">
        <v>750</v>
      </c>
      <c r="HW131" s="1680">
        <v>750</v>
      </c>
      <c r="HX131" s="1680">
        <v>750</v>
      </c>
      <c r="HY131" s="1680">
        <v>750</v>
      </c>
      <c r="HZ131" s="1680">
        <v>750</v>
      </c>
      <c r="IA131" s="1680">
        <v>750</v>
      </c>
      <c r="IB131" s="1680">
        <v>750</v>
      </c>
      <c r="IC131" s="1680">
        <v>750</v>
      </c>
      <c r="ID131" s="1680">
        <v>750</v>
      </c>
      <c r="IE131" s="1680">
        <v>750</v>
      </c>
      <c r="IF131" s="1680">
        <v>750</v>
      </c>
      <c r="IG131" s="1680">
        <v>750</v>
      </c>
      <c r="IH131" s="1680">
        <v>750</v>
      </c>
      <c r="IK131" s="1680">
        <v>750</v>
      </c>
      <c r="IL131" s="1680">
        <v>750</v>
      </c>
      <c r="IM131" s="1680">
        <v>750</v>
      </c>
      <c r="IN131" s="1680">
        <v>750</v>
      </c>
      <c r="IO131" s="1680">
        <v>750</v>
      </c>
      <c r="IP131" s="1680">
        <v>750</v>
      </c>
      <c r="IQ131" s="1680">
        <v>750</v>
      </c>
      <c r="IR131" s="1680">
        <v>750</v>
      </c>
      <c r="IS131" s="1680">
        <v>750</v>
      </c>
      <c r="IT131" s="1680">
        <v>750</v>
      </c>
      <c r="IU131" s="1680">
        <v>750</v>
      </c>
      <c r="IV131" s="1680">
        <v>750</v>
      </c>
      <c r="IW131" s="1680">
        <v>750</v>
      </c>
      <c r="IX131" s="1680">
        <v>750</v>
      </c>
      <c r="IY131" s="1680">
        <v>750</v>
      </c>
      <c r="IZ131" s="1680">
        <v>750</v>
      </c>
      <c r="JB131" s="1680">
        <v>750</v>
      </c>
      <c r="JC131" s="1680">
        <v>750</v>
      </c>
      <c r="JD131" s="1680">
        <v>750</v>
      </c>
      <c r="JE131" s="1680">
        <v>750</v>
      </c>
      <c r="JF131" s="1680">
        <v>750</v>
      </c>
      <c r="JG131" s="1680">
        <v>750</v>
      </c>
      <c r="JH131" s="1680">
        <v>750</v>
      </c>
      <c r="JI131" s="1680">
        <v>750</v>
      </c>
      <c r="JJ131" s="1680">
        <v>750</v>
      </c>
      <c r="JK131" s="1680">
        <v>750</v>
      </c>
      <c r="JL131" s="1680">
        <v>750</v>
      </c>
      <c r="JM131" s="1680">
        <v>750</v>
      </c>
      <c r="JN131" s="1680">
        <v>750</v>
      </c>
      <c r="JO131" s="1680">
        <v>750</v>
      </c>
      <c r="JP131" s="1680">
        <v>750</v>
      </c>
      <c r="JQ131" s="1680">
        <v>750</v>
      </c>
      <c r="JV131" s="1680">
        <v>750</v>
      </c>
      <c r="JW131" s="1680">
        <v>750</v>
      </c>
      <c r="JX131" s="1680">
        <v>750</v>
      </c>
      <c r="JY131" s="1680">
        <v>750</v>
      </c>
      <c r="JZ131" s="1680">
        <v>750</v>
      </c>
      <c r="KA131" s="1680">
        <v>750</v>
      </c>
      <c r="KB131" s="1680">
        <v>750</v>
      </c>
      <c r="KC131" s="1680">
        <v>750</v>
      </c>
      <c r="KD131" s="1680">
        <v>750</v>
      </c>
      <c r="KE131" s="1680">
        <v>750</v>
      </c>
      <c r="KF131" s="1680">
        <v>750</v>
      </c>
      <c r="KG131" s="1680">
        <v>750</v>
      </c>
      <c r="KH131" s="1680">
        <v>750</v>
      </c>
      <c r="KI131" s="1680">
        <v>750</v>
      </c>
      <c r="KJ131" s="1680">
        <v>750</v>
      </c>
      <c r="KK131" s="1680">
        <v>750</v>
      </c>
      <c r="KN131" s="1680">
        <v>750</v>
      </c>
      <c r="KO131" s="1680">
        <v>750</v>
      </c>
      <c r="KP131" s="1680">
        <v>750</v>
      </c>
      <c r="KQ131" s="1680">
        <v>750</v>
      </c>
      <c r="KR131" s="1680">
        <v>750</v>
      </c>
      <c r="KS131" s="1680">
        <v>750</v>
      </c>
      <c r="KT131" s="1680">
        <v>750</v>
      </c>
      <c r="KU131" s="1680">
        <v>750</v>
      </c>
      <c r="KV131" s="1680">
        <v>750</v>
      </c>
      <c r="KW131" s="1680">
        <v>750</v>
      </c>
      <c r="KX131" s="1680">
        <v>750</v>
      </c>
      <c r="KY131" s="1680">
        <v>750</v>
      </c>
      <c r="KZ131" s="1680">
        <v>750</v>
      </c>
      <c r="LA131" s="1680">
        <v>750</v>
      </c>
      <c r="LB131" s="1680">
        <v>750</v>
      </c>
      <c r="LC131" s="1680">
        <v>750</v>
      </c>
      <c r="LD131" s="336"/>
      <c r="LE131" s="336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6"/>
      <c r="OQ131" s="1680">
        <v>750</v>
      </c>
      <c r="OR131" s="1680">
        <v>750</v>
      </c>
      <c r="OS131" s="1680">
        <v>750</v>
      </c>
      <c r="OT131" s="1680">
        <v>750</v>
      </c>
      <c r="OU131" s="1680">
        <v>750</v>
      </c>
      <c r="OV131" s="1680">
        <v>750</v>
      </c>
      <c r="OW131" s="1680">
        <v>750</v>
      </c>
      <c r="OX131" s="1680">
        <v>750</v>
      </c>
      <c r="OY131" s="1680">
        <v>750</v>
      </c>
      <c r="OZ131" s="1680">
        <v>750</v>
      </c>
      <c r="PA131" s="1680">
        <v>750</v>
      </c>
      <c r="PB131" s="1680">
        <v>750</v>
      </c>
      <c r="PC131" s="1680">
        <v>750</v>
      </c>
      <c r="PD131" s="1680">
        <v>750</v>
      </c>
      <c r="PE131" s="1680">
        <v>750</v>
      </c>
      <c r="PF131" s="1680">
        <v>750</v>
      </c>
      <c r="RU131" s="1688"/>
      <c r="RV131" s="1688"/>
      <c r="RW131" s="1688"/>
      <c r="RX131" s="1688"/>
      <c r="RY131" s="1688"/>
      <c r="RZ131" s="1688"/>
      <c r="SA131" s="1688"/>
      <c r="SB131" s="1688"/>
      <c r="SC131" s="1688"/>
      <c r="SD131" s="1688"/>
      <c r="SG131" s="1688"/>
      <c r="SH131" s="1688"/>
      <c r="SI131" s="1688"/>
      <c r="SJ131" s="1688"/>
      <c r="SK131" s="1688"/>
      <c r="SL131" s="1688"/>
      <c r="SM131" s="1688"/>
      <c r="SN131" s="1688"/>
      <c r="SO131" s="1688"/>
      <c r="SP131" s="1688"/>
      <c r="SQ131" s="1688"/>
      <c r="SR131" s="1688"/>
      <c r="SS131" s="1688"/>
      <c r="ST131" s="1688"/>
      <c r="SU131" s="1688"/>
      <c r="SV131" s="1688"/>
      <c r="SW131" s="1688"/>
      <c r="SX131" s="1688"/>
      <c r="SY131" s="1688"/>
      <c r="SZ131" s="1688"/>
      <c r="TA131" s="1688"/>
      <c r="TB131" s="1688"/>
      <c r="TC131" s="1688"/>
      <c r="TD131" s="1688"/>
      <c r="TE131" s="1688"/>
      <c r="TF131" s="1688"/>
      <c r="TG131" s="1688"/>
      <c r="TH131" s="1688"/>
      <c r="TI131" s="1688"/>
      <c r="TJ131" s="1688"/>
      <c r="TK131" s="1688"/>
      <c r="TL131" s="1688"/>
      <c r="TM131" s="1688"/>
      <c r="TN131" s="1688"/>
      <c r="TO131" s="1688"/>
      <c r="TP131" s="1688"/>
      <c r="TQ131" s="1688"/>
      <c r="TR131" s="1688"/>
      <c r="TS131" s="1688"/>
      <c r="TT131" s="1688"/>
      <c r="TU131" s="1688"/>
      <c r="TV131" s="1688"/>
      <c r="TW131" s="1688"/>
      <c r="TX131" s="1688"/>
      <c r="TY131" s="1688"/>
      <c r="TZ131" s="1688"/>
      <c r="UA131" s="1688"/>
      <c r="UB131" s="1688"/>
      <c r="UC131" s="1688"/>
      <c r="UD131" s="1688"/>
      <c r="UE131" s="1688"/>
      <c r="UF131" s="1688"/>
      <c r="UG131" s="1688"/>
      <c r="UH131" s="1688"/>
      <c r="UI131" s="1688"/>
      <c r="UJ131" s="1688"/>
      <c r="UK131" s="1688"/>
      <c r="UL131" s="1688"/>
      <c r="UM131" s="1688"/>
      <c r="UN131" s="1688"/>
      <c r="UO131" s="1688"/>
      <c r="UP131" s="1688"/>
      <c r="UQ131" s="1688"/>
      <c r="UR131" s="1688"/>
      <c r="US131" s="1688"/>
      <c r="UT131" s="1688"/>
      <c r="UU131" s="1688"/>
      <c r="UV131" s="1688"/>
      <c r="UW131" s="1688"/>
      <c r="UX131" s="1688"/>
      <c r="UY131" s="1688"/>
      <c r="UZ131" s="1688"/>
      <c r="VA131" s="1688"/>
      <c r="VB131" s="1688"/>
      <c r="VC131" s="1688"/>
      <c r="VD131" s="1688"/>
      <c r="VE131" s="1688"/>
      <c r="VF131" s="1688"/>
      <c r="VG131" s="1688"/>
      <c r="VH131" s="1688"/>
      <c r="VI131" s="1688"/>
      <c r="VJ131" s="1688"/>
      <c r="VK131" s="1688"/>
      <c r="VL131" s="1688"/>
      <c r="VM131" s="1688"/>
      <c r="VN131" s="1688"/>
      <c r="VO131" s="1688"/>
      <c r="VP131" s="1688"/>
      <c r="VQ131" s="1688"/>
      <c r="VR131" s="1688"/>
      <c r="VS131" s="1688"/>
      <c r="VT131" s="1688"/>
      <c r="VU131" s="1688"/>
      <c r="VV131" s="1688"/>
      <c r="VW131" s="1688"/>
      <c r="VX131" s="1688"/>
      <c r="VY131" s="1688"/>
      <c r="VZ131" s="1688"/>
      <c r="WA131" s="1688"/>
      <c r="WB131" s="1688"/>
      <c r="WC131" s="1688"/>
      <c r="WD131" s="1688"/>
      <c r="WE131" s="1688"/>
      <c r="WF131" s="1688"/>
      <c r="WG131" s="1688"/>
      <c r="WH131" s="1688"/>
      <c r="WI131" s="1688"/>
      <c r="WJ131" s="1688"/>
      <c r="WK131" s="1688"/>
      <c r="WL131" s="1688"/>
      <c r="WM131" s="1688"/>
      <c r="WN131" s="1688"/>
      <c r="WO131" s="1688"/>
      <c r="WP131" s="1688"/>
      <c r="WQ131" s="1688"/>
      <c r="WR131" s="1688"/>
      <c r="WS131" s="1688"/>
      <c r="WT131" s="1688"/>
    </row>
    <row r="132" spans="1:665" s="61" customFormat="1" ht="27.75" customHeight="1">
      <c r="A132" s="336" t="s">
        <v>287</v>
      </c>
      <c r="B132" s="336" t="s">
        <v>40</v>
      </c>
      <c r="C132" s="342"/>
      <c r="D132" s="1619">
        <v>44208</v>
      </c>
      <c r="E132" s="1694"/>
      <c r="F132" s="1631">
        <v>0</v>
      </c>
      <c r="G132" s="1640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1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3"/>
      <c r="B133" s="2407" t="s">
        <v>467</v>
      </c>
      <c r="C133" s="2408"/>
      <c r="D133" s="2409"/>
      <c r="E133" s="1694"/>
      <c r="F133" s="2344" t="s">
        <v>288</v>
      </c>
      <c r="G133" s="2345"/>
      <c r="H133" s="2345"/>
      <c r="I133" s="2345"/>
      <c r="J133" s="2345"/>
      <c r="K133" s="2345"/>
      <c r="L133" s="2345"/>
      <c r="M133" s="2345"/>
      <c r="N133" s="2345"/>
      <c r="O133" s="2345"/>
      <c r="P133" s="2345"/>
      <c r="Q133" s="2345"/>
      <c r="R133" s="2345"/>
      <c r="S133" s="2345"/>
      <c r="T133" s="2345"/>
      <c r="U133" s="2345"/>
      <c r="V133" s="2345"/>
      <c r="W133" s="2345"/>
      <c r="X133" s="2345"/>
      <c r="Y133" s="2345"/>
      <c r="Z133" s="2345"/>
      <c r="AA133" s="2346"/>
      <c r="AB133" s="2344" t="s">
        <v>878</v>
      </c>
      <c r="AC133" s="2345"/>
      <c r="AD133" s="2345"/>
      <c r="AE133" s="2345"/>
      <c r="AF133" s="2345"/>
      <c r="AG133" s="2345"/>
      <c r="AH133" s="2345"/>
      <c r="AI133" s="2345"/>
      <c r="AJ133" s="2345"/>
      <c r="AK133" s="2345"/>
      <c r="AL133" s="2345"/>
      <c r="AM133" s="2346"/>
      <c r="AN133" s="2344" t="s">
        <v>878</v>
      </c>
      <c r="AO133" s="2345"/>
      <c r="AP133" s="2345"/>
      <c r="AQ133" s="2345"/>
      <c r="AR133" s="2345"/>
      <c r="AS133" s="2345"/>
      <c r="AT133" s="2345"/>
      <c r="AU133" s="2345"/>
      <c r="AV133" s="2345"/>
      <c r="AW133" s="2345"/>
      <c r="AX133" s="2345"/>
      <c r="AY133" s="2346"/>
      <c r="AZ133" s="2344" t="s">
        <v>878</v>
      </c>
      <c r="BA133" s="2345"/>
      <c r="BB133" s="2345"/>
      <c r="BC133" s="2345"/>
      <c r="BD133" s="2345"/>
      <c r="BE133" s="2345"/>
      <c r="BF133" s="2345"/>
      <c r="BG133" s="2345"/>
      <c r="BH133" s="2345"/>
      <c r="BI133" s="2345"/>
      <c r="BJ133" s="2345"/>
      <c r="BK133" s="2346"/>
      <c r="BL133" s="2344" t="s">
        <v>288</v>
      </c>
      <c r="BM133" s="2345"/>
      <c r="BN133" s="2345"/>
      <c r="BO133" s="2345"/>
      <c r="BP133" s="2345"/>
      <c r="BQ133" s="2345"/>
      <c r="BR133" s="2345"/>
      <c r="BS133" s="2345"/>
      <c r="BT133" s="2345"/>
      <c r="BU133" s="2345"/>
      <c r="BV133" s="2345"/>
      <c r="BW133" s="2345"/>
      <c r="BX133" s="2346"/>
      <c r="DH133" s="2344" t="s">
        <v>878</v>
      </c>
      <c r="DI133" s="2345"/>
      <c r="DJ133" s="2345"/>
      <c r="DK133" s="2345"/>
      <c r="DL133" s="2345"/>
      <c r="DM133" s="2345"/>
      <c r="DN133" s="2345"/>
      <c r="DO133" s="2345"/>
      <c r="DP133" s="2345"/>
      <c r="DQ133" s="2345"/>
      <c r="DR133" s="2345"/>
      <c r="DS133" s="2346"/>
      <c r="DT133" s="2344" t="s">
        <v>878</v>
      </c>
      <c r="DU133" s="2345"/>
      <c r="DV133" s="2345"/>
      <c r="DW133" s="2345"/>
      <c r="DX133" s="2345"/>
      <c r="DY133" s="2345"/>
      <c r="DZ133" s="2345"/>
      <c r="EA133" s="2345"/>
      <c r="EB133" s="2345"/>
      <c r="EC133" s="2345"/>
      <c r="ED133" s="2345"/>
      <c r="EE133" s="2346"/>
      <c r="EF133" s="2344" t="s">
        <v>288</v>
      </c>
      <c r="EG133" s="2345"/>
      <c r="EH133" s="2345"/>
      <c r="EI133" s="2345"/>
      <c r="EJ133" s="2345"/>
      <c r="EK133" s="2345"/>
      <c r="EL133" s="2345"/>
      <c r="EM133" s="2345"/>
      <c r="EN133" s="2345"/>
      <c r="EO133" s="2345"/>
      <c r="EP133" s="2345"/>
      <c r="EQ133" s="2345"/>
      <c r="ER133" s="2345"/>
      <c r="ES133" s="2345"/>
      <c r="ET133" s="2345"/>
      <c r="EU133" s="2345"/>
      <c r="EV133" s="2345"/>
      <c r="EW133" s="2345"/>
      <c r="EX133" s="2345"/>
      <c r="EY133" s="2345"/>
      <c r="EZ133" s="2345"/>
      <c r="FA133" s="2346"/>
      <c r="GB133" s="2353" t="s">
        <v>877</v>
      </c>
      <c r="GC133" s="2354"/>
      <c r="GD133" s="2354"/>
      <c r="GE133" s="2354"/>
      <c r="GF133" s="2354"/>
      <c r="GG133" s="2354"/>
      <c r="GH133" s="2354"/>
      <c r="GI133" s="2354"/>
      <c r="GJ133" s="2354"/>
      <c r="GK133" s="2354"/>
      <c r="GL133" s="2354"/>
      <c r="GM133" s="2354"/>
      <c r="GN133" s="2355"/>
      <c r="GO133" s="2344" t="s">
        <v>878</v>
      </c>
      <c r="GP133" s="2345"/>
      <c r="GQ133" s="2345"/>
      <c r="GR133" s="2345"/>
      <c r="GS133" s="2345"/>
      <c r="GT133" s="2345"/>
      <c r="GU133" s="2345"/>
      <c r="GV133" s="2345"/>
      <c r="GW133" s="2345"/>
      <c r="GX133" s="2345"/>
      <c r="GY133" s="2345"/>
      <c r="GZ133" s="2346"/>
      <c r="HA133" s="2344" t="s">
        <v>288</v>
      </c>
      <c r="HB133" s="2345"/>
      <c r="HC133" s="2345"/>
      <c r="HD133" s="2345"/>
      <c r="HE133" s="2345"/>
      <c r="HF133" s="2345"/>
      <c r="HG133" s="2345"/>
      <c r="HH133" s="2345"/>
      <c r="HI133" s="2345"/>
      <c r="HJ133" s="2345"/>
      <c r="HK133" s="2345"/>
      <c r="HL133" s="2345"/>
      <c r="HM133" s="2346"/>
      <c r="HT133" s="2344" t="s">
        <v>878</v>
      </c>
      <c r="HU133" s="2345"/>
      <c r="HV133" s="2345"/>
      <c r="HW133" s="2345"/>
      <c r="HX133" s="2345"/>
      <c r="HY133" s="2345"/>
      <c r="HZ133" s="2345"/>
      <c r="IA133" s="2345"/>
      <c r="IB133" s="2345"/>
      <c r="IC133" s="2345"/>
      <c r="ID133" s="2345"/>
      <c r="IE133" s="2345"/>
      <c r="IF133" s="2345"/>
      <c r="IG133" s="2345"/>
      <c r="IH133" s="2345"/>
      <c r="II133" s="2345"/>
      <c r="IJ133" s="2345"/>
      <c r="IK133" s="2345"/>
      <c r="IL133" s="2345"/>
      <c r="IM133" s="2345"/>
      <c r="IN133" s="2345"/>
      <c r="IO133" s="2345"/>
      <c r="IP133" s="2345"/>
      <c r="IQ133" s="2345"/>
      <c r="IR133" s="2345"/>
      <c r="IS133" s="2345"/>
      <c r="IT133" s="2345"/>
      <c r="IU133" s="2345"/>
      <c r="IV133" s="2345"/>
      <c r="IW133" s="2345"/>
      <c r="IX133" s="2345"/>
      <c r="IY133" s="2345"/>
      <c r="IZ133" s="2345"/>
      <c r="JA133" s="2345"/>
      <c r="JB133" s="2345"/>
      <c r="JC133" s="2345"/>
      <c r="JD133" s="2346"/>
      <c r="JE133" s="2344" t="s">
        <v>288</v>
      </c>
      <c r="JF133" s="2345"/>
      <c r="JG133" s="2345"/>
      <c r="JH133" s="2345"/>
      <c r="JI133" s="2345"/>
      <c r="JJ133" s="2345"/>
      <c r="JK133" s="2345"/>
      <c r="JL133" s="2345"/>
      <c r="JM133" s="2345"/>
      <c r="JN133" s="2345"/>
      <c r="JO133" s="2345"/>
      <c r="JP133" s="2345"/>
      <c r="JQ133" s="2346"/>
    </row>
    <row r="134" spans="1:665" s="1730" customFormat="1" ht="27.75" customHeight="1">
      <c r="E134" s="1697" t="s">
        <v>873</v>
      </c>
      <c r="F134" s="1681">
        <v>900</v>
      </c>
      <c r="G134" s="1681">
        <v>900</v>
      </c>
      <c r="H134" s="1681">
        <v>900</v>
      </c>
      <c r="I134" s="1681">
        <v>900</v>
      </c>
      <c r="J134" s="1681">
        <v>900</v>
      </c>
      <c r="K134" s="1681">
        <v>900</v>
      </c>
      <c r="L134" s="1681">
        <v>900</v>
      </c>
      <c r="M134" s="1681">
        <v>900</v>
      </c>
      <c r="N134" s="1681">
        <v>900</v>
      </c>
      <c r="O134" s="1681">
        <v>900</v>
      </c>
      <c r="P134" s="1681">
        <v>900</v>
      </c>
      <c r="Q134" s="1681">
        <v>900</v>
      </c>
      <c r="R134" s="1681">
        <v>900</v>
      </c>
      <c r="S134" s="1681">
        <v>900</v>
      </c>
      <c r="T134" s="1681">
        <v>900</v>
      </c>
      <c r="U134" s="1681">
        <v>900</v>
      </c>
      <c r="V134" s="1681">
        <v>900</v>
      </c>
      <c r="W134" s="1681">
        <v>900</v>
      </c>
      <c r="X134" s="1681">
        <v>900</v>
      </c>
      <c r="Y134" s="1681">
        <v>900</v>
      </c>
      <c r="Z134" s="1681">
        <v>900</v>
      </c>
      <c r="AA134" s="1681">
        <v>900</v>
      </c>
      <c r="AB134" s="1681">
        <v>900</v>
      </c>
      <c r="AC134" s="1681">
        <v>900</v>
      </c>
      <c r="AD134" s="1681">
        <v>900</v>
      </c>
      <c r="AE134" s="1681">
        <v>900</v>
      </c>
      <c r="AF134" s="1681">
        <v>900</v>
      </c>
      <c r="AG134" s="1681">
        <v>900</v>
      </c>
      <c r="AH134" s="1681">
        <v>900</v>
      </c>
      <c r="AI134" s="1681">
        <v>900</v>
      </c>
      <c r="AJ134" s="1681">
        <v>900</v>
      </c>
      <c r="AK134" s="1681">
        <v>900</v>
      </c>
      <c r="AL134" s="1681">
        <v>900</v>
      </c>
      <c r="AM134" s="1681">
        <v>900</v>
      </c>
      <c r="AN134" s="1681">
        <v>900</v>
      </c>
      <c r="AO134" s="1681">
        <v>900</v>
      </c>
      <c r="AP134" s="1681">
        <v>900</v>
      </c>
      <c r="AQ134" s="1681">
        <v>900</v>
      </c>
      <c r="AR134" s="1681">
        <v>900</v>
      </c>
      <c r="AS134" s="1681">
        <v>900</v>
      </c>
      <c r="AT134" s="1681">
        <v>900</v>
      </c>
      <c r="AU134" s="1681">
        <v>900</v>
      </c>
      <c r="AV134" s="1681">
        <v>900</v>
      </c>
      <c r="AW134" s="1681">
        <v>900</v>
      </c>
      <c r="AX134" s="1681">
        <v>900</v>
      </c>
      <c r="AY134" s="1681">
        <v>900</v>
      </c>
      <c r="AZ134" s="1681">
        <v>900</v>
      </c>
      <c r="BA134" s="1681">
        <v>900</v>
      </c>
      <c r="BB134" s="1681">
        <v>900</v>
      </c>
      <c r="BC134" s="1681">
        <v>900</v>
      </c>
      <c r="BD134" s="1681">
        <v>900</v>
      </c>
      <c r="BE134" s="1681">
        <v>900</v>
      </c>
      <c r="BF134" s="1681">
        <v>900</v>
      </c>
      <c r="BG134" s="1681">
        <v>900</v>
      </c>
      <c r="BH134" s="1681">
        <v>900</v>
      </c>
      <c r="BI134" s="1681">
        <v>900</v>
      </c>
      <c r="BJ134" s="1681">
        <v>900</v>
      </c>
      <c r="BK134" s="1681">
        <v>900</v>
      </c>
      <c r="BL134" s="1681">
        <v>900</v>
      </c>
      <c r="BM134" s="1681">
        <v>900</v>
      </c>
      <c r="BN134" s="1681">
        <v>900</v>
      </c>
      <c r="BO134" s="1681">
        <v>900</v>
      </c>
      <c r="BP134" s="1681">
        <v>900</v>
      </c>
      <c r="BQ134" s="1681">
        <v>900</v>
      </c>
      <c r="BR134" s="1681">
        <v>900</v>
      </c>
      <c r="BS134" s="1681">
        <v>900</v>
      </c>
      <c r="BT134" s="1681">
        <v>900</v>
      </c>
      <c r="BU134" s="1681">
        <v>900</v>
      </c>
      <c r="BV134" s="1681">
        <v>900</v>
      </c>
      <c r="BW134" s="1681">
        <v>900</v>
      </c>
      <c r="BX134" s="1681">
        <v>900</v>
      </c>
      <c r="CI134" s="1681"/>
      <c r="DH134" s="1681">
        <v>900</v>
      </c>
      <c r="DI134" s="1681">
        <v>900</v>
      </c>
      <c r="DJ134" s="1681">
        <v>900</v>
      </c>
      <c r="DK134" s="1681">
        <v>900</v>
      </c>
      <c r="DL134" s="1681">
        <v>900</v>
      </c>
      <c r="DM134" s="1681">
        <v>900</v>
      </c>
      <c r="DN134" s="1681">
        <v>900</v>
      </c>
      <c r="DO134" s="1681">
        <v>900</v>
      </c>
      <c r="DP134" s="1681">
        <v>900</v>
      </c>
      <c r="DQ134" s="1681">
        <v>900</v>
      </c>
      <c r="DR134" s="1681">
        <v>900</v>
      </c>
      <c r="DS134" s="1681">
        <v>900</v>
      </c>
      <c r="DT134" s="1681">
        <v>900</v>
      </c>
      <c r="DU134" s="1681">
        <v>900</v>
      </c>
      <c r="DV134" s="1681">
        <v>900</v>
      </c>
      <c r="DW134" s="1681">
        <v>900</v>
      </c>
      <c r="DX134" s="1681">
        <v>900</v>
      </c>
      <c r="DY134" s="1681">
        <v>900</v>
      </c>
      <c r="DZ134" s="1681">
        <v>900</v>
      </c>
      <c r="EA134" s="1681">
        <v>900</v>
      </c>
      <c r="EB134" s="1681">
        <v>900</v>
      </c>
      <c r="EC134" s="1681">
        <v>900</v>
      </c>
      <c r="ED134" s="1681">
        <v>900</v>
      </c>
      <c r="EE134" s="1681">
        <v>900</v>
      </c>
      <c r="EF134" s="1681">
        <v>900</v>
      </c>
      <c r="EG134" s="1681">
        <v>900</v>
      </c>
      <c r="EH134" s="1681">
        <v>900</v>
      </c>
      <c r="EI134" s="1681">
        <v>900</v>
      </c>
      <c r="EJ134" s="1681">
        <v>900</v>
      </c>
      <c r="EK134" s="1681">
        <v>900</v>
      </c>
      <c r="EL134" s="1681">
        <v>900</v>
      </c>
      <c r="EM134" s="1681">
        <v>900</v>
      </c>
      <c r="EN134" s="1681">
        <v>900</v>
      </c>
      <c r="EO134" s="1681">
        <v>900</v>
      </c>
      <c r="EP134" s="1681">
        <v>900</v>
      </c>
      <c r="EQ134" s="1681">
        <v>900</v>
      </c>
      <c r="ER134" s="1681">
        <v>900</v>
      </c>
      <c r="ES134" s="1681">
        <v>900</v>
      </c>
      <c r="ET134" s="1681">
        <v>900</v>
      </c>
      <c r="EU134" s="1681">
        <v>900</v>
      </c>
      <c r="EV134" s="1681">
        <v>900</v>
      </c>
      <c r="EW134" s="1681">
        <v>900</v>
      </c>
      <c r="EX134" s="1681">
        <v>900</v>
      </c>
      <c r="EY134" s="1681">
        <v>900</v>
      </c>
      <c r="EZ134" s="1681">
        <v>900</v>
      </c>
      <c r="FA134" s="1681">
        <v>900</v>
      </c>
      <c r="GB134" s="1681">
        <v>900</v>
      </c>
      <c r="GC134" s="1681">
        <v>900</v>
      </c>
      <c r="GD134" s="1681">
        <v>900</v>
      </c>
      <c r="GE134" s="1681">
        <v>900</v>
      </c>
      <c r="GF134" s="1681">
        <v>900</v>
      </c>
      <c r="GG134" s="1681">
        <v>900</v>
      </c>
      <c r="GH134" s="1681">
        <v>900</v>
      </c>
      <c r="GI134" s="1681">
        <v>900</v>
      </c>
      <c r="GJ134" s="1681">
        <v>900</v>
      </c>
      <c r="GK134" s="1681">
        <v>900</v>
      </c>
      <c r="GL134" s="1681">
        <v>900</v>
      </c>
      <c r="GM134" s="1681">
        <v>900</v>
      </c>
      <c r="GN134" s="1681">
        <v>900</v>
      </c>
      <c r="GO134" s="1681">
        <v>900</v>
      </c>
      <c r="GP134" s="1681">
        <v>900</v>
      </c>
      <c r="GQ134" s="1681">
        <v>900</v>
      </c>
      <c r="GR134" s="1681">
        <v>900</v>
      </c>
      <c r="GS134" s="1681">
        <v>900</v>
      </c>
      <c r="GT134" s="1681">
        <v>900</v>
      </c>
      <c r="GU134" s="1681">
        <v>900</v>
      </c>
      <c r="GV134" s="1681">
        <v>900</v>
      </c>
      <c r="GW134" s="1681">
        <v>900</v>
      </c>
      <c r="GX134" s="1681">
        <v>900</v>
      </c>
      <c r="GY134" s="1681">
        <v>900</v>
      </c>
      <c r="GZ134" s="1681">
        <v>900</v>
      </c>
      <c r="HA134" s="1681">
        <v>900</v>
      </c>
      <c r="HB134" s="1681">
        <v>900</v>
      </c>
      <c r="HC134" s="1681">
        <v>900</v>
      </c>
      <c r="HD134" s="1681">
        <v>900</v>
      </c>
      <c r="HE134" s="1681">
        <v>900</v>
      </c>
      <c r="HF134" s="1681">
        <v>900</v>
      </c>
      <c r="HG134" s="1681">
        <v>900</v>
      </c>
      <c r="HH134" s="1681">
        <v>900</v>
      </c>
      <c r="HI134" s="1681">
        <v>900</v>
      </c>
      <c r="HJ134" s="1681">
        <v>900</v>
      </c>
      <c r="HK134" s="1681">
        <v>900</v>
      </c>
      <c r="HL134" s="1681">
        <v>900</v>
      </c>
      <c r="HM134" s="1681">
        <v>900</v>
      </c>
      <c r="HT134" s="1681">
        <v>900</v>
      </c>
      <c r="HU134" s="1681">
        <v>900</v>
      </c>
      <c r="HV134" s="1681">
        <v>900</v>
      </c>
      <c r="HW134" s="1681">
        <v>900</v>
      </c>
      <c r="HX134" s="1681">
        <v>900</v>
      </c>
      <c r="HY134" s="1681">
        <v>900</v>
      </c>
      <c r="HZ134" s="1681">
        <v>900</v>
      </c>
      <c r="IA134" s="1681">
        <v>900</v>
      </c>
      <c r="IB134" s="1681">
        <v>900</v>
      </c>
      <c r="IC134" s="1681">
        <v>900</v>
      </c>
      <c r="ID134" s="1681">
        <v>900</v>
      </c>
      <c r="IE134" s="1681">
        <v>900</v>
      </c>
      <c r="IF134" s="1681">
        <v>900</v>
      </c>
      <c r="IG134" s="1681">
        <v>900</v>
      </c>
      <c r="IH134" s="1681">
        <v>900</v>
      </c>
      <c r="II134" s="1681">
        <v>900</v>
      </c>
      <c r="IJ134" s="1681">
        <v>900</v>
      </c>
      <c r="IK134" s="1681">
        <v>900</v>
      </c>
      <c r="IL134" s="1681">
        <v>900</v>
      </c>
      <c r="IM134" s="1681">
        <v>900</v>
      </c>
      <c r="IN134" s="1681">
        <v>900</v>
      </c>
      <c r="IO134" s="1681">
        <v>900</v>
      </c>
      <c r="IP134" s="1681">
        <v>900</v>
      </c>
      <c r="IQ134" s="1681">
        <v>900</v>
      </c>
      <c r="IR134" s="1681">
        <v>900</v>
      </c>
      <c r="IS134" s="1681">
        <v>900</v>
      </c>
      <c r="IT134" s="1681">
        <v>900</v>
      </c>
      <c r="IU134" s="1681">
        <v>900</v>
      </c>
      <c r="IV134" s="1681">
        <v>900</v>
      </c>
      <c r="IW134" s="1681">
        <v>900</v>
      </c>
      <c r="IX134" s="1681">
        <v>900</v>
      </c>
      <c r="IY134" s="1681">
        <v>900</v>
      </c>
      <c r="IZ134" s="1681">
        <v>900</v>
      </c>
      <c r="JA134" s="1681">
        <v>900</v>
      </c>
      <c r="JB134" s="1681">
        <v>900</v>
      </c>
      <c r="JC134" s="1681">
        <v>900</v>
      </c>
      <c r="JD134" s="1681">
        <v>900</v>
      </c>
      <c r="JE134" s="1681">
        <v>900</v>
      </c>
      <c r="JF134" s="1681">
        <v>900</v>
      </c>
      <c r="JG134" s="1681">
        <v>900</v>
      </c>
      <c r="JH134" s="1681">
        <v>900</v>
      </c>
      <c r="JI134" s="1681">
        <v>900</v>
      </c>
      <c r="JJ134" s="1681">
        <v>900</v>
      </c>
      <c r="JK134" s="1681">
        <v>900</v>
      </c>
      <c r="JL134" s="1681">
        <v>900</v>
      </c>
      <c r="JM134" s="1681">
        <v>900</v>
      </c>
      <c r="JN134" s="1681">
        <v>900</v>
      </c>
      <c r="JO134" s="1681">
        <v>900</v>
      </c>
      <c r="JP134" s="1681">
        <v>900</v>
      </c>
      <c r="JQ134" s="1681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35" hidden="1" customHeight="1">
      <c r="A135" s="336"/>
      <c r="B135" s="2314"/>
      <c r="C135" s="2316"/>
      <c r="D135" s="1712">
        <v>75000</v>
      </c>
      <c r="E135" s="1694"/>
      <c r="F135" s="2314" t="s">
        <v>353</v>
      </c>
      <c r="G135" s="2315"/>
      <c r="H135" s="2315"/>
      <c r="I135" s="2315"/>
      <c r="J135" s="2315"/>
      <c r="K135" s="2315"/>
      <c r="L135" s="2315"/>
      <c r="M135" s="2315"/>
      <c r="N135" s="2315"/>
      <c r="O135" s="2315"/>
      <c r="P135" s="2315"/>
      <c r="Q135" s="2315"/>
      <c r="R135" s="2315"/>
      <c r="S135" s="2315"/>
      <c r="T135" s="2315"/>
      <c r="U135" s="2316"/>
      <c r="X135" s="2314" t="s">
        <v>898</v>
      </c>
      <c r="Y135" s="2315"/>
      <c r="Z135" s="2315"/>
      <c r="AA135" s="2315"/>
      <c r="AB135" s="2315"/>
      <c r="AC135" s="2315"/>
      <c r="AD135" s="2315"/>
      <c r="AE135" s="2315"/>
      <c r="AF135" s="2315"/>
      <c r="AG135" s="2315"/>
      <c r="AH135" s="2315"/>
      <c r="AI135" s="2315"/>
      <c r="AJ135" s="2315"/>
      <c r="AK135" s="2315"/>
      <c r="AL135" s="2315"/>
      <c r="AM135" s="2316"/>
      <c r="AO135" s="336"/>
      <c r="AP135" s="2335" t="s">
        <v>444</v>
      </c>
      <c r="AQ135" s="2336"/>
      <c r="AR135" s="2336"/>
      <c r="AS135" s="2336"/>
      <c r="AT135" s="2336"/>
      <c r="AU135" s="2336"/>
      <c r="AV135" s="2336"/>
      <c r="AW135" s="2336"/>
      <c r="AX135" s="2336"/>
      <c r="AY135" s="2336"/>
      <c r="AZ135" s="2336"/>
      <c r="BA135" s="2336"/>
      <c r="BB135" s="2336"/>
      <c r="BC135" s="2336"/>
      <c r="BD135" s="2336"/>
      <c r="BE135" s="2337"/>
      <c r="BX135" s="336"/>
      <c r="BY135" s="336"/>
      <c r="CM135" s="2335" t="s">
        <v>412</v>
      </c>
      <c r="CN135" s="2336"/>
      <c r="CO135" s="2336"/>
      <c r="CP135" s="2336"/>
      <c r="CQ135" s="2336"/>
      <c r="CR135" s="2336"/>
      <c r="CS135" s="2336"/>
      <c r="CT135" s="2336"/>
      <c r="CU135" s="2336"/>
      <c r="CV135" s="2336"/>
      <c r="CW135" s="2336"/>
      <c r="CX135" s="2336"/>
      <c r="CY135" s="2336"/>
      <c r="CZ135" s="2336"/>
      <c r="DA135" s="2336"/>
      <c r="DB135" s="2337"/>
      <c r="DJ135" s="2335" t="s">
        <v>904</v>
      </c>
      <c r="DK135" s="2336"/>
      <c r="DL135" s="2336"/>
      <c r="DM135" s="2336"/>
      <c r="DN135" s="2336"/>
      <c r="DO135" s="2336"/>
      <c r="DP135" s="2336"/>
      <c r="DQ135" s="2336"/>
      <c r="DR135" s="2336"/>
      <c r="DS135" s="2336"/>
      <c r="DT135" s="2336"/>
      <c r="DU135" s="2336"/>
      <c r="DV135" s="2336"/>
      <c r="DW135" s="2336"/>
      <c r="DX135" s="2336"/>
      <c r="DY135" s="2337"/>
      <c r="EN135" s="2314" t="s">
        <v>352</v>
      </c>
      <c r="EO135" s="2315"/>
      <c r="EP135" s="2315"/>
      <c r="EQ135" s="2315"/>
      <c r="ER135" s="2315"/>
      <c r="ES135" s="2315"/>
      <c r="ET135" s="2315"/>
      <c r="EU135" s="2315"/>
      <c r="EV135" s="2315"/>
      <c r="EW135" s="2315"/>
      <c r="EX135" s="2315"/>
      <c r="EY135" s="2315"/>
      <c r="EZ135" s="2315"/>
      <c r="FA135" s="2315"/>
      <c r="FB135" s="2315"/>
      <c r="FC135" s="2316"/>
      <c r="FW135" s="1674"/>
      <c r="FX135" s="1674"/>
      <c r="FY135" s="1674"/>
      <c r="FZ135" s="1674"/>
      <c r="GA135" s="1674"/>
      <c r="GB135" s="1674"/>
      <c r="HP135" s="336"/>
      <c r="HQ135" s="336"/>
      <c r="HS135" s="2335" t="s">
        <v>412</v>
      </c>
      <c r="HT135" s="2336"/>
      <c r="HU135" s="2336"/>
      <c r="HV135" s="2336"/>
      <c r="HW135" s="2336"/>
      <c r="HX135" s="2336"/>
      <c r="HY135" s="2336"/>
      <c r="HZ135" s="2336"/>
      <c r="IA135" s="2336"/>
      <c r="IB135" s="2336"/>
      <c r="IC135" s="2336"/>
      <c r="ID135" s="2336"/>
      <c r="IE135" s="2336"/>
      <c r="IF135" s="2336"/>
      <c r="IG135" s="2336"/>
      <c r="IH135" s="2337"/>
      <c r="IK135" s="2335" t="s">
        <v>410</v>
      </c>
      <c r="IL135" s="2336"/>
      <c r="IM135" s="2336"/>
      <c r="IN135" s="2336"/>
      <c r="IO135" s="2336"/>
      <c r="IP135" s="2336"/>
      <c r="IQ135" s="2336"/>
      <c r="IR135" s="2336"/>
      <c r="IS135" s="2336"/>
      <c r="IT135" s="2336"/>
      <c r="IU135" s="2336"/>
      <c r="IV135" s="2336"/>
      <c r="IW135" s="2336"/>
      <c r="IX135" s="2336"/>
      <c r="IY135" s="2336"/>
      <c r="IZ135" s="2337"/>
      <c r="JB135" s="2335" t="s">
        <v>413</v>
      </c>
      <c r="JC135" s="2336"/>
      <c r="JD135" s="2336"/>
      <c r="JE135" s="2336"/>
      <c r="JF135" s="2336"/>
      <c r="JG135" s="2336"/>
      <c r="JH135" s="2336"/>
      <c r="JI135" s="2336"/>
      <c r="JJ135" s="2336"/>
      <c r="JK135" s="2336"/>
      <c r="JL135" s="2336"/>
      <c r="JM135" s="2336"/>
      <c r="JN135" s="2336"/>
      <c r="JO135" s="2336"/>
      <c r="JP135" s="2336"/>
      <c r="JQ135" s="2337"/>
      <c r="JV135" s="2314" t="s">
        <v>353</v>
      </c>
      <c r="JW135" s="2315"/>
      <c r="JX135" s="2315"/>
      <c r="JY135" s="2315"/>
      <c r="JZ135" s="2315"/>
      <c r="KA135" s="2315"/>
      <c r="KB135" s="2315"/>
      <c r="KC135" s="2315"/>
      <c r="KD135" s="2315"/>
      <c r="KE135" s="2315"/>
      <c r="KF135" s="2315"/>
      <c r="KG135" s="2315"/>
      <c r="KH135" s="2315"/>
      <c r="KI135" s="2315"/>
      <c r="KJ135" s="2315"/>
      <c r="KK135" s="2316"/>
      <c r="KN135" s="2314" t="s">
        <v>352</v>
      </c>
      <c r="KO135" s="2315"/>
      <c r="KP135" s="2315"/>
      <c r="KQ135" s="2315"/>
      <c r="KR135" s="2315"/>
      <c r="KS135" s="2315"/>
      <c r="KT135" s="2315"/>
      <c r="KU135" s="2315"/>
      <c r="KV135" s="2315"/>
      <c r="KW135" s="2315"/>
      <c r="KX135" s="2315"/>
      <c r="KY135" s="2315"/>
      <c r="KZ135" s="2315"/>
      <c r="LA135" s="2315"/>
      <c r="LB135" s="2315"/>
      <c r="LC135" s="2316"/>
      <c r="OQ135" s="2335" t="s">
        <v>410</v>
      </c>
      <c r="OR135" s="2336"/>
      <c r="OS135" s="2336"/>
      <c r="OT135" s="2336"/>
      <c r="OU135" s="2336"/>
      <c r="OV135" s="2336"/>
      <c r="OW135" s="2336"/>
      <c r="OX135" s="2336"/>
      <c r="OY135" s="2336"/>
      <c r="OZ135" s="2336"/>
      <c r="PA135" s="2336"/>
      <c r="PB135" s="2336"/>
      <c r="PC135" s="2336"/>
      <c r="PD135" s="2336"/>
      <c r="PE135" s="2336"/>
      <c r="PF135" s="2337"/>
      <c r="PG135" s="1674"/>
      <c r="PH135" s="1674"/>
      <c r="PI135" s="1674"/>
      <c r="PJ135" s="1674"/>
      <c r="PK135" s="1674"/>
      <c r="PL135" s="1674"/>
      <c r="PM135" s="1674"/>
      <c r="PN135" s="1674"/>
      <c r="RU135" s="341"/>
      <c r="RV135" s="341"/>
      <c r="RW135" s="341"/>
      <c r="RX135" s="341"/>
    </row>
    <row r="136" spans="1:665" s="61" customFormat="1" ht="25.35" hidden="1" customHeight="1">
      <c r="A136" s="344"/>
      <c r="B136" s="2383" t="s">
        <v>358</v>
      </c>
      <c r="C136" s="2384"/>
      <c r="D136" s="1611" t="s">
        <v>364</v>
      </c>
      <c r="E136" s="1694"/>
      <c r="F136" s="1680">
        <v>750</v>
      </c>
      <c r="G136" s="1680">
        <v>750</v>
      </c>
      <c r="H136" s="1680">
        <v>750</v>
      </c>
      <c r="I136" s="1680">
        <v>750</v>
      </c>
      <c r="J136" s="1680">
        <v>750</v>
      </c>
      <c r="K136" s="1680">
        <v>750</v>
      </c>
      <c r="L136" s="1680">
        <v>750</v>
      </c>
      <c r="M136" s="1680">
        <v>750</v>
      </c>
      <c r="N136" s="1680">
        <v>750</v>
      </c>
      <c r="O136" s="1680">
        <v>750</v>
      </c>
      <c r="P136" s="1680">
        <v>750</v>
      </c>
      <c r="Q136" s="1680">
        <v>750</v>
      </c>
      <c r="R136" s="1680">
        <v>750</v>
      </c>
      <c r="S136" s="1680">
        <v>750</v>
      </c>
      <c r="T136" s="1680">
        <v>750</v>
      </c>
      <c r="U136" s="1680">
        <v>750</v>
      </c>
      <c r="V136" s="1674"/>
      <c r="W136" s="1674"/>
      <c r="X136" s="1680">
        <v>750</v>
      </c>
      <c r="Y136" s="1680">
        <v>750</v>
      </c>
      <c r="Z136" s="1680">
        <v>750</v>
      </c>
      <c r="AA136" s="1680">
        <v>750</v>
      </c>
      <c r="AB136" s="1680">
        <v>750</v>
      </c>
      <c r="AC136" s="1680">
        <v>750</v>
      </c>
      <c r="AD136" s="1680">
        <v>750</v>
      </c>
      <c r="AE136" s="1680">
        <v>750</v>
      </c>
      <c r="AF136" s="1680">
        <v>750</v>
      </c>
      <c r="AG136" s="1680">
        <v>750</v>
      </c>
      <c r="AH136" s="1680">
        <v>750</v>
      </c>
      <c r="AI136" s="1680">
        <v>750</v>
      </c>
      <c r="AJ136" s="1680">
        <v>750</v>
      </c>
      <c r="AK136" s="1680">
        <v>750</v>
      </c>
      <c r="AL136" s="1680">
        <v>750</v>
      </c>
      <c r="AM136" s="1680">
        <v>750</v>
      </c>
      <c r="AN136" s="1674"/>
      <c r="AO136" s="336"/>
      <c r="AP136" s="1680">
        <v>750</v>
      </c>
      <c r="AQ136" s="1680">
        <v>750</v>
      </c>
      <c r="AR136" s="1680">
        <v>750</v>
      </c>
      <c r="AS136" s="1680">
        <v>750</v>
      </c>
      <c r="AT136" s="1680">
        <v>750</v>
      </c>
      <c r="AU136" s="1680">
        <v>750</v>
      </c>
      <c r="AV136" s="1680">
        <v>750</v>
      </c>
      <c r="AW136" s="1680">
        <v>750</v>
      </c>
      <c r="AX136" s="1680">
        <v>750</v>
      </c>
      <c r="AY136" s="1680">
        <v>750</v>
      </c>
      <c r="AZ136" s="1680">
        <v>750</v>
      </c>
      <c r="BA136" s="1680">
        <v>750</v>
      </c>
      <c r="BB136" s="1680">
        <v>750</v>
      </c>
      <c r="BC136" s="1680">
        <v>750</v>
      </c>
      <c r="BD136" s="1680">
        <v>750</v>
      </c>
      <c r="BE136" s="1680">
        <v>750</v>
      </c>
      <c r="BW136" s="1674"/>
      <c r="BX136" s="336"/>
      <c r="BY136" s="336"/>
      <c r="CL136" s="1674"/>
      <c r="CM136" s="1680">
        <v>750</v>
      </c>
      <c r="CN136" s="1680">
        <v>750</v>
      </c>
      <c r="CO136" s="1680">
        <v>750</v>
      </c>
      <c r="CP136" s="1680">
        <v>750</v>
      </c>
      <c r="CQ136" s="1680">
        <v>750</v>
      </c>
      <c r="CR136" s="1680">
        <v>750</v>
      </c>
      <c r="CS136" s="1680">
        <v>750</v>
      </c>
      <c r="CT136" s="1680">
        <v>750</v>
      </c>
      <c r="CU136" s="1680">
        <v>750</v>
      </c>
      <c r="CV136" s="1680">
        <v>750</v>
      </c>
      <c r="CW136" s="1680">
        <v>750</v>
      </c>
      <c r="CX136" s="1680">
        <v>750</v>
      </c>
      <c r="CY136" s="1680">
        <v>750</v>
      </c>
      <c r="CZ136" s="1680">
        <v>750</v>
      </c>
      <c r="DA136" s="1680">
        <v>750</v>
      </c>
      <c r="DB136" s="1680">
        <v>750</v>
      </c>
      <c r="DC136" s="1674"/>
      <c r="DD136" s="1674"/>
      <c r="DE136" s="1674"/>
      <c r="DF136" s="1674"/>
      <c r="DG136" s="1674"/>
      <c r="DH136" s="1674"/>
      <c r="DI136" s="1674"/>
      <c r="DJ136" s="1680">
        <v>750</v>
      </c>
      <c r="DK136" s="1680">
        <v>750</v>
      </c>
      <c r="DL136" s="1680">
        <v>750</v>
      </c>
      <c r="DM136" s="1680">
        <v>750</v>
      </c>
      <c r="DN136" s="1680">
        <v>750</v>
      </c>
      <c r="DO136" s="1680">
        <v>750</v>
      </c>
      <c r="DP136" s="1680">
        <v>750</v>
      </c>
      <c r="DQ136" s="1680">
        <v>750</v>
      </c>
      <c r="DR136" s="1680">
        <v>750</v>
      </c>
      <c r="DS136" s="1680">
        <v>750</v>
      </c>
      <c r="DT136" s="1680">
        <v>750</v>
      </c>
      <c r="DU136" s="1680">
        <v>750</v>
      </c>
      <c r="DV136" s="1680">
        <v>750</v>
      </c>
      <c r="DW136" s="1680">
        <v>750</v>
      </c>
      <c r="DX136" s="1680">
        <v>750</v>
      </c>
      <c r="DY136" s="1680">
        <v>750</v>
      </c>
      <c r="DZ136" s="1674"/>
      <c r="EA136" s="1674"/>
      <c r="EB136" s="1674"/>
      <c r="EC136" s="1674"/>
      <c r="ED136" s="1674"/>
      <c r="EE136" s="1674"/>
      <c r="EF136" s="1674"/>
      <c r="EG136" s="1674"/>
      <c r="EH136" s="1674"/>
      <c r="EI136" s="1674"/>
      <c r="EJ136" s="1674"/>
      <c r="EK136" s="1674"/>
      <c r="EL136" s="1674"/>
      <c r="EM136" s="1674"/>
      <c r="EN136" s="1680">
        <v>750</v>
      </c>
      <c r="EO136" s="1680">
        <v>750</v>
      </c>
      <c r="EP136" s="1680">
        <v>750</v>
      </c>
      <c r="EQ136" s="1680">
        <v>750</v>
      </c>
      <c r="ER136" s="1680">
        <v>750</v>
      </c>
      <c r="ES136" s="1680">
        <v>750</v>
      </c>
      <c r="ET136" s="1680">
        <v>750</v>
      </c>
      <c r="EU136" s="1680">
        <v>750</v>
      </c>
      <c r="EV136" s="1680">
        <v>750</v>
      </c>
      <c r="EW136" s="1680">
        <v>750</v>
      </c>
      <c r="EX136" s="1680">
        <v>750</v>
      </c>
      <c r="EY136" s="1680">
        <v>750</v>
      </c>
      <c r="EZ136" s="1680">
        <v>750</v>
      </c>
      <c r="FA136" s="1680">
        <v>750</v>
      </c>
      <c r="FB136" s="1680">
        <v>750</v>
      </c>
      <c r="FC136" s="1680">
        <v>750</v>
      </c>
      <c r="FD136" s="1674"/>
      <c r="FE136" s="1674"/>
      <c r="FF136" s="1674"/>
      <c r="FG136" s="1674"/>
      <c r="FH136" s="1674"/>
      <c r="FI136" s="1674"/>
      <c r="FJ136" s="1674"/>
      <c r="FK136" s="1674"/>
      <c r="FL136" s="1674"/>
      <c r="FM136" s="1674"/>
      <c r="FN136" s="1674"/>
      <c r="FO136" s="1674"/>
      <c r="FP136" s="1674"/>
      <c r="FQ136" s="1674"/>
      <c r="FR136" s="1674"/>
      <c r="FS136" s="1674"/>
      <c r="FT136" s="1674"/>
      <c r="FU136" s="1674"/>
      <c r="FV136" s="1674"/>
      <c r="FW136" s="1674"/>
      <c r="FX136" s="1674"/>
      <c r="FY136" s="1674"/>
      <c r="FZ136" s="1674"/>
      <c r="GA136" s="1674"/>
      <c r="GB136" s="1674"/>
      <c r="GC136" s="1674"/>
      <c r="GD136" s="1674"/>
      <c r="GE136" s="1674"/>
      <c r="GF136" s="1674"/>
      <c r="GG136" s="1674"/>
      <c r="GH136" s="1674"/>
      <c r="GI136" s="1674"/>
      <c r="GJ136" s="1674"/>
      <c r="GK136" s="1674"/>
      <c r="GL136" s="1674"/>
      <c r="GM136" s="1674"/>
      <c r="GN136" s="1674"/>
      <c r="GO136" s="1674"/>
      <c r="GP136" s="1674"/>
      <c r="GQ136" s="1674"/>
      <c r="GR136" s="1674"/>
      <c r="GS136" s="1674"/>
      <c r="GT136" s="1674"/>
      <c r="GU136" s="1674"/>
      <c r="GV136" s="1674"/>
      <c r="GW136" s="1674"/>
      <c r="GX136" s="1674"/>
      <c r="GY136" s="1674"/>
      <c r="GZ136" s="1674"/>
      <c r="HA136" s="1674"/>
      <c r="HB136" s="1674"/>
      <c r="HC136" s="1674"/>
      <c r="HD136" s="1674"/>
      <c r="HE136" s="1674"/>
      <c r="HF136" s="1674"/>
      <c r="HG136" s="1674"/>
      <c r="HH136" s="1674"/>
      <c r="HI136" s="1674"/>
      <c r="HJ136" s="1674"/>
      <c r="HK136" s="1674"/>
      <c r="HL136" s="1674"/>
      <c r="HM136" s="1674"/>
      <c r="HN136" s="1674"/>
      <c r="HO136" s="1674"/>
      <c r="HP136" s="1674"/>
      <c r="HQ136" s="1674"/>
      <c r="HR136" s="1674"/>
      <c r="HS136" s="1680">
        <v>750</v>
      </c>
      <c r="HT136" s="1680">
        <v>750</v>
      </c>
      <c r="HU136" s="1680">
        <v>750</v>
      </c>
      <c r="HV136" s="1680">
        <v>750</v>
      </c>
      <c r="HW136" s="1680">
        <v>750</v>
      </c>
      <c r="HX136" s="1680">
        <v>750</v>
      </c>
      <c r="HY136" s="1680">
        <v>750</v>
      </c>
      <c r="HZ136" s="1680">
        <v>750</v>
      </c>
      <c r="IA136" s="1680">
        <v>750</v>
      </c>
      <c r="IB136" s="1680">
        <v>750</v>
      </c>
      <c r="IC136" s="1680">
        <v>750</v>
      </c>
      <c r="ID136" s="1680">
        <v>750</v>
      </c>
      <c r="IE136" s="1680">
        <v>750</v>
      </c>
      <c r="IF136" s="1680">
        <v>750</v>
      </c>
      <c r="IG136" s="1680">
        <v>750</v>
      </c>
      <c r="IH136" s="1680">
        <v>750</v>
      </c>
      <c r="II136" s="1674"/>
      <c r="IJ136" s="1674"/>
      <c r="IK136" s="1680">
        <v>750</v>
      </c>
      <c r="IL136" s="1680">
        <v>750</v>
      </c>
      <c r="IM136" s="1680">
        <v>750</v>
      </c>
      <c r="IN136" s="1680">
        <v>750</v>
      </c>
      <c r="IO136" s="1680">
        <v>750</v>
      </c>
      <c r="IP136" s="1680">
        <v>750</v>
      </c>
      <c r="IQ136" s="1680">
        <v>750</v>
      </c>
      <c r="IR136" s="1680">
        <v>750</v>
      </c>
      <c r="IS136" s="1680">
        <v>750</v>
      </c>
      <c r="IT136" s="1680">
        <v>750</v>
      </c>
      <c r="IU136" s="1680">
        <v>750</v>
      </c>
      <c r="IV136" s="1680">
        <v>750</v>
      </c>
      <c r="IW136" s="1680">
        <v>750</v>
      </c>
      <c r="IX136" s="1680">
        <v>750</v>
      </c>
      <c r="IY136" s="1680">
        <v>750</v>
      </c>
      <c r="IZ136" s="1680">
        <v>750</v>
      </c>
      <c r="JA136" s="1674"/>
      <c r="JB136" s="1680">
        <v>750</v>
      </c>
      <c r="JC136" s="1680">
        <v>750</v>
      </c>
      <c r="JD136" s="1680">
        <v>750</v>
      </c>
      <c r="JE136" s="1680">
        <v>750</v>
      </c>
      <c r="JF136" s="1680">
        <v>750</v>
      </c>
      <c r="JG136" s="1680">
        <v>750</v>
      </c>
      <c r="JH136" s="1680">
        <v>750</v>
      </c>
      <c r="JI136" s="1680">
        <v>750</v>
      </c>
      <c r="JJ136" s="1680">
        <v>750</v>
      </c>
      <c r="JK136" s="1680">
        <v>750</v>
      </c>
      <c r="JL136" s="1680">
        <v>750</v>
      </c>
      <c r="JM136" s="1680">
        <v>750</v>
      </c>
      <c r="JN136" s="1680">
        <v>750</v>
      </c>
      <c r="JO136" s="1680">
        <v>750</v>
      </c>
      <c r="JP136" s="1680">
        <v>750</v>
      </c>
      <c r="JQ136" s="1680">
        <v>750</v>
      </c>
      <c r="JR136" s="1674"/>
      <c r="JS136" s="1674"/>
      <c r="JT136" s="1674"/>
      <c r="JU136" s="1674"/>
      <c r="JV136" s="1680">
        <v>750</v>
      </c>
      <c r="JW136" s="1680">
        <v>750</v>
      </c>
      <c r="JX136" s="1680">
        <v>750</v>
      </c>
      <c r="JY136" s="1680">
        <v>750</v>
      </c>
      <c r="JZ136" s="1680">
        <v>750</v>
      </c>
      <c r="KA136" s="1680">
        <v>750</v>
      </c>
      <c r="KB136" s="1680">
        <v>750</v>
      </c>
      <c r="KC136" s="1680">
        <v>750</v>
      </c>
      <c r="KD136" s="1680">
        <v>750</v>
      </c>
      <c r="KE136" s="1680">
        <v>750</v>
      </c>
      <c r="KF136" s="1680">
        <v>750</v>
      </c>
      <c r="KG136" s="1680">
        <v>750</v>
      </c>
      <c r="KH136" s="1680">
        <v>750</v>
      </c>
      <c r="KI136" s="1680">
        <v>750</v>
      </c>
      <c r="KJ136" s="1680">
        <v>750</v>
      </c>
      <c r="KK136" s="1680">
        <v>750</v>
      </c>
      <c r="KL136" s="1674"/>
      <c r="KM136" s="1674"/>
      <c r="KN136" s="1680">
        <v>750</v>
      </c>
      <c r="KO136" s="1680">
        <v>750</v>
      </c>
      <c r="KP136" s="1680">
        <v>750</v>
      </c>
      <c r="KQ136" s="1680">
        <v>750</v>
      </c>
      <c r="KR136" s="1680">
        <v>750</v>
      </c>
      <c r="KS136" s="1680">
        <v>750</v>
      </c>
      <c r="KT136" s="1680">
        <v>750</v>
      </c>
      <c r="KU136" s="1680">
        <v>750</v>
      </c>
      <c r="KV136" s="1680">
        <v>750</v>
      </c>
      <c r="KW136" s="1680">
        <v>750</v>
      </c>
      <c r="KX136" s="1680">
        <v>750</v>
      </c>
      <c r="KY136" s="1680">
        <v>750</v>
      </c>
      <c r="KZ136" s="1680">
        <v>750</v>
      </c>
      <c r="LA136" s="1680">
        <v>750</v>
      </c>
      <c r="LB136" s="1680">
        <v>750</v>
      </c>
      <c r="LC136" s="1680">
        <v>750</v>
      </c>
      <c r="LD136" s="336"/>
      <c r="LE136" s="336"/>
      <c r="LF136" s="1674"/>
      <c r="LG136" s="1674"/>
      <c r="LH136" s="1674"/>
      <c r="LI136" s="1674"/>
      <c r="LJ136" s="1674"/>
      <c r="LK136" s="1674"/>
      <c r="LL136" s="1674"/>
      <c r="LM136" s="1674"/>
      <c r="LN136" s="1674"/>
      <c r="LO136" s="1674"/>
      <c r="LP136" s="1674"/>
      <c r="LQ136" s="1674"/>
      <c r="LR136" s="1674"/>
      <c r="LS136" s="1674"/>
      <c r="LT136" s="1674"/>
      <c r="LU136" s="1674"/>
      <c r="LV136" s="1674"/>
      <c r="NW136" s="1674"/>
      <c r="NX136" s="1674"/>
      <c r="NY136" s="1674"/>
      <c r="NZ136" s="1674"/>
      <c r="OA136" s="1674"/>
      <c r="OB136" s="1674"/>
      <c r="OC136" s="1674"/>
      <c r="OD136" s="1674"/>
      <c r="OE136" s="1674"/>
      <c r="OF136" s="1674"/>
      <c r="OG136" s="1674"/>
      <c r="OH136" s="1674"/>
      <c r="OI136" s="1674"/>
      <c r="OJ136" s="1674"/>
      <c r="OK136" s="1674"/>
      <c r="OL136" s="1674"/>
      <c r="OM136" s="1674"/>
      <c r="ON136" s="1674"/>
      <c r="OO136" s="336"/>
      <c r="OP136" s="1674"/>
      <c r="OQ136" s="1680">
        <v>750</v>
      </c>
      <c r="OR136" s="1680">
        <v>750</v>
      </c>
      <c r="OS136" s="1680">
        <v>750</v>
      </c>
      <c r="OT136" s="1680">
        <v>750</v>
      </c>
      <c r="OU136" s="1680">
        <v>750</v>
      </c>
      <c r="OV136" s="1680">
        <v>750</v>
      </c>
      <c r="OW136" s="1680">
        <v>750</v>
      </c>
      <c r="OX136" s="1680">
        <v>750</v>
      </c>
      <c r="OY136" s="1680">
        <v>750</v>
      </c>
      <c r="OZ136" s="1680">
        <v>750</v>
      </c>
      <c r="PA136" s="1680">
        <v>750</v>
      </c>
      <c r="PB136" s="1680">
        <v>750</v>
      </c>
      <c r="PC136" s="1680">
        <v>750</v>
      </c>
      <c r="PD136" s="1680">
        <v>750</v>
      </c>
      <c r="PE136" s="1680">
        <v>750</v>
      </c>
      <c r="PF136" s="1680">
        <v>750</v>
      </c>
      <c r="PG136" s="1674"/>
      <c r="PH136" s="1674"/>
      <c r="PI136" s="1674"/>
      <c r="PJ136" s="1674"/>
      <c r="PK136" s="1674"/>
      <c r="PL136" s="1674"/>
      <c r="PM136" s="1674"/>
      <c r="PN136" s="1674"/>
      <c r="PO136" s="1674"/>
      <c r="PP136" s="1674"/>
      <c r="PQ136" s="1674"/>
      <c r="PR136" s="1674"/>
      <c r="PS136" s="1674"/>
      <c r="PT136" s="1674"/>
      <c r="PU136" s="1674"/>
      <c r="PV136" s="1674"/>
      <c r="PW136" s="1674"/>
      <c r="PX136" s="1674"/>
      <c r="PY136" s="1674"/>
      <c r="PZ136" s="1674"/>
      <c r="QA136" s="1674"/>
      <c r="QB136" s="1674"/>
      <c r="QC136" s="1674"/>
      <c r="QD136" s="1674"/>
      <c r="QE136" s="1674"/>
      <c r="QF136" s="1674"/>
      <c r="QG136" s="1674"/>
      <c r="QH136" s="1674"/>
      <c r="QI136" s="1674"/>
      <c r="QJ136" s="1674"/>
      <c r="QK136" s="1674"/>
      <c r="QL136" s="1674"/>
      <c r="QM136" s="1674"/>
      <c r="QN136" s="1674"/>
      <c r="QO136" s="1674"/>
      <c r="QP136" s="1674"/>
      <c r="QQ136" s="1674"/>
      <c r="QR136" s="1674"/>
      <c r="QS136" s="1674"/>
      <c r="QT136" s="1674"/>
      <c r="QU136" s="1674"/>
      <c r="QV136" s="1674"/>
      <c r="QW136" s="1674"/>
      <c r="QX136" s="1674"/>
      <c r="QY136" s="1674"/>
      <c r="QZ136" s="1674"/>
      <c r="RA136" s="1674"/>
      <c r="RB136" s="1674"/>
      <c r="RC136" s="1674"/>
      <c r="RD136" s="1674"/>
      <c r="RE136" s="1674"/>
      <c r="RF136" s="1674"/>
      <c r="RG136" s="1674"/>
      <c r="RH136" s="1674"/>
      <c r="RI136" s="1674"/>
      <c r="RJ136" s="1674"/>
      <c r="RK136" s="1674"/>
      <c r="RL136" s="1674"/>
      <c r="RM136" s="1674"/>
      <c r="RN136" s="1674"/>
      <c r="RO136" s="1674"/>
      <c r="RP136" s="1674"/>
      <c r="RQ136" s="1674"/>
      <c r="RR136" s="1674"/>
      <c r="RS136" s="1674"/>
      <c r="RT136" s="1674"/>
      <c r="RU136" s="1688"/>
      <c r="RV136" s="1688"/>
      <c r="RW136" s="1688"/>
      <c r="RX136" s="1688"/>
    </row>
    <row r="137" spans="1:665" s="61" customFormat="1" ht="25.35" hidden="1" customHeight="1">
      <c r="A137" s="336"/>
      <c r="B137" s="2314"/>
      <c r="C137" s="2316"/>
      <c r="D137" s="1712">
        <v>0</v>
      </c>
      <c r="E137" s="1694"/>
      <c r="F137" s="1664"/>
      <c r="G137" s="1635"/>
      <c r="H137" s="1635"/>
      <c r="I137" s="1635"/>
      <c r="J137" s="1635"/>
      <c r="K137" s="1635"/>
      <c r="L137" s="1635"/>
      <c r="M137" s="1635"/>
      <c r="N137" s="1635"/>
      <c r="O137" s="1635"/>
      <c r="P137" s="1635"/>
      <c r="Q137" s="1635"/>
      <c r="R137" s="1636"/>
      <c r="FS137" s="2350">
        <v>20000</v>
      </c>
      <c r="FT137" s="2351"/>
      <c r="FU137" s="2351"/>
      <c r="FV137" s="2351"/>
      <c r="FW137" s="2351"/>
      <c r="FX137" s="2351"/>
      <c r="FY137" s="2351"/>
      <c r="FZ137" s="2351"/>
      <c r="GA137" s="2351"/>
      <c r="GB137" s="2351"/>
      <c r="GC137" s="2351"/>
      <c r="GD137" s="2352"/>
      <c r="IK137" s="2332" t="s">
        <v>391</v>
      </c>
      <c r="IL137" s="2333"/>
      <c r="IM137" s="2333"/>
      <c r="IN137" s="2333"/>
      <c r="IO137" s="2333"/>
      <c r="IP137" s="2333"/>
      <c r="IQ137" s="2333"/>
      <c r="IR137" s="2333"/>
      <c r="IS137" s="2333"/>
      <c r="IT137" s="2333"/>
      <c r="IU137" s="2333"/>
      <c r="IV137" s="2334"/>
    </row>
    <row r="138" spans="1:665" s="61" customFormat="1" ht="27.75" hidden="1" customHeight="1">
      <c r="A138" s="344"/>
      <c r="B138" s="2383" t="s">
        <v>358</v>
      </c>
      <c r="C138" s="2384"/>
      <c r="D138" s="1611" t="s">
        <v>392</v>
      </c>
      <c r="E138" s="1694"/>
      <c r="F138" s="1664"/>
      <c r="G138" s="1635"/>
      <c r="H138" s="1635"/>
      <c r="I138" s="1635"/>
      <c r="J138" s="1635"/>
      <c r="K138" s="1635"/>
      <c r="L138" s="1635"/>
      <c r="M138" s="1635"/>
      <c r="N138" s="1635"/>
      <c r="O138" s="1635"/>
      <c r="P138" s="1635"/>
      <c r="Q138" s="1635"/>
      <c r="R138" s="1636"/>
      <c r="FR138" s="2369" t="s">
        <v>845</v>
      </c>
      <c r="FS138" s="2370"/>
      <c r="FT138" s="2370"/>
      <c r="FU138" s="2370"/>
      <c r="FV138" s="2370"/>
      <c r="FW138" s="2370"/>
      <c r="FX138" s="2370"/>
      <c r="FY138" s="2370"/>
      <c r="FZ138" s="2370"/>
      <c r="GA138" s="2370"/>
      <c r="GB138" s="2370"/>
      <c r="GC138" s="2370"/>
      <c r="GD138" s="2370"/>
      <c r="GE138" s="2371"/>
      <c r="IG138" s="2332">
        <v>0</v>
      </c>
      <c r="IH138" s="2333"/>
      <c r="II138" s="2333"/>
      <c r="IJ138" s="2333"/>
      <c r="IK138" s="2333"/>
      <c r="IL138" s="2333"/>
      <c r="IM138" s="2333"/>
      <c r="IN138" s="2333"/>
      <c r="IO138" s="2333"/>
      <c r="IP138" s="2333"/>
      <c r="IQ138" s="2333"/>
      <c r="IR138" s="2333"/>
      <c r="IS138" s="2333"/>
      <c r="IT138" s="2333"/>
      <c r="IU138" s="2333"/>
      <c r="IV138" s="2333"/>
      <c r="IW138" s="2333"/>
      <c r="IX138" s="2333"/>
      <c r="IY138" s="2333"/>
      <c r="IZ138" s="2333"/>
      <c r="JA138" s="2334"/>
    </row>
    <row r="139" spans="1:665" s="61" customFormat="1" ht="25.35" hidden="1" customHeight="1">
      <c r="B139" s="2350"/>
      <c r="C139" s="2352"/>
      <c r="D139" s="1712">
        <v>55000</v>
      </c>
      <c r="E139" s="1694"/>
      <c r="F139" s="1664"/>
      <c r="G139" s="1635"/>
      <c r="H139" s="1635"/>
      <c r="I139" s="1635"/>
      <c r="J139" s="1635"/>
      <c r="K139" s="1635"/>
      <c r="L139" s="1635"/>
      <c r="M139" s="1635"/>
      <c r="N139" s="1635"/>
      <c r="O139" s="1635"/>
      <c r="P139" s="1635"/>
      <c r="Q139" s="1635"/>
      <c r="R139" s="1636"/>
      <c r="IK139" s="2332" t="s">
        <v>393</v>
      </c>
      <c r="IL139" s="2333"/>
      <c r="IM139" s="2333"/>
      <c r="IN139" s="2333"/>
      <c r="IO139" s="2333"/>
      <c r="IP139" s="2333"/>
      <c r="IQ139" s="2333"/>
      <c r="IR139" s="2333"/>
      <c r="IS139" s="2333"/>
      <c r="IT139" s="2333"/>
      <c r="IU139" s="2333"/>
      <c r="IV139" s="2334"/>
    </row>
    <row r="140" spans="1:665" s="61" customFormat="1" ht="25.35" hidden="1" customHeight="1">
      <c r="A140" s="344"/>
      <c r="B140" s="2383" t="s">
        <v>358</v>
      </c>
      <c r="C140" s="2384"/>
      <c r="D140" s="1611" t="s">
        <v>394</v>
      </c>
      <c r="E140" s="1694"/>
      <c r="F140" s="1664"/>
      <c r="G140" s="1635"/>
      <c r="H140" s="1635"/>
      <c r="I140" s="1635"/>
      <c r="J140" s="1635"/>
      <c r="K140" s="1635"/>
      <c r="L140" s="1635"/>
      <c r="M140" s="1635"/>
      <c r="N140" s="1635"/>
      <c r="O140" s="1635"/>
      <c r="P140" s="1635"/>
      <c r="Q140" s="1635"/>
      <c r="R140" s="1636"/>
      <c r="IG140" s="2332">
        <v>0</v>
      </c>
      <c r="IH140" s="2333"/>
      <c r="II140" s="2333"/>
      <c r="IJ140" s="2333"/>
      <c r="IK140" s="2333"/>
      <c r="IL140" s="2333"/>
      <c r="IM140" s="2333"/>
      <c r="IN140" s="2333"/>
      <c r="IO140" s="2333"/>
      <c r="IP140" s="2333"/>
      <c r="IQ140" s="2333"/>
      <c r="IR140" s="2333"/>
      <c r="IS140" s="2333"/>
      <c r="IT140" s="2333"/>
      <c r="IU140" s="2333"/>
      <c r="IV140" s="2333"/>
      <c r="IW140" s="2333"/>
      <c r="IX140" s="2333"/>
      <c r="IY140" s="2333"/>
      <c r="IZ140" s="2333"/>
      <c r="JA140" s="2334"/>
    </row>
    <row r="141" spans="1:665" s="61" customFormat="1" ht="25.35" hidden="1" customHeight="1">
      <c r="A141" s="341"/>
      <c r="B141" s="2412"/>
      <c r="C141" s="2413"/>
      <c r="D141" s="1624" t="s">
        <v>889</v>
      </c>
      <c r="E141" s="1694"/>
      <c r="F141" s="1664"/>
      <c r="G141" s="1635"/>
      <c r="H141" s="1635"/>
      <c r="I141" s="1635"/>
      <c r="J141" s="1635"/>
      <c r="K141" s="1635"/>
      <c r="L141" s="1635"/>
      <c r="M141" s="1635"/>
      <c r="N141" s="1635"/>
      <c r="O141" s="1635"/>
      <c r="P141" s="1635"/>
      <c r="Q141" s="1635"/>
      <c r="R141" s="1636"/>
      <c r="BY141" s="2350">
        <v>16000</v>
      </c>
      <c r="BZ141" s="2351"/>
      <c r="CA141" s="2351"/>
      <c r="CB141" s="2351"/>
      <c r="CC141" s="2351"/>
      <c r="CD141" s="2351"/>
      <c r="CE141" s="2351"/>
      <c r="CF141" s="2351"/>
      <c r="CG141" s="2351"/>
      <c r="CH141" s="2352"/>
      <c r="IK141" s="2347" t="s">
        <v>395</v>
      </c>
      <c r="IL141" s="2348"/>
      <c r="IM141" s="2348"/>
      <c r="IN141" s="2348"/>
      <c r="IO141" s="2348"/>
      <c r="IP141" s="2348"/>
      <c r="IQ141" s="2348"/>
      <c r="IR141" s="2348"/>
      <c r="IS141" s="2348"/>
      <c r="IT141" s="2348"/>
      <c r="IU141" s="2348"/>
      <c r="IV141" s="2349"/>
      <c r="JZ141" s="74"/>
    </row>
    <row r="142" spans="1:665" s="61" customFormat="1" ht="25.35" hidden="1" customHeight="1">
      <c r="A142" s="345"/>
      <c r="B142" s="2410" t="s">
        <v>361</v>
      </c>
      <c r="C142" s="2411"/>
      <c r="D142" s="1611" t="s">
        <v>476</v>
      </c>
      <c r="E142" s="1694"/>
      <c r="F142" s="1664"/>
      <c r="G142" s="1635"/>
      <c r="H142" s="1635"/>
      <c r="I142" s="1635"/>
      <c r="J142" s="1635"/>
      <c r="K142" s="1635"/>
      <c r="L142" s="1635"/>
      <c r="M142" s="1635"/>
      <c r="N142" s="1635"/>
      <c r="O142" s="1635"/>
      <c r="P142" s="1635"/>
      <c r="Q142" s="1635"/>
      <c r="R142" s="1636"/>
      <c r="BX142" s="2347" t="s">
        <v>890</v>
      </c>
      <c r="BY142" s="2348"/>
      <c r="BZ142" s="2348"/>
      <c r="CA142" s="2348"/>
      <c r="CB142" s="2348"/>
      <c r="CC142" s="2348"/>
      <c r="CD142" s="2348"/>
      <c r="CE142" s="2348"/>
      <c r="CF142" s="2348"/>
      <c r="CG142" s="2348"/>
      <c r="CH142" s="2348"/>
      <c r="CI142" s="2349"/>
      <c r="IG142" s="2347">
        <v>0</v>
      </c>
      <c r="IH142" s="2348"/>
      <c r="II142" s="2348"/>
      <c r="IJ142" s="2348"/>
      <c r="IK142" s="2348"/>
      <c r="IL142" s="2348"/>
      <c r="IM142" s="2348"/>
      <c r="IN142" s="2348"/>
      <c r="IO142" s="2348"/>
      <c r="IP142" s="2348"/>
      <c r="IQ142" s="2348"/>
      <c r="IR142" s="2348"/>
      <c r="IS142" s="2348"/>
      <c r="IT142" s="2348"/>
      <c r="IU142" s="2348"/>
      <c r="IV142" s="2348"/>
      <c r="IW142" s="2348"/>
      <c r="IX142" s="2348"/>
      <c r="IY142" s="2348"/>
      <c r="IZ142" s="2348"/>
      <c r="JA142" s="2349"/>
      <c r="JZ142" s="74"/>
    </row>
    <row r="143" spans="1:665" s="61" customFormat="1" ht="25.35" hidden="1" customHeight="1">
      <c r="A143" s="341"/>
      <c r="B143" s="2412"/>
      <c r="C143" s="2413"/>
      <c r="D143" s="1712" t="s">
        <v>891</v>
      </c>
      <c r="E143" s="1694"/>
      <c r="F143" s="1664"/>
      <c r="G143" s="1635"/>
      <c r="H143" s="1635"/>
      <c r="I143" s="1635"/>
      <c r="J143" s="1635"/>
      <c r="K143" s="1635"/>
      <c r="L143" s="1635"/>
      <c r="M143" s="1635"/>
      <c r="N143" s="1635"/>
      <c r="O143" s="1635"/>
      <c r="P143" s="1635"/>
      <c r="Q143" s="1635"/>
      <c r="R143" s="1636"/>
      <c r="DY143" s="2350">
        <v>32000</v>
      </c>
      <c r="DZ143" s="2351"/>
      <c r="EA143" s="2351"/>
      <c r="EB143" s="2351"/>
      <c r="EC143" s="2351"/>
      <c r="ED143" s="2351"/>
      <c r="EE143" s="2351"/>
      <c r="EF143" s="2351"/>
      <c r="EG143" s="2351"/>
      <c r="EH143" s="2352"/>
      <c r="IK143" s="2329" t="s">
        <v>396</v>
      </c>
      <c r="IL143" s="2330"/>
      <c r="IM143" s="2330"/>
      <c r="IN143" s="2330"/>
      <c r="IO143" s="2330"/>
      <c r="IP143" s="2330"/>
      <c r="IQ143" s="2330"/>
      <c r="IR143" s="2330"/>
      <c r="IS143" s="2330"/>
      <c r="IT143" s="2330"/>
      <c r="IU143" s="2330"/>
      <c r="IV143" s="2331"/>
      <c r="JZ143" s="74"/>
    </row>
    <row r="144" spans="1:665" s="61" customFormat="1" ht="25.35" hidden="1" customHeight="1">
      <c r="A144" s="345"/>
      <c r="B144" s="2410" t="s">
        <v>361</v>
      </c>
      <c r="C144" s="2411"/>
      <c r="D144" s="1611" t="s">
        <v>397</v>
      </c>
      <c r="E144" s="1694"/>
      <c r="F144" s="1664"/>
      <c r="G144" s="1635"/>
      <c r="H144" s="1635"/>
      <c r="I144" s="1635"/>
      <c r="J144" s="1635"/>
      <c r="K144" s="1635"/>
      <c r="L144" s="1635"/>
      <c r="M144" s="1635"/>
      <c r="N144" s="1635"/>
      <c r="O144" s="1635"/>
      <c r="P144" s="1635"/>
      <c r="Q144" s="1635"/>
      <c r="R144" s="1636"/>
      <c r="DX144" s="2347" t="s">
        <v>893</v>
      </c>
      <c r="DY144" s="2348"/>
      <c r="DZ144" s="2348"/>
      <c r="EA144" s="2348"/>
      <c r="EB144" s="2348"/>
      <c r="EC144" s="2348"/>
      <c r="ED144" s="2348"/>
      <c r="EE144" s="2348"/>
      <c r="EF144" s="2348"/>
      <c r="EG144" s="2348"/>
      <c r="EH144" s="2348"/>
      <c r="EI144" s="2349"/>
      <c r="IG144" s="2329">
        <v>0</v>
      </c>
      <c r="IH144" s="2330"/>
      <c r="II144" s="2330"/>
      <c r="IJ144" s="2330"/>
      <c r="IK144" s="2330"/>
      <c r="IL144" s="2330"/>
      <c r="IM144" s="2330"/>
      <c r="IN144" s="2330"/>
      <c r="IO144" s="2330"/>
      <c r="IP144" s="2330"/>
      <c r="IQ144" s="2330"/>
      <c r="IR144" s="2330"/>
      <c r="IS144" s="2330"/>
      <c r="IT144" s="2330"/>
      <c r="IU144" s="2330"/>
      <c r="IV144" s="2330"/>
      <c r="IW144" s="2330"/>
      <c r="IX144" s="2330"/>
      <c r="IY144" s="2330"/>
      <c r="IZ144" s="2330"/>
      <c r="JA144" s="2331"/>
      <c r="JZ144" s="74"/>
    </row>
    <row r="145" spans="1:665" s="61" customFormat="1" ht="25.35" hidden="1" customHeight="1">
      <c r="A145" s="341"/>
      <c r="B145" s="1713"/>
      <c r="C145" s="1714"/>
      <c r="D145" s="1712" t="s">
        <v>892</v>
      </c>
      <c r="E145" s="1694"/>
      <c r="F145" s="1664"/>
      <c r="G145" s="1635"/>
      <c r="H145" s="1635"/>
      <c r="I145" s="1635"/>
      <c r="J145" s="1635"/>
      <c r="K145" s="1635"/>
      <c r="L145" s="1635"/>
      <c r="M145" s="1635"/>
      <c r="N145" s="1635"/>
      <c r="O145" s="1635"/>
      <c r="P145" s="1635"/>
      <c r="Q145" s="1635"/>
      <c r="R145" s="1636"/>
      <c r="DM145" s="2350">
        <v>8000</v>
      </c>
      <c r="DN145" s="2351"/>
      <c r="DO145" s="2351"/>
      <c r="DP145" s="2351"/>
      <c r="DQ145" s="2351"/>
      <c r="DR145" s="2351"/>
      <c r="DS145" s="2351"/>
      <c r="DT145" s="2351"/>
      <c r="DU145" s="2351"/>
      <c r="DV145" s="2352"/>
      <c r="IK145" s="2372" t="s">
        <v>445</v>
      </c>
      <c r="IL145" s="2373"/>
      <c r="IM145" s="2373"/>
      <c r="IN145" s="2373"/>
      <c r="IO145" s="2373"/>
      <c r="IP145" s="2373"/>
      <c r="IQ145" s="2373"/>
      <c r="IR145" s="2373"/>
      <c r="IS145" s="2373"/>
      <c r="IT145" s="2373"/>
      <c r="IU145" s="2373"/>
      <c r="IV145" s="2374"/>
      <c r="JZ145" s="74"/>
    </row>
    <row r="146" spans="1:665" s="61" customFormat="1" ht="25.35" hidden="1" customHeight="1">
      <c r="A146" s="345"/>
      <c r="B146" s="2410" t="s">
        <v>361</v>
      </c>
      <c r="C146" s="2411"/>
      <c r="D146" s="1611" t="s">
        <v>398</v>
      </c>
      <c r="E146" s="1694"/>
      <c r="F146" s="1664"/>
      <c r="G146" s="1635"/>
      <c r="H146" s="1635"/>
      <c r="I146" s="1635"/>
      <c r="J146" s="1635"/>
      <c r="K146" s="1635"/>
      <c r="L146" s="1635"/>
      <c r="M146" s="1635"/>
      <c r="N146" s="1635"/>
      <c r="O146" s="1635"/>
      <c r="P146" s="1635"/>
      <c r="Q146" s="1635"/>
      <c r="R146" s="1636"/>
      <c r="DL146" s="2347" t="s">
        <v>893</v>
      </c>
      <c r="DM146" s="2348"/>
      <c r="DN146" s="2348"/>
      <c r="DO146" s="2348"/>
      <c r="DP146" s="2348"/>
      <c r="DQ146" s="2348"/>
      <c r="DR146" s="2348"/>
      <c r="DS146" s="2348"/>
      <c r="DT146" s="2348"/>
      <c r="DU146" s="2348"/>
      <c r="DV146" s="2348"/>
      <c r="DW146" s="2349"/>
      <c r="IG146" s="2341">
        <v>0</v>
      </c>
      <c r="IH146" s="2342"/>
      <c r="II146" s="2342"/>
      <c r="IJ146" s="2342"/>
      <c r="IK146" s="2342"/>
      <c r="IL146" s="2342"/>
      <c r="IM146" s="2342"/>
      <c r="IN146" s="2342"/>
      <c r="IO146" s="2342"/>
      <c r="IP146" s="2342"/>
      <c r="IQ146" s="2342"/>
      <c r="IR146" s="2342"/>
      <c r="IS146" s="2342"/>
      <c r="IT146" s="2342"/>
      <c r="IU146" s="2342"/>
      <c r="IV146" s="2342"/>
      <c r="IW146" s="2342"/>
      <c r="IX146" s="2342"/>
      <c r="IY146" s="2342"/>
      <c r="IZ146" s="2342"/>
      <c r="JA146" s="2343"/>
      <c r="JZ146" s="74"/>
    </row>
    <row r="147" spans="1:665" s="61" customFormat="1" ht="25.35" hidden="1" customHeight="1">
      <c r="B147" s="2350"/>
      <c r="C147" s="2352"/>
      <c r="D147" s="1625" t="s">
        <v>852</v>
      </c>
      <c r="E147" s="1694"/>
      <c r="F147" s="1664"/>
      <c r="G147" s="1635"/>
      <c r="H147" s="1635"/>
      <c r="I147" s="1635"/>
      <c r="J147" s="1635"/>
      <c r="K147" s="1635"/>
      <c r="L147" s="1635"/>
      <c r="M147" s="1635"/>
      <c r="N147" s="1635"/>
      <c r="O147" s="1635"/>
      <c r="P147" s="1635"/>
      <c r="Q147" s="1635"/>
      <c r="R147" s="1636"/>
      <c r="HC147" s="2350">
        <v>64000</v>
      </c>
      <c r="HD147" s="2351"/>
      <c r="HE147" s="2351"/>
      <c r="HF147" s="2351"/>
      <c r="HG147" s="2351"/>
      <c r="HH147" s="2351"/>
      <c r="HI147" s="2351"/>
      <c r="HJ147" s="2351"/>
      <c r="HK147" s="2351"/>
      <c r="HL147" s="2352"/>
      <c r="IK147" s="2326" t="s">
        <v>399</v>
      </c>
      <c r="IL147" s="2327"/>
      <c r="IM147" s="2327"/>
      <c r="IN147" s="2327"/>
      <c r="IO147" s="2327"/>
      <c r="IP147" s="2327"/>
      <c r="IQ147" s="2327"/>
      <c r="IR147" s="2327"/>
      <c r="IS147" s="2327"/>
      <c r="IT147" s="2327"/>
      <c r="IU147" s="2327"/>
      <c r="IV147" s="2328"/>
      <c r="JZ147" s="74"/>
    </row>
    <row r="148" spans="1:665" s="61" customFormat="1" ht="25.35" hidden="1" customHeight="1">
      <c r="A148" s="345"/>
      <c r="B148" s="2410" t="s">
        <v>361</v>
      </c>
      <c r="C148" s="2411"/>
      <c r="D148" s="1611" t="s">
        <v>400</v>
      </c>
      <c r="E148" s="1694"/>
      <c r="F148" s="1664"/>
      <c r="G148" s="1635"/>
      <c r="H148" s="1635"/>
      <c r="I148" s="1635"/>
      <c r="J148" s="1635"/>
      <c r="K148" s="1635"/>
      <c r="L148" s="1635"/>
      <c r="M148" s="1635"/>
      <c r="N148" s="1635"/>
      <c r="O148" s="1635"/>
      <c r="P148" s="1635"/>
      <c r="Q148" s="1635"/>
      <c r="R148" s="1636"/>
      <c r="CS148" s="61" t="s">
        <v>40</v>
      </c>
      <c r="HB148" s="2347" t="s">
        <v>890</v>
      </c>
      <c r="HC148" s="2348"/>
      <c r="HD148" s="2348"/>
      <c r="HE148" s="2348"/>
      <c r="HF148" s="2348"/>
      <c r="HG148" s="2348"/>
      <c r="HH148" s="2348"/>
      <c r="HI148" s="2348"/>
      <c r="HJ148" s="2348"/>
      <c r="HK148" s="2348"/>
      <c r="HL148" s="2348"/>
      <c r="HM148" s="2349"/>
      <c r="IG148" s="2326">
        <v>0</v>
      </c>
      <c r="IH148" s="2327"/>
      <c r="II148" s="2327"/>
      <c r="IJ148" s="2327"/>
      <c r="IK148" s="2327"/>
      <c r="IL148" s="2327"/>
      <c r="IM148" s="2327"/>
      <c r="IN148" s="2327"/>
      <c r="IO148" s="2327"/>
      <c r="IP148" s="2327"/>
      <c r="IQ148" s="2327"/>
      <c r="IR148" s="2327"/>
      <c r="IS148" s="2327"/>
      <c r="IT148" s="2327"/>
      <c r="IU148" s="2327"/>
      <c r="IV148" s="2327"/>
      <c r="IW148" s="2327"/>
      <c r="IX148" s="2327"/>
      <c r="IY148" s="2327"/>
      <c r="IZ148" s="2327"/>
      <c r="JA148" s="2328"/>
      <c r="JZ148" s="74"/>
    </row>
    <row r="149" spans="1:665" s="61" customFormat="1" ht="21.75" hidden="1" customHeight="1">
      <c r="B149" s="2350"/>
      <c r="C149" s="2352"/>
      <c r="D149" s="1712">
        <v>30000</v>
      </c>
      <c r="E149" s="1694"/>
      <c r="F149" s="1664"/>
      <c r="G149" s="1635"/>
      <c r="H149" s="1635"/>
      <c r="I149" s="1635"/>
      <c r="J149" s="1635"/>
      <c r="K149" s="1635"/>
      <c r="L149" s="1635"/>
      <c r="M149" s="1635"/>
      <c r="N149" s="1635"/>
      <c r="O149" s="1635"/>
      <c r="P149" s="1635"/>
      <c r="Q149" s="1635"/>
      <c r="R149" s="1636"/>
      <c r="EH149" s="2350">
        <v>20000</v>
      </c>
      <c r="EI149" s="2351"/>
      <c r="EJ149" s="2351"/>
      <c r="EK149" s="2351"/>
      <c r="EL149" s="2351"/>
      <c r="EM149" s="2351"/>
      <c r="EN149" s="2352"/>
      <c r="FW149" s="74"/>
      <c r="IK149" s="2323" t="s">
        <v>401</v>
      </c>
      <c r="IL149" s="2324"/>
      <c r="IM149" s="2324"/>
      <c r="IN149" s="2324"/>
      <c r="IO149" s="2324"/>
      <c r="IP149" s="2324"/>
      <c r="IQ149" s="2324"/>
      <c r="IR149" s="2324"/>
      <c r="IS149" s="2324"/>
      <c r="IT149" s="2324"/>
      <c r="IU149" s="2324"/>
      <c r="IV149" s="2325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5"/>
      <c r="B150" s="2383" t="s">
        <v>362</v>
      </c>
      <c r="C150" s="2384"/>
      <c r="D150" s="1611" t="s">
        <v>365</v>
      </c>
      <c r="E150" s="1694"/>
      <c r="F150" s="1664"/>
      <c r="G150" s="1635"/>
      <c r="H150" s="1635"/>
      <c r="I150" s="1635"/>
      <c r="J150" s="1635"/>
      <c r="K150" s="1635"/>
      <c r="L150" s="1635"/>
      <c r="M150" s="1635"/>
      <c r="N150" s="1635"/>
      <c r="O150" s="1635"/>
      <c r="P150" s="1635"/>
      <c r="Q150" s="1635"/>
      <c r="R150" s="1636"/>
      <c r="EG150" s="2369" t="s">
        <v>853</v>
      </c>
      <c r="EH150" s="2370"/>
      <c r="EI150" s="2370"/>
      <c r="EJ150" s="2370"/>
      <c r="EK150" s="2370"/>
      <c r="EL150" s="2370"/>
      <c r="EM150" s="2370"/>
      <c r="EN150" s="2370"/>
      <c r="EO150" s="2371"/>
      <c r="FW150" s="74"/>
      <c r="IG150" s="2323">
        <v>0</v>
      </c>
      <c r="IH150" s="2324"/>
      <c r="II150" s="2324"/>
      <c r="IJ150" s="2324"/>
      <c r="IK150" s="2324"/>
      <c r="IL150" s="2324"/>
      <c r="IM150" s="2324"/>
      <c r="IN150" s="2324"/>
      <c r="IO150" s="2324"/>
      <c r="IP150" s="2324"/>
      <c r="IQ150" s="2324"/>
      <c r="IR150" s="2324"/>
      <c r="IS150" s="2324"/>
      <c r="IT150" s="2324"/>
      <c r="IU150" s="2324"/>
      <c r="IV150" s="2324"/>
      <c r="IW150" s="2324"/>
      <c r="IX150" s="2324"/>
      <c r="IY150" s="2324"/>
      <c r="IZ150" s="2324"/>
      <c r="JA150" s="2325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350"/>
      <c r="C151" s="2352"/>
      <c r="D151" s="1624">
        <v>0</v>
      </c>
      <c r="E151" s="1694"/>
      <c r="F151" s="1664"/>
      <c r="G151" s="1635"/>
      <c r="H151" s="1635"/>
      <c r="I151" s="1635"/>
      <c r="J151" s="1635"/>
      <c r="K151" s="1635"/>
      <c r="L151" s="1635"/>
      <c r="M151" s="1635"/>
      <c r="N151" s="1635"/>
      <c r="O151" s="1635"/>
      <c r="P151" s="1635"/>
      <c r="Q151" s="1635"/>
      <c r="R151" s="1636"/>
      <c r="FW151" s="74"/>
      <c r="IK151" s="2338" t="s">
        <v>402</v>
      </c>
      <c r="IL151" s="2339"/>
      <c r="IM151" s="2339"/>
      <c r="IN151" s="2339"/>
      <c r="IO151" s="2339"/>
      <c r="IP151" s="2339"/>
      <c r="IQ151" s="2339"/>
      <c r="IR151" s="2339"/>
      <c r="IS151" s="2339"/>
      <c r="IT151" s="2339"/>
      <c r="IU151" s="2339"/>
      <c r="IV151" s="2340"/>
    </row>
    <row r="152" spans="1:665" s="61" customFormat="1" ht="27" hidden="1" customHeight="1">
      <c r="A152" s="345"/>
      <c r="B152" s="2383" t="s">
        <v>362</v>
      </c>
      <c r="C152" s="2384"/>
      <c r="D152" s="1611" t="s">
        <v>403</v>
      </c>
      <c r="E152" s="1694"/>
      <c r="F152" s="1664"/>
      <c r="G152" s="1635"/>
      <c r="H152" s="1635"/>
      <c r="I152" s="1635"/>
      <c r="J152" s="1635"/>
      <c r="K152" s="1635"/>
      <c r="L152" s="1635"/>
      <c r="M152" s="1635"/>
      <c r="N152" s="1635"/>
      <c r="O152" s="1635"/>
      <c r="P152" s="1635"/>
      <c r="Q152" s="1635"/>
      <c r="R152" s="1636"/>
      <c r="IG152" s="2338">
        <v>0</v>
      </c>
      <c r="IH152" s="2339"/>
      <c r="II152" s="2339"/>
      <c r="IJ152" s="2339"/>
      <c r="IK152" s="2339"/>
      <c r="IL152" s="2339"/>
      <c r="IM152" s="2339"/>
      <c r="IN152" s="2339"/>
      <c r="IO152" s="2339"/>
      <c r="IP152" s="2339"/>
      <c r="IQ152" s="2339"/>
      <c r="IR152" s="2339"/>
      <c r="IS152" s="2339"/>
      <c r="IT152" s="2339"/>
      <c r="IU152" s="2339"/>
      <c r="IV152" s="2339"/>
      <c r="IW152" s="2339"/>
      <c r="IX152" s="2339"/>
      <c r="IY152" s="2339"/>
      <c r="IZ152" s="2339"/>
      <c r="JA152" s="2340"/>
    </row>
    <row r="153" spans="1:665" s="61" customFormat="1" ht="42.75" customHeight="1">
      <c r="A153" s="2350"/>
      <c r="B153" s="2351"/>
      <c r="C153" s="2351"/>
      <c r="D153" s="2351"/>
      <c r="E153" s="2351"/>
      <c r="F153" s="2351"/>
      <c r="G153" s="2351"/>
      <c r="H153" s="2351"/>
      <c r="I153" s="2351"/>
      <c r="J153" s="2351"/>
      <c r="K153" s="2351"/>
      <c r="L153" s="2351"/>
      <c r="M153" s="2351"/>
      <c r="N153" s="2351"/>
      <c r="O153" s="2351"/>
      <c r="P153" s="2351"/>
      <c r="Q153" s="2351"/>
      <c r="R153" s="2351"/>
      <c r="S153" s="2351"/>
      <c r="T153" s="2351"/>
      <c r="U153" s="2351"/>
      <c r="V153" s="2351"/>
      <c r="W153" s="2351"/>
      <c r="X153" s="2351"/>
      <c r="Y153" s="2351"/>
      <c r="Z153" s="2351"/>
      <c r="AA153" s="2351"/>
      <c r="AB153" s="2351"/>
      <c r="AC153" s="2351"/>
      <c r="AD153" s="2351"/>
      <c r="AE153" s="2351"/>
      <c r="AF153" s="2351"/>
      <c r="AG153" s="2351"/>
      <c r="AH153" s="2351"/>
      <c r="AI153" s="2351"/>
      <c r="AJ153" s="2351"/>
      <c r="AK153" s="2351"/>
      <c r="AL153" s="2351"/>
      <c r="AM153" s="2351"/>
      <c r="AN153" s="2351"/>
      <c r="AO153" s="2351"/>
      <c r="AP153" s="2351"/>
      <c r="AQ153" s="2351"/>
      <c r="AR153" s="2351"/>
      <c r="AS153" s="2351"/>
      <c r="AT153" s="2351"/>
      <c r="AU153" s="2351"/>
      <c r="AV153" s="2351"/>
      <c r="AW153" s="2351"/>
      <c r="AX153" s="2351"/>
      <c r="AY153" s="2351"/>
      <c r="AZ153" s="2351"/>
      <c r="BA153" s="2351"/>
      <c r="BB153" s="2351"/>
      <c r="BC153" s="2351"/>
      <c r="BD153" s="2351"/>
      <c r="BE153" s="2351"/>
      <c r="BF153" s="2351"/>
      <c r="BG153" s="2351"/>
      <c r="BH153" s="2351"/>
      <c r="BI153" s="2351"/>
      <c r="BJ153" s="2351"/>
      <c r="BK153" s="2351"/>
      <c r="BL153" s="2351"/>
      <c r="BM153" s="2351"/>
      <c r="BN153" s="2351"/>
      <c r="BO153" s="2351"/>
      <c r="BP153" s="2351"/>
      <c r="BQ153" s="2352"/>
      <c r="BR153" s="2366" t="s">
        <v>404</v>
      </c>
      <c r="BS153" s="2367"/>
      <c r="BT153" s="2367"/>
      <c r="BU153" s="2367"/>
      <c r="BV153" s="2367"/>
      <c r="BW153" s="2367"/>
      <c r="BX153" s="2367"/>
      <c r="BY153" s="2367"/>
      <c r="BZ153" s="2367"/>
      <c r="CA153" s="2367"/>
      <c r="CB153" s="2367"/>
      <c r="CC153" s="2367"/>
      <c r="CD153" s="2367"/>
      <c r="CE153" s="2367"/>
      <c r="CF153" s="2367"/>
      <c r="CG153" s="2367"/>
      <c r="CH153" s="2367"/>
      <c r="CI153" s="2367"/>
      <c r="CJ153" s="2367"/>
      <c r="CK153" s="2367"/>
      <c r="CL153" s="2367"/>
      <c r="CM153" s="2367"/>
      <c r="CN153" s="2367"/>
      <c r="CO153" s="2367"/>
      <c r="CP153" s="2367"/>
      <c r="CQ153" s="2367"/>
      <c r="CR153" s="2367"/>
      <c r="CS153" s="2367"/>
      <c r="CT153" s="2367"/>
      <c r="CU153" s="2367"/>
      <c r="CV153" s="2367"/>
      <c r="CW153" s="2367"/>
      <c r="CX153" s="2367"/>
      <c r="CY153" s="2367"/>
      <c r="CZ153" s="2367"/>
      <c r="DA153" s="2367"/>
      <c r="DB153" s="2368"/>
      <c r="DC153" s="2350"/>
      <c r="DD153" s="2351"/>
      <c r="DE153" s="2351"/>
      <c r="DF153" s="2351"/>
      <c r="DG153" s="2351"/>
      <c r="DH153" s="2351"/>
      <c r="DI153" s="2351"/>
      <c r="DJ153" s="2351"/>
      <c r="DK153" s="2351"/>
      <c r="DL153" s="2351"/>
      <c r="DM153" s="2351"/>
      <c r="DN153" s="2351"/>
      <c r="DO153" s="2351"/>
      <c r="DP153" s="2351"/>
      <c r="DQ153" s="2351"/>
      <c r="DR153" s="2351"/>
      <c r="DS153" s="2351"/>
      <c r="DT153" s="2351"/>
      <c r="DU153" s="2351"/>
      <c r="DV153" s="2351"/>
      <c r="DW153" s="2351"/>
      <c r="DX153" s="2351"/>
      <c r="DY153" s="2351"/>
      <c r="DZ153" s="2351"/>
      <c r="EA153" s="2351"/>
      <c r="EB153" s="2351"/>
      <c r="EC153" s="2351"/>
      <c r="ED153" s="2351"/>
      <c r="EE153" s="2351"/>
      <c r="EF153" s="2351"/>
      <c r="EG153" s="2351"/>
      <c r="EH153" s="2351"/>
      <c r="EI153" s="2351"/>
      <c r="EJ153" s="2351"/>
      <c r="EK153" s="2351"/>
      <c r="EL153" s="2351"/>
      <c r="EM153" s="2351"/>
      <c r="EN153" s="2351"/>
      <c r="EO153" s="2351"/>
      <c r="EP153" s="2351"/>
      <c r="EQ153" s="2351"/>
      <c r="ER153" s="2351"/>
      <c r="ES153" s="2351"/>
      <c r="ET153" s="2351"/>
      <c r="EU153" s="2351"/>
      <c r="EV153" s="2351"/>
      <c r="EW153" s="2351"/>
      <c r="EX153" s="2351"/>
      <c r="EY153" s="2351"/>
      <c r="EZ153" s="2351"/>
      <c r="FA153" s="2351"/>
      <c r="FB153" s="2351"/>
      <c r="FC153" s="2351"/>
      <c r="FD153" s="2351"/>
      <c r="FE153" s="2351"/>
      <c r="FF153" s="2351"/>
      <c r="FG153" s="2351"/>
      <c r="FH153" s="2351"/>
      <c r="FI153" s="2351"/>
      <c r="FJ153" s="2351"/>
      <c r="FK153" s="2351"/>
      <c r="FL153" s="2351"/>
      <c r="FM153" s="2351"/>
      <c r="FN153" s="2351"/>
      <c r="FO153" s="2351"/>
      <c r="FP153" s="2351"/>
      <c r="FQ153" s="2351"/>
      <c r="FR153" s="2351"/>
      <c r="FS153" s="2351"/>
      <c r="FT153" s="2351"/>
      <c r="FU153" s="2351"/>
      <c r="FV153" s="2351"/>
      <c r="FW153" s="2351"/>
      <c r="FX153" s="2351"/>
      <c r="FY153" s="2351"/>
      <c r="FZ153" s="2351"/>
      <c r="GA153" s="2351"/>
      <c r="GB153" s="2351"/>
      <c r="GC153" s="2351"/>
      <c r="GD153" s="2351"/>
      <c r="GE153" s="2351"/>
      <c r="GF153" s="2351"/>
      <c r="GG153" s="2351"/>
      <c r="GH153" s="2351"/>
      <c r="GI153" s="2351"/>
      <c r="GJ153" s="2351"/>
      <c r="GK153" s="2351"/>
      <c r="GL153" s="2351"/>
      <c r="GM153" s="2351"/>
      <c r="GN153" s="2351"/>
      <c r="GO153" s="2351"/>
      <c r="GP153" s="2351"/>
      <c r="GQ153" s="2351"/>
      <c r="GR153" s="2351"/>
      <c r="GS153" s="2351"/>
      <c r="GT153" s="2351"/>
      <c r="GU153" s="2351"/>
      <c r="GV153" s="2351"/>
      <c r="GW153" s="2351"/>
      <c r="GX153" s="2351"/>
      <c r="GY153" s="2351"/>
      <c r="GZ153" s="2351"/>
      <c r="HA153" s="2351"/>
      <c r="HB153" s="2351"/>
      <c r="HC153" s="2351"/>
      <c r="HD153" s="2351"/>
      <c r="HE153" s="2351"/>
      <c r="HF153" s="2351"/>
      <c r="HG153" s="2351"/>
      <c r="HH153" s="2351"/>
      <c r="HI153" s="2351"/>
      <c r="HJ153" s="2351"/>
      <c r="HK153" s="2351"/>
      <c r="HL153" s="2351"/>
      <c r="HM153" s="2351"/>
      <c r="HN153" s="2351"/>
      <c r="HO153" s="2351"/>
      <c r="HP153" s="2351"/>
      <c r="HQ153" s="2351"/>
      <c r="HR153" s="2351"/>
      <c r="HS153" s="2351"/>
      <c r="HT153" s="2351"/>
      <c r="HU153" s="2351"/>
      <c r="HV153" s="2351"/>
      <c r="HW153" s="2351"/>
      <c r="HX153" s="2351"/>
      <c r="HY153" s="2351"/>
      <c r="HZ153" s="2352"/>
    </row>
    <row r="154" spans="1:665" s="61" customFormat="1" ht="27.75" customHeight="1">
      <c r="A154" s="336" t="s">
        <v>287</v>
      </c>
      <c r="B154" s="336"/>
      <c r="C154" s="342"/>
      <c r="D154" s="1626" t="s">
        <v>943</v>
      </c>
      <c r="E154" s="1690"/>
      <c r="F154" s="1631">
        <v>0</v>
      </c>
      <c r="G154" s="1640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1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35" customHeight="1">
      <c r="A155" s="336"/>
      <c r="B155" s="2314"/>
      <c r="C155" s="2316"/>
      <c r="D155" s="1627">
        <v>0</v>
      </c>
      <c r="E155" s="1690"/>
      <c r="F155" s="2364" t="s">
        <v>355</v>
      </c>
      <c r="G155" s="2365"/>
      <c r="H155" s="2320" t="s">
        <v>356</v>
      </c>
      <c r="I155" s="2321"/>
      <c r="J155" s="2321"/>
      <c r="K155" s="2322"/>
      <c r="L155" s="2311" t="s">
        <v>854</v>
      </c>
      <c r="M155" s="2312"/>
      <c r="N155" s="2312"/>
      <c r="O155" s="2312"/>
      <c r="P155" s="2312"/>
      <c r="Q155" s="2312"/>
      <c r="R155" s="2312"/>
      <c r="S155" s="2312"/>
      <c r="T155" s="2312"/>
      <c r="U155" s="2313"/>
      <c r="V155" s="2362" t="s">
        <v>357</v>
      </c>
      <c r="W155" s="2363"/>
      <c r="X155" s="2305" t="s">
        <v>288</v>
      </c>
      <c r="Y155" s="2306"/>
      <c r="Z155" s="2306"/>
      <c r="AA155" s="2306"/>
      <c r="AB155" s="2306"/>
      <c r="AC155" s="2306"/>
      <c r="AD155" s="2306"/>
      <c r="AE155" s="2306"/>
      <c r="AF155" s="2307"/>
      <c r="AG155" s="2308" t="s">
        <v>354</v>
      </c>
      <c r="AH155" s="2309"/>
      <c r="AI155" s="2310"/>
      <c r="AJ155" s="2364" t="s">
        <v>355</v>
      </c>
      <c r="AK155" s="2365"/>
      <c r="AL155" s="2320" t="s">
        <v>356</v>
      </c>
      <c r="AM155" s="2321"/>
      <c r="AN155" s="2321"/>
      <c r="AO155" s="2322"/>
      <c r="AP155" s="2311" t="s">
        <v>805</v>
      </c>
      <c r="AQ155" s="2312"/>
      <c r="AR155" s="2312"/>
      <c r="AS155" s="2312"/>
      <c r="AT155" s="2312"/>
      <c r="AU155" s="2312"/>
      <c r="AV155" s="2312"/>
      <c r="AW155" s="2312"/>
      <c r="AX155" s="2312"/>
      <c r="AY155" s="2313"/>
      <c r="AZ155" s="2362" t="s">
        <v>357</v>
      </c>
      <c r="BA155" s="2363"/>
      <c r="BB155" s="2305" t="s">
        <v>288</v>
      </c>
      <c r="BC155" s="2306"/>
      <c r="BD155" s="2306"/>
      <c r="BE155" s="2306"/>
      <c r="BF155" s="2306"/>
      <c r="BG155" s="2306"/>
      <c r="BH155" s="2306"/>
      <c r="BI155" s="2306"/>
      <c r="BJ155" s="2307"/>
      <c r="BK155" s="2308" t="s">
        <v>354</v>
      </c>
      <c r="BL155" s="2309"/>
      <c r="BM155" s="2310"/>
      <c r="BN155" s="2364" t="s">
        <v>355</v>
      </c>
      <c r="BO155" s="2365"/>
      <c r="BP155" s="2320" t="s">
        <v>356</v>
      </c>
      <c r="BQ155" s="2321"/>
      <c r="BR155" s="2321"/>
      <c r="BS155" s="2322"/>
      <c r="BT155" s="2311" t="s">
        <v>416</v>
      </c>
      <c r="BU155" s="2312"/>
      <c r="BV155" s="2312"/>
      <c r="BW155" s="2312"/>
      <c r="BX155" s="2312"/>
      <c r="BY155" s="2312"/>
      <c r="BZ155" s="2312"/>
      <c r="CA155" s="2313"/>
      <c r="CB155" s="2362" t="s">
        <v>357</v>
      </c>
      <c r="CC155" s="2363"/>
      <c r="CD155" s="2305" t="s">
        <v>288</v>
      </c>
      <c r="CE155" s="2306"/>
      <c r="CF155" s="2306"/>
      <c r="CG155" s="2306"/>
      <c r="CH155" s="2306"/>
      <c r="CI155" s="2306"/>
      <c r="CJ155" s="2306"/>
      <c r="CK155" s="2306"/>
      <c r="CL155" s="2307"/>
      <c r="CM155" s="2308" t="s">
        <v>354</v>
      </c>
      <c r="CN155" s="2309"/>
      <c r="CO155" s="2310"/>
    </row>
    <row r="156" spans="1:665" s="61" customFormat="1" ht="25.35" customHeight="1">
      <c r="B156" s="2383" t="s">
        <v>358</v>
      </c>
      <c r="C156" s="2384"/>
      <c r="D156" s="1611" t="s">
        <v>364</v>
      </c>
      <c r="E156" s="1690"/>
      <c r="F156" s="1665"/>
      <c r="G156" s="1645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41"/>
      <c r="FR156" s="2364" t="s">
        <v>355</v>
      </c>
      <c r="FS156" s="2365"/>
      <c r="FT156" s="2320" t="s">
        <v>356</v>
      </c>
      <c r="FU156" s="2321"/>
      <c r="FV156" s="2321"/>
      <c r="FW156" s="2322"/>
      <c r="FX156" s="2311" t="s">
        <v>484</v>
      </c>
      <c r="FY156" s="2312"/>
      <c r="FZ156" s="2312"/>
      <c r="GA156" s="2312"/>
      <c r="GB156" s="2312"/>
      <c r="GC156" s="2312"/>
      <c r="GD156" s="2312"/>
      <c r="GE156" s="2312"/>
      <c r="GF156" s="2312"/>
      <c r="GG156" s="2313"/>
      <c r="GH156" s="2362" t="s">
        <v>357</v>
      </c>
      <c r="GI156" s="2363"/>
      <c r="GJ156" s="2305" t="s">
        <v>288</v>
      </c>
      <c r="GK156" s="2306"/>
      <c r="GL156" s="2306"/>
      <c r="GM156" s="2306"/>
      <c r="GN156" s="2306"/>
      <c r="GO156" s="2306"/>
      <c r="GP156" s="2306"/>
      <c r="GQ156" s="2306"/>
      <c r="GR156" s="2307"/>
      <c r="GS156" s="2308" t="s">
        <v>354</v>
      </c>
      <c r="GT156" s="2309"/>
      <c r="GU156" s="2310"/>
      <c r="GV156" s="2364" t="s">
        <v>355</v>
      </c>
      <c r="GW156" s="2365"/>
      <c r="GX156" s="2320" t="s">
        <v>356</v>
      </c>
      <c r="GY156" s="2321"/>
      <c r="GZ156" s="2321"/>
      <c r="HA156" s="2322"/>
      <c r="HB156" s="2311" t="s">
        <v>446</v>
      </c>
      <c r="HC156" s="2312"/>
      <c r="HD156" s="2312"/>
      <c r="HE156" s="2312"/>
      <c r="HF156" s="2312"/>
      <c r="HG156" s="2312"/>
      <c r="HH156" s="2312"/>
      <c r="HI156" s="2312"/>
      <c r="HJ156" s="2312"/>
      <c r="HK156" s="2313"/>
      <c r="HL156" s="2362" t="s">
        <v>357</v>
      </c>
      <c r="HM156" s="2363"/>
      <c r="HN156" s="2305" t="s">
        <v>288</v>
      </c>
      <c r="HO156" s="2306"/>
      <c r="HP156" s="2306"/>
      <c r="HQ156" s="2306"/>
      <c r="HR156" s="2306"/>
      <c r="HS156" s="2306"/>
      <c r="HT156" s="2306"/>
      <c r="HU156" s="2306"/>
      <c r="HV156" s="2307"/>
      <c r="HW156" s="2308" t="s">
        <v>354</v>
      </c>
      <c r="HX156" s="2309"/>
      <c r="HY156" s="2310"/>
      <c r="HZ156" s="2364" t="s">
        <v>355</v>
      </c>
      <c r="IA156" s="2365"/>
      <c r="IB156" s="2320" t="s">
        <v>356</v>
      </c>
      <c r="IC156" s="2321"/>
      <c r="ID156" s="2321"/>
      <c r="IE156" s="2322"/>
      <c r="IF156" s="2311" t="s">
        <v>446</v>
      </c>
      <c r="IG156" s="2312"/>
      <c r="IH156" s="2312"/>
      <c r="II156" s="2312"/>
      <c r="IJ156" s="2312"/>
      <c r="IK156" s="2312"/>
      <c r="IL156" s="2312"/>
      <c r="IM156" s="2312"/>
      <c r="IN156" s="2312"/>
      <c r="IO156" s="2313"/>
      <c r="IP156" s="2362" t="s">
        <v>357</v>
      </c>
      <c r="IQ156" s="2363"/>
      <c r="IR156" s="2305" t="s">
        <v>288</v>
      </c>
      <c r="IS156" s="2306"/>
      <c r="IT156" s="2306"/>
      <c r="IU156" s="2306"/>
      <c r="IV156" s="2306"/>
      <c r="IW156" s="2306"/>
      <c r="IX156" s="2306"/>
      <c r="IY156" s="2306"/>
      <c r="IZ156" s="2307"/>
      <c r="JA156" s="2308" t="s">
        <v>354</v>
      </c>
      <c r="JB156" s="2309"/>
      <c r="JC156" s="2310"/>
      <c r="JD156" s="2364" t="s">
        <v>355</v>
      </c>
      <c r="JE156" s="2365"/>
      <c r="JF156" s="2320" t="s">
        <v>356</v>
      </c>
      <c r="JG156" s="2321"/>
      <c r="JH156" s="2321"/>
      <c r="JI156" s="2322"/>
      <c r="JJ156" s="2311" t="s">
        <v>804</v>
      </c>
      <c r="JK156" s="2312"/>
      <c r="JL156" s="2312"/>
      <c r="JM156" s="2312"/>
      <c r="JN156" s="2312"/>
      <c r="JO156" s="2312"/>
      <c r="JP156" s="2312"/>
      <c r="JQ156" s="2313"/>
      <c r="JR156" s="2362" t="s">
        <v>357</v>
      </c>
      <c r="JS156" s="2363"/>
      <c r="JT156" s="2305" t="s">
        <v>288</v>
      </c>
      <c r="JU156" s="2306"/>
      <c r="JV156" s="2306"/>
      <c r="JW156" s="2306"/>
      <c r="JX156" s="2306"/>
      <c r="JY156" s="2306"/>
      <c r="JZ156" s="2306"/>
      <c r="KA156" s="2306"/>
      <c r="KB156" s="2307"/>
      <c r="KC156" s="2308" t="s">
        <v>354</v>
      </c>
      <c r="KD156" s="2309"/>
      <c r="KE156" s="2310"/>
    </row>
    <row r="157" spans="1:665" s="1679" customFormat="1" ht="25.35" customHeight="1">
      <c r="B157" s="1715"/>
      <c r="C157" s="1716"/>
      <c r="D157" s="1715"/>
      <c r="E157" s="1717" t="s">
        <v>873</v>
      </c>
      <c r="F157" s="1718"/>
      <c r="G157" s="1718"/>
      <c r="P157" s="1727"/>
      <c r="Q157" s="1727"/>
      <c r="R157" s="1727"/>
      <c r="S157" s="1727"/>
      <c r="T157" s="1727"/>
      <c r="U157" s="1727"/>
      <c r="V157" s="1727"/>
      <c r="W157" s="1727"/>
      <c r="X157" s="1727"/>
      <c r="Y157" s="1727"/>
      <c r="Z157" s="1727"/>
      <c r="AA157" s="1727"/>
      <c r="AB157" s="1727"/>
      <c r="AC157" s="1727"/>
      <c r="AD157" s="1727"/>
      <c r="AE157" s="1727"/>
      <c r="AF157" s="1727"/>
      <c r="AG157" s="1727"/>
      <c r="AH157" s="1727"/>
      <c r="AI157" s="1727"/>
      <c r="AJ157" s="1727"/>
      <c r="AK157" s="1727"/>
      <c r="AL157" s="1727"/>
      <c r="AM157" s="1727"/>
      <c r="AN157" s="1727"/>
      <c r="AO157" s="1727"/>
      <c r="AP157" s="1727"/>
      <c r="AQ157" s="1727"/>
      <c r="AR157" s="1727"/>
      <c r="AS157" s="1727"/>
      <c r="AT157" s="1727"/>
      <c r="AU157" s="1727"/>
      <c r="AV157" s="1727"/>
      <c r="AW157" s="1727"/>
      <c r="AX157" s="1727"/>
      <c r="AY157" s="1718"/>
      <c r="AZ157" s="1718"/>
      <c r="BA157" s="1718"/>
      <c r="BB157" s="1718"/>
      <c r="BC157" s="1718"/>
      <c r="BD157" s="1718"/>
      <c r="BE157" s="1718"/>
      <c r="BF157" s="1718"/>
      <c r="BG157" s="1718"/>
      <c r="BH157" s="1718"/>
      <c r="BI157" s="1718"/>
      <c r="BJ157" s="1718"/>
      <c r="BK157" s="1718"/>
      <c r="BL157" s="1718"/>
      <c r="BM157" s="1718"/>
      <c r="BN157" s="1718"/>
      <c r="BO157" s="1718"/>
      <c r="BP157" s="1718"/>
      <c r="BQ157" s="1718"/>
      <c r="BR157" s="1718"/>
      <c r="BS157" s="1718"/>
      <c r="BT157" s="1718"/>
      <c r="BU157" s="1718"/>
      <c r="BV157" s="1718"/>
      <c r="BW157" s="1718"/>
      <c r="BX157" s="1718"/>
      <c r="BY157" s="1718"/>
      <c r="BZ157" s="1718"/>
      <c r="CA157" s="1718"/>
      <c r="CB157" s="1718"/>
      <c r="CC157" s="1718"/>
      <c r="CD157" s="1718"/>
      <c r="CE157" s="1718"/>
      <c r="CF157" s="1718"/>
      <c r="CG157" s="1718"/>
      <c r="CH157" s="1718"/>
      <c r="CI157" s="1718"/>
      <c r="CJ157" s="1718"/>
      <c r="CK157" s="1718"/>
      <c r="CL157" s="1718"/>
      <c r="CM157" s="1718"/>
      <c r="CN157" s="1718"/>
      <c r="CO157" s="1718"/>
      <c r="CP157" s="1718"/>
      <c r="CQ157" s="1718"/>
      <c r="CR157" s="1718"/>
      <c r="CS157" s="1718"/>
      <c r="CT157" s="1718"/>
      <c r="CU157" s="1718"/>
      <c r="CV157" s="1718"/>
      <c r="CW157" s="1718"/>
      <c r="CX157" s="1718"/>
      <c r="CY157" s="1718"/>
      <c r="CZ157" s="1718"/>
      <c r="DA157" s="1718"/>
      <c r="DB157" s="1718"/>
      <c r="DC157" s="1723"/>
      <c r="DD157" s="1723"/>
      <c r="DE157" s="1723"/>
      <c r="DF157" s="1723"/>
      <c r="DG157" s="1723"/>
      <c r="DH157" s="1723"/>
      <c r="DI157" s="1723"/>
      <c r="DJ157" s="1723"/>
      <c r="DK157" s="1723"/>
      <c r="DL157" s="1723"/>
      <c r="DM157" s="1723"/>
      <c r="DN157" s="1723"/>
      <c r="DO157" s="1723"/>
      <c r="DP157" s="1723"/>
      <c r="DQ157" s="1723"/>
      <c r="DR157" s="1723"/>
      <c r="DS157" s="1723"/>
      <c r="DT157" s="1723"/>
      <c r="DU157" s="1723"/>
      <c r="DV157" s="1723"/>
      <c r="DW157" s="1723"/>
      <c r="DX157" s="1723"/>
      <c r="DY157" s="1723"/>
      <c r="DZ157" s="1723"/>
      <c r="EA157" s="1723"/>
      <c r="EB157" s="1723"/>
      <c r="EC157" s="1723"/>
      <c r="ED157" s="1723"/>
      <c r="EE157" s="1723"/>
      <c r="EF157" s="1723"/>
      <c r="EG157" s="1723"/>
      <c r="EH157" s="1723"/>
      <c r="EI157" s="1723"/>
      <c r="EJ157" s="1723"/>
      <c r="EK157" s="1723"/>
      <c r="EL157" s="1723"/>
      <c r="EM157" s="1723"/>
      <c r="EN157" s="1723"/>
      <c r="EO157" s="1723"/>
      <c r="EP157" s="1723"/>
      <c r="EQ157" s="1723"/>
      <c r="ER157" s="1723"/>
      <c r="ES157" s="1723"/>
      <c r="ET157" s="1723"/>
      <c r="EU157" s="1723"/>
      <c r="EV157" s="1723"/>
      <c r="EW157" s="1723"/>
      <c r="EX157" s="1723"/>
      <c r="EY157" s="1723"/>
      <c r="EZ157" s="1723"/>
      <c r="FA157" s="1723"/>
      <c r="FB157" s="1723"/>
      <c r="FC157" s="1723"/>
      <c r="FD157" s="1723"/>
      <c r="FE157" s="1723"/>
      <c r="FF157" s="1723"/>
      <c r="FG157" s="1723"/>
      <c r="FH157" s="1723"/>
      <c r="FI157" s="1723"/>
      <c r="FJ157" s="1723"/>
      <c r="FK157" s="1723"/>
      <c r="FL157" s="1723"/>
      <c r="FM157" s="1723"/>
      <c r="FN157" s="1723"/>
      <c r="FO157" s="1723"/>
      <c r="FP157" s="1723"/>
      <c r="FQ157" s="1723"/>
      <c r="FR157" s="1723"/>
      <c r="FS157" s="1723"/>
      <c r="FT157" s="1723"/>
      <c r="FU157" s="1723"/>
      <c r="FV157" s="1723"/>
      <c r="FW157" s="1723"/>
      <c r="FX157" s="1723"/>
      <c r="FY157" s="1723"/>
      <c r="FZ157" s="1723"/>
      <c r="GA157" s="1723"/>
      <c r="GB157" s="1723"/>
      <c r="GC157" s="1723"/>
      <c r="GD157" s="1723"/>
      <c r="GE157" s="1723"/>
      <c r="GF157" s="1723"/>
      <c r="GG157" s="1723"/>
      <c r="GH157" s="1723"/>
      <c r="GI157" s="1723"/>
      <c r="GJ157" s="1719">
        <v>120</v>
      </c>
      <c r="GK157" s="1719">
        <v>120</v>
      </c>
      <c r="GL157" s="1719">
        <v>120</v>
      </c>
      <c r="GM157" s="1719">
        <v>120</v>
      </c>
      <c r="GN157" s="1719">
        <v>120</v>
      </c>
      <c r="GO157" s="1719">
        <v>120</v>
      </c>
      <c r="GP157" s="1719">
        <v>120</v>
      </c>
      <c r="GQ157" s="1719">
        <v>120</v>
      </c>
      <c r="GR157" s="1719">
        <v>120</v>
      </c>
      <c r="GS157" s="1718"/>
      <c r="GT157" s="1718"/>
      <c r="GU157" s="1718"/>
      <c r="GV157" s="1718"/>
      <c r="GW157" s="1718"/>
      <c r="GX157" s="1718"/>
      <c r="GY157" s="1718"/>
      <c r="GZ157" s="1718"/>
      <c r="HA157" s="1718"/>
      <c r="HB157" s="1718"/>
      <c r="HC157" s="1718"/>
      <c r="HD157" s="1718"/>
      <c r="HE157" s="1718"/>
      <c r="HF157" s="1718"/>
      <c r="HG157" s="1718"/>
      <c r="HH157" s="1718"/>
      <c r="HI157" s="1718"/>
      <c r="HJ157" s="1718"/>
      <c r="HK157" s="1718"/>
      <c r="HL157" s="1718"/>
      <c r="HM157" s="1718"/>
      <c r="HN157" s="1719">
        <v>120</v>
      </c>
      <c r="HO157" s="1719">
        <v>120</v>
      </c>
      <c r="HP157" s="1719">
        <v>120</v>
      </c>
      <c r="HQ157" s="1719">
        <v>120</v>
      </c>
      <c r="HR157" s="1719">
        <v>120</v>
      </c>
      <c r="HS157" s="1719">
        <v>120</v>
      </c>
      <c r="HT157" s="1719">
        <v>120</v>
      </c>
      <c r="HU157" s="1719">
        <v>120</v>
      </c>
      <c r="HV157" s="1719">
        <v>120</v>
      </c>
      <c r="HW157" s="1718"/>
      <c r="HX157" s="1718"/>
      <c r="HY157" s="1718"/>
      <c r="HZ157" s="1718"/>
      <c r="IA157" s="1718"/>
      <c r="IB157" s="1718"/>
      <c r="IC157" s="1718"/>
      <c r="ID157" s="1718"/>
      <c r="IE157" s="1718"/>
      <c r="IF157" s="1718"/>
      <c r="IG157" s="1718"/>
      <c r="IH157" s="1718"/>
      <c r="II157" s="1718"/>
      <c r="IJ157" s="1718"/>
      <c r="IK157" s="1718"/>
      <c r="IL157" s="1718"/>
      <c r="IM157" s="1718"/>
      <c r="IN157" s="1718"/>
      <c r="IO157" s="1718"/>
      <c r="IP157" s="1718"/>
      <c r="IQ157" s="1718"/>
      <c r="IR157" s="1719">
        <v>120</v>
      </c>
      <c r="IS157" s="1720">
        <v>120</v>
      </c>
      <c r="IT157" s="1720">
        <v>120</v>
      </c>
      <c r="IU157" s="1720">
        <v>120</v>
      </c>
      <c r="IV157" s="1720">
        <v>120</v>
      </c>
      <c r="IW157" s="1720">
        <v>120</v>
      </c>
      <c r="IX157" s="1720">
        <v>120</v>
      </c>
      <c r="IY157" s="1720">
        <v>120</v>
      </c>
      <c r="IZ157" s="1720">
        <v>120</v>
      </c>
      <c r="JA157" s="1718"/>
      <c r="JB157" s="1718"/>
      <c r="JC157" s="1718"/>
      <c r="JD157" s="1718"/>
      <c r="JE157" s="1718"/>
      <c r="JF157" s="1718"/>
      <c r="JG157" s="1718"/>
      <c r="JH157" s="1718"/>
      <c r="JI157" s="1718"/>
      <c r="JJ157" s="1718"/>
      <c r="JK157" s="1718"/>
      <c r="JL157" s="1718"/>
      <c r="JM157" s="1718"/>
      <c r="JN157" s="1718"/>
      <c r="JO157" s="1718"/>
      <c r="JP157" s="1718"/>
      <c r="JQ157" s="1718"/>
      <c r="JR157" s="1718"/>
      <c r="JS157" s="1718"/>
      <c r="JT157" s="1719">
        <v>120</v>
      </c>
      <c r="JU157" s="1719">
        <v>120</v>
      </c>
      <c r="JV157" s="1719">
        <v>120</v>
      </c>
      <c r="JW157" s="1719">
        <v>120</v>
      </c>
      <c r="JX157" s="1719">
        <v>120</v>
      </c>
      <c r="JY157" s="1719">
        <v>120</v>
      </c>
      <c r="JZ157" s="1719">
        <v>120</v>
      </c>
      <c r="KA157" s="1719">
        <v>120</v>
      </c>
      <c r="KB157" s="1719">
        <v>120</v>
      </c>
      <c r="KC157" s="1718"/>
      <c r="KD157" s="1718"/>
      <c r="KE157" s="1718"/>
      <c r="KF157" s="1718"/>
      <c r="KG157" s="1718"/>
      <c r="KH157" s="1718"/>
      <c r="KI157" s="1718"/>
      <c r="KJ157" s="1718"/>
      <c r="KK157" s="1718"/>
      <c r="KL157" s="1718"/>
      <c r="KM157" s="1718"/>
      <c r="KN157" s="1718"/>
      <c r="KO157" s="1718"/>
      <c r="KP157" s="1718"/>
      <c r="KQ157" s="1718"/>
      <c r="KR157" s="1718"/>
      <c r="KS157" s="1718"/>
      <c r="KT157" s="1718"/>
      <c r="KU157" s="1718"/>
      <c r="KV157" s="1718"/>
      <c r="KW157" s="1718"/>
      <c r="KX157" s="1718"/>
      <c r="KY157" s="1718"/>
      <c r="KZ157" s="1718"/>
      <c r="LA157" s="1718"/>
      <c r="LB157" s="1718"/>
      <c r="LC157" s="1718"/>
      <c r="LD157" s="1718"/>
      <c r="LE157" s="1718"/>
      <c r="LF157" s="1718"/>
      <c r="LG157" s="1718"/>
      <c r="LH157" s="1718"/>
      <c r="LI157" s="1718"/>
      <c r="LJ157" s="1718"/>
      <c r="LK157" s="1718"/>
      <c r="LL157" s="1718"/>
      <c r="LM157" s="1718"/>
      <c r="LN157" s="1718"/>
      <c r="LO157" s="1718"/>
      <c r="LP157" s="1718"/>
      <c r="LQ157" s="1718"/>
      <c r="LR157" s="1718"/>
      <c r="LS157" s="1718"/>
      <c r="LT157" s="1718"/>
      <c r="LU157" s="1718"/>
      <c r="LV157" s="1718"/>
      <c r="LW157" s="1718"/>
      <c r="LX157" s="1718"/>
      <c r="LY157" s="1718"/>
      <c r="LZ157" s="1718"/>
      <c r="MA157" s="1718"/>
      <c r="MB157" s="1718"/>
      <c r="MC157" s="1718"/>
      <c r="MD157" s="1718"/>
      <c r="ME157" s="1718"/>
      <c r="MF157" s="1718"/>
      <c r="MG157" s="1718"/>
      <c r="MH157" s="1718"/>
      <c r="MI157" s="1718"/>
      <c r="MJ157" s="1718"/>
      <c r="MK157" s="1718"/>
      <c r="ML157" s="1718"/>
      <c r="MM157" s="1718"/>
      <c r="MN157" s="1718"/>
      <c r="MO157" s="1718"/>
      <c r="MP157" s="1718"/>
      <c r="MQ157" s="1718"/>
      <c r="MR157" s="1718"/>
      <c r="MS157" s="1718"/>
      <c r="MT157" s="1718"/>
      <c r="MU157" s="1718"/>
      <c r="MV157" s="1718"/>
      <c r="MW157" s="1718"/>
      <c r="MX157" s="1718"/>
      <c r="MY157" s="1718"/>
      <c r="MZ157" s="1718"/>
      <c r="ND157" s="1719">
        <v>120</v>
      </c>
      <c r="NE157" s="1720">
        <v>120</v>
      </c>
      <c r="NF157" s="1720">
        <v>120</v>
      </c>
      <c r="NG157" s="1720">
        <v>120</v>
      </c>
      <c r="NH157" s="1720">
        <v>120</v>
      </c>
      <c r="NI157" s="1720">
        <v>120</v>
      </c>
      <c r="NJ157" s="1720">
        <v>120</v>
      </c>
      <c r="NK157" s="1720">
        <v>120</v>
      </c>
      <c r="NL157" s="1720">
        <v>120</v>
      </c>
    </row>
    <row r="158" spans="1:665" s="61" customFormat="1" ht="25.35" customHeight="1">
      <c r="A158" s="336"/>
      <c r="B158" s="2401" t="s">
        <v>894</v>
      </c>
      <c r="C158" s="2402"/>
      <c r="D158" s="2403"/>
      <c r="E158" s="1690"/>
      <c r="F158" s="1665"/>
      <c r="G158" s="1645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99" t="s">
        <v>912</v>
      </c>
      <c r="CA158" s="2400"/>
      <c r="CB158" s="2400"/>
      <c r="CC158" s="2400"/>
      <c r="CD158" s="2400"/>
      <c r="CE158" s="2400"/>
      <c r="CF158" s="2400"/>
      <c r="CG158" s="2400"/>
      <c r="CH158" s="2400"/>
      <c r="CI158" s="2400"/>
      <c r="CJ158" s="2400"/>
      <c r="CK158" s="2400"/>
      <c r="CL158" s="2400"/>
      <c r="CM158" s="2400"/>
      <c r="CN158" s="2400"/>
      <c r="CO158" s="2400"/>
      <c r="CP158" s="2400"/>
      <c r="CQ158" s="2400"/>
      <c r="CR158" s="2400"/>
      <c r="CS158" s="2400"/>
      <c r="CT158" s="2400"/>
      <c r="CU158" s="2400"/>
      <c r="CV158" s="2400"/>
      <c r="CW158" s="2400"/>
      <c r="CX158" s="2400"/>
      <c r="CY158" s="2400"/>
      <c r="CZ158" s="2400"/>
      <c r="DA158" s="2400"/>
      <c r="DB158" s="2400"/>
      <c r="DC158" s="2400"/>
      <c r="DD158" s="2400"/>
      <c r="DE158" s="2400"/>
      <c r="DF158" s="2400"/>
      <c r="DG158" s="2400"/>
      <c r="DH158" s="2400"/>
      <c r="DI158" s="2400"/>
      <c r="DJ158" s="2400"/>
      <c r="DK158" s="2400"/>
      <c r="DL158" s="2400"/>
      <c r="DM158" s="2400"/>
      <c r="DN158" s="2400"/>
      <c r="DO158" s="2400"/>
      <c r="DP158" s="2400"/>
      <c r="DQ158" s="2400"/>
      <c r="DR158" s="2400"/>
      <c r="DS158" s="2400"/>
      <c r="DT158" s="2400"/>
      <c r="DU158" s="2400"/>
      <c r="DV158" s="2400"/>
      <c r="DW158" s="2400"/>
      <c r="DX158" s="2400"/>
      <c r="DY158" s="2400"/>
      <c r="DZ158" s="2400"/>
      <c r="EA158" s="2400"/>
      <c r="EB158" s="2400"/>
      <c r="EC158" s="2400"/>
      <c r="ED158" s="2400"/>
      <c r="EE158" s="2400"/>
      <c r="EF158" s="2400"/>
      <c r="EG158" s="2400"/>
      <c r="EH158" s="2400"/>
      <c r="EI158" s="2400"/>
      <c r="EJ158" s="2400"/>
      <c r="EK158" s="2400"/>
      <c r="EL158" s="2400"/>
      <c r="EM158" s="2400"/>
      <c r="EN158" s="2400"/>
      <c r="EO158" s="2400"/>
      <c r="EP158" s="2400"/>
      <c r="EQ158" s="2400"/>
      <c r="ER158" s="2400"/>
      <c r="ES158" s="2400"/>
      <c r="ET158" s="1655"/>
      <c r="EU158" s="1655"/>
      <c r="EV158" s="1655"/>
      <c r="EW158" s="1655"/>
      <c r="EX158" s="1655"/>
      <c r="EY158" s="1655"/>
      <c r="EZ158" s="1655"/>
      <c r="FA158" s="1655"/>
      <c r="FB158" s="1655"/>
      <c r="FC158" s="1655"/>
      <c r="FD158" s="1655"/>
      <c r="FE158" s="1655"/>
      <c r="FF158" s="1655"/>
      <c r="IA158" s="1725"/>
      <c r="IB158" s="1725"/>
      <c r="IC158" s="1725"/>
      <c r="ID158" s="1725"/>
      <c r="IE158" s="1725"/>
      <c r="IF158" s="1725"/>
      <c r="IG158" s="1725"/>
      <c r="IH158" s="1725"/>
      <c r="II158" s="1725"/>
      <c r="IJ158" s="1725"/>
      <c r="IK158" s="1725"/>
      <c r="IL158" s="1725"/>
      <c r="IM158" s="1725"/>
      <c r="IN158" s="1725"/>
      <c r="IO158" s="1725"/>
      <c r="IP158" s="1725"/>
      <c r="IQ158" s="1725"/>
      <c r="IR158" s="1725"/>
      <c r="IS158" s="1725"/>
      <c r="IT158" s="1725"/>
      <c r="IU158" s="1725"/>
      <c r="IV158" s="1725"/>
      <c r="IW158" s="1725"/>
      <c r="IX158" s="1725"/>
      <c r="IY158" s="1725"/>
      <c r="IZ158" s="1725"/>
      <c r="JA158" s="1725"/>
      <c r="JB158" s="1725"/>
      <c r="JC158" s="1725"/>
      <c r="JD158" s="1725"/>
      <c r="JE158" s="1725"/>
      <c r="JF158" s="1725"/>
      <c r="JG158" s="1725"/>
      <c r="JH158" s="1725"/>
      <c r="JI158" s="1725"/>
      <c r="JJ158" s="1725"/>
      <c r="JK158" s="1725"/>
      <c r="JL158" s="1725"/>
      <c r="JM158" s="1725"/>
      <c r="JN158" s="1725"/>
      <c r="JO158" s="1725"/>
      <c r="JP158" s="1725"/>
      <c r="JQ158" s="1725"/>
      <c r="JR158" s="1725"/>
      <c r="JS158" s="1725"/>
      <c r="JT158" s="1725"/>
      <c r="JU158" s="1725"/>
      <c r="JV158" s="1725"/>
      <c r="JW158" s="1725"/>
      <c r="JX158" s="1725"/>
      <c r="JY158" s="1725"/>
      <c r="JZ158" s="1725"/>
      <c r="KA158" s="1725"/>
      <c r="KB158" s="1725"/>
      <c r="KC158" s="1725"/>
      <c r="KD158" s="1725"/>
      <c r="KE158" s="1725"/>
      <c r="KF158" s="1725"/>
      <c r="KG158" s="1725"/>
      <c r="KH158" s="1724"/>
    </row>
    <row r="159" spans="1:665" s="1679" customFormat="1" ht="25.35" customHeight="1">
      <c r="B159" s="2404"/>
      <c r="C159" s="2405"/>
      <c r="D159" s="2406"/>
      <c r="E159" s="1717" t="s">
        <v>873</v>
      </c>
      <c r="F159" s="1679">
        <v>670</v>
      </c>
      <c r="G159" s="1679">
        <v>670</v>
      </c>
      <c r="H159" s="1679">
        <v>670</v>
      </c>
      <c r="I159" s="1679">
        <v>670</v>
      </c>
      <c r="J159" s="1679">
        <v>670</v>
      </c>
      <c r="K159" s="1679">
        <v>670</v>
      </c>
      <c r="L159" s="1679">
        <v>670</v>
      </c>
      <c r="M159" s="1679">
        <v>670</v>
      </c>
      <c r="N159" s="1679">
        <v>670</v>
      </c>
      <c r="O159" s="1679">
        <v>670</v>
      </c>
      <c r="P159" s="1679">
        <v>670</v>
      </c>
      <c r="Q159" s="1679">
        <v>670</v>
      </c>
      <c r="R159" s="1679">
        <v>670</v>
      </c>
      <c r="S159" s="1679">
        <v>670</v>
      </c>
      <c r="T159" s="1679">
        <v>670</v>
      </c>
      <c r="U159" s="1679">
        <v>670</v>
      </c>
      <c r="V159" s="1679">
        <v>670</v>
      </c>
      <c r="W159" s="1679">
        <v>670</v>
      </c>
      <c r="X159" s="1679">
        <v>670</v>
      </c>
      <c r="Y159" s="1679">
        <v>670</v>
      </c>
      <c r="Z159" s="1679">
        <v>670</v>
      </c>
      <c r="AA159" s="1679">
        <v>670</v>
      </c>
      <c r="AB159" s="1679">
        <v>670</v>
      </c>
      <c r="AC159" s="1679">
        <v>670</v>
      </c>
      <c r="AD159" s="1679">
        <v>670</v>
      </c>
      <c r="AE159" s="1679">
        <v>670</v>
      </c>
      <c r="AF159" s="1679">
        <v>670</v>
      </c>
      <c r="AG159" s="1679">
        <v>670</v>
      </c>
      <c r="AH159" s="1679">
        <v>670</v>
      </c>
      <c r="AI159" s="1679">
        <v>670</v>
      </c>
      <c r="AJ159" s="1679">
        <v>670</v>
      </c>
      <c r="AK159" s="1679">
        <v>670</v>
      </c>
      <c r="AL159" s="1679">
        <v>670</v>
      </c>
      <c r="AM159" s="1679">
        <v>670</v>
      </c>
      <c r="AN159" s="1679">
        <v>670</v>
      </c>
      <c r="AO159" s="1679">
        <v>670</v>
      </c>
      <c r="AP159" s="1679">
        <v>670</v>
      </c>
      <c r="AQ159" s="1679">
        <v>670</v>
      </c>
      <c r="AR159" s="1679">
        <v>670</v>
      </c>
      <c r="AS159" s="1679">
        <v>670</v>
      </c>
      <c r="AT159" s="1679">
        <v>670</v>
      </c>
      <c r="AU159" s="1679">
        <v>670</v>
      </c>
      <c r="AV159" s="1679">
        <v>670</v>
      </c>
      <c r="AW159" s="1679">
        <v>670</v>
      </c>
      <c r="AX159" s="1679">
        <v>670</v>
      </c>
      <c r="AY159" s="1679">
        <v>670</v>
      </c>
      <c r="AZ159" s="1679">
        <v>670</v>
      </c>
      <c r="BA159" s="1679">
        <v>670</v>
      </c>
      <c r="CA159" s="1720"/>
      <c r="CB159" s="1720"/>
      <c r="CC159" s="1720"/>
      <c r="CD159" s="1720"/>
      <c r="CE159" s="1720"/>
      <c r="CF159" s="1720"/>
      <c r="CG159" s="1720"/>
      <c r="CH159" s="1720"/>
      <c r="CI159" s="1720"/>
      <c r="CJ159" s="1720"/>
      <c r="CK159" s="1720"/>
      <c r="CL159" s="1720"/>
      <c r="CM159" s="1720"/>
      <c r="CN159" s="1720"/>
      <c r="CO159" s="1720"/>
      <c r="CP159" s="1720"/>
      <c r="CQ159" s="1720"/>
      <c r="CR159" s="1720"/>
      <c r="CS159" s="1720"/>
      <c r="CT159" s="1720"/>
      <c r="CU159" s="1720"/>
      <c r="CV159" s="1720"/>
      <c r="CW159" s="1720"/>
      <c r="CX159" s="1720"/>
      <c r="CY159" s="1720"/>
      <c r="CZ159" s="1720"/>
      <c r="DA159" s="1720"/>
      <c r="DB159" s="1720"/>
      <c r="DC159" s="1720"/>
      <c r="DD159" s="1720"/>
      <c r="DE159" s="1720"/>
      <c r="DF159" s="1720"/>
      <c r="DG159" s="1720"/>
      <c r="DH159" s="1720"/>
      <c r="DI159" s="1720"/>
      <c r="DJ159" s="1720"/>
      <c r="DK159" s="1720"/>
      <c r="DL159" s="1720"/>
      <c r="DM159" s="1720"/>
      <c r="DN159" s="1720"/>
      <c r="DO159" s="1720"/>
      <c r="DP159" s="1720"/>
      <c r="DQ159" s="1720"/>
      <c r="DR159" s="1720"/>
      <c r="DS159" s="1720"/>
      <c r="DT159" s="1720"/>
      <c r="DU159" s="1720"/>
      <c r="DV159" s="1720"/>
      <c r="DW159" s="1720"/>
      <c r="DX159" s="1720"/>
      <c r="DY159" s="1720"/>
      <c r="DZ159" s="1720"/>
      <c r="EA159" s="1720"/>
      <c r="EB159" s="1720"/>
      <c r="EC159" s="1720"/>
      <c r="ED159" s="1720"/>
      <c r="EE159" s="1720"/>
      <c r="EF159" s="1720"/>
      <c r="EG159" s="1720"/>
      <c r="EH159" s="1720"/>
      <c r="EI159" s="1720"/>
      <c r="EJ159" s="1720"/>
      <c r="EK159" s="1720"/>
      <c r="EL159" s="1720"/>
      <c r="EM159" s="1720"/>
      <c r="EN159" s="1720"/>
      <c r="EO159" s="1720"/>
      <c r="EP159" s="1720"/>
      <c r="EQ159" s="1720"/>
      <c r="ER159" s="1720"/>
      <c r="ES159" s="1720"/>
      <c r="ET159" s="1720"/>
      <c r="EU159" s="1720"/>
      <c r="EV159" s="1720"/>
      <c r="EW159" s="1720"/>
      <c r="EX159" s="1720"/>
      <c r="EY159" s="1720"/>
      <c r="EZ159" s="1720">
        <v>670</v>
      </c>
      <c r="FA159" s="1720">
        <v>670</v>
      </c>
      <c r="FB159" s="1720">
        <v>670</v>
      </c>
      <c r="FC159" s="1720">
        <v>670</v>
      </c>
      <c r="FD159" s="1720">
        <v>670</v>
      </c>
      <c r="FE159" s="1720">
        <v>670</v>
      </c>
      <c r="FF159" s="1720">
        <v>670</v>
      </c>
      <c r="FG159" s="1720">
        <v>670</v>
      </c>
      <c r="FH159" s="1720">
        <v>670</v>
      </c>
      <c r="FI159" s="1720">
        <v>670</v>
      </c>
      <c r="FJ159" s="1720">
        <v>670</v>
      </c>
      <c r="FK159" s="1720">
        <v>670</v>
      </c>
      <c r="FL159" s="1720">
        <v>670</v>
      </c>
      <c r="FM159" s="1720">
        <v>670</v>
      </c>
      <c r="FN159" s="1720">
        <v>670</v>
      </c>
      <c r="FO159" s="1720">
        <v>670</v>
      </c>
      <c r="FP159" s="1720">
        <v>670</v>
      </c>
      <c r="FQ159" s="1720">
        <v>670</v>
      </c>
      <c r="FR159" s="1720">
        <v>670</v>
      </c>
      <c r="FS159" s="1720"/>
      <c r="FT159" s="1720"/>
      <c r="FU159" s="1720"/>
      <c r="FV159" s="1720"/>
      <c r="FW159" s="1720"/>
      <c r="FX159" s="1720"/>
      <c r="FY159" s="1720"/>
      <c r="FZ159" s="1720"/>
      <c r="GA159" s="1720"/>
      <c r="GB159" s="1720"/>
      <c r="GC159" s="1720"/>
      <c r="GD159" s="1720"/>
      <c r="GE159" s="1720"/>
      <c r="GF159" s="1720"/>
      <c r="IL159" s="1679">
        <v>670</v>
      </c>
      <c r="IM159" s="1679">
        <v>670</v>
      </c>
      <c r="IN159" s="1679">
        <v>670</v>
      </c>
      <c r="IO159" s="1679">
        <v>670</v>
      </c>
      <c r="IP159" s="1679">
        <v>670</v>
      </c>
      <c r="IQ159" s="1679">
        <v>670</v>
      </c>
      <c r="IR159" s="1679">
        <v>670</v>
      </c>
      <c r="IS159" s="1679">
        <v>670</v>
      </c>
      <c r="IT159" s="1679">
        <v>670</v>
      </c>
      <c r="IU159" s="1679">
        <v>670</v>
      </c>
      <c r="IV159" s="1679">
        <v>670</v>
      </c>
      <c r="IW159" s="1679">
        <v>670</v>
      </c>
      <c r="IX159" s="1679">
        <v>670</v>
      </c>
      <c r="IY159" s="1679">
        <v>670</v>
      </c>
      <c r="IZ159" s="1679">
        <v>670</v>
      </c>
      <c r="JA159" s="1679">
        <v>670</v>
      </c>
      <c r="JB159" s="1679">
        <v>670</v>
      </c>
      <c r="JC159" s="1679">
        <v>670</v>
      </c>
      <c r="JD159" s="1679">
        <v>670</v>
      </c>
      <c r="JE159" s="1679">
        <v>670</v>
      </c>
      <c r="JF159" s="1679">
        <v>670</v>
      </c>
      <c r="JG159" s="1679">
        <v>670</v>
      </c>
      <c r="JH159" s="1679">
        <v>670</v>
      </c>
      <c r="JI159" s="1679">
        <v>670</v>
      </c>
      <c r="JJ159" s="1679">
        <v>670</v>
      </c>
      <c r="JK159" s="1679">
        <v>670</v>
      </c>
      <c r="JL159" s="1679">
        <v>670</v>
      </c>
      <c r="JM159" s="1679">
        <v>670</v>
      </c>
      <c r="JN159" s="1679">
        <v>670</v>
      </c>
      <c r="JO159" s="1679">
        <v>670</v>
      </c>
      <c r="JP159" s="1679">
        <v>670</v>
      </c>
    </row>
    <row r="160" spans="1:665" s="1654" customFormat="1" ht="25.35" customHeight="1">
      <c r="A160" s="339"/>
      <c r="B160" s="2401" t="s">
        <v>895</v>
      </c>
      <c r="C160" s="2402"/>
      <c r="D160" s="2403"/>
      <c r="E160" s="1691"/>
      <c r="F160" s="1666"/>
      <c r="G160" s="1656"/>
      <c r="H160" s="1649"/>
      <c r="I160" s="1649"/>
      <c r="J160" s="1649"/>
      <c r="K160" s="1649"/>
      <c r="L160" s="1649"/>
      <c r="M160" s="1649"/>
      <c r="N160" s="1649"/>
      <c r="O160" s="1649"/>
      <c r="P160" s="1649"/>
      <c r="Q160" s="1649"/>
      <c r="R160" s="1655"/>
      <c r="S160" s="1655"/>
      <c r="T160" s="1655"/>
      <c r="U160" s="1655"/>
      <c r="V160" s="1655"/>
      <c r="W160" s="1655"/>
      <c r="X160" s="1655"/>
      <c r="Y160" s="1655"/>
      <c r="Z160" s="1655"/>
      <c r="AA160" s="1655"/>
      <c r="AB160" s="1655"/>
      <c r="AC160" s="1655"/>
      <c r="AD160" s="1655"/>
      <c r="AE160" s="1655"/>
      <c r="AF160" s="1655"/>
      <c r="AG160" s="1655"/>
      <c r="AH160" s="1655"/>
      <c r="AI160" s="1655"/>
      <c r="AJ160" s="1655"/>
      <c r="AK160" s="1655"/>
      <c r="AL160" s="1655"/>
      <c r="AM160" s="1655"/>
      <c r="AN160" s="1655"/>
      <c r="AO160" s="1655"/>
      <c r="AP160" s="1655"/>
      <c r="AQ160" s="1655"/>
      <c r="AR160" s="1655"/>
      <c r="AS160" s="1655"/>
      <c r="AT160" s="1655"/>
      <c r="AU160" s="1655"/>
      <c r="AV160" s="1655"/>
      <c r="AW160" s="1655"/>
      <c r="AX160" s="1655"/>
      <c r="AY160" s="1655"/>
      <c r="AZ160" s="1655"/>
      <c r="BA160" s="1655"/>
      <c r="BB160" s="1655"/>
      <c r="BC160" s="1655"/>
      <c r="BD160" s="1655"/>
      <c r="BE160" s="1655"/>
      <c r="BF160" s="1655"/>
      <c r="BG160" s="1655"/>
      <c r="BH160" s="1655"/>
      <c r="BI160" s="1655"/>
      <c r="BJ160" s="1655"/>
      <c r="BK160" s="1655"/>
      <c r="BL160" s="1655"/>
      <c r="BM160" s="1655"/>
      <c r="BN160" s="1655"/>
      <c r="BO160" s="1655"/>
      <c r="BP160" s="1655"/>
      <c r="BQ160" s="1655"/>
      <c r="BR160" s="1655"/>
      <c r="BS160" s="1655"/>
      <c r="BT160" s="1655"/>
      <c r="BU160" s="1655"/>
      <c r="BV160" s="1655"/>
      <c r="BW160" s="1655"/>
      <c r="BX160" s="1655"/>
      <c r="BY160" s="1655"/>
      <c r="BZ160" s="1655"/>
      <c r="CA160" s="1655"/>
      <c r="CB160" s="1655"/>
      <c r="CC160" s="1655"/>
      <c r="CD160" s="1655"/>
      <c r="CE160" s="1655"/>
      <c r="CF160" s="1655"/>
      <c r="CG160" s="1655"/>
      <c r="CH160" s="1655"/>
      <c r="CI160" s="1655"/>
      <c r="CJ160" s="1655"/>
      <c r="CK160" s="1655"/>
      <c r="CL160" s="1655"/>
      <c r="CM160" s="1655"/>
      <c r="CN160" s="1655"/>
      <c r="CO160" s="1655"/>
      <c r="CP160" s="1655"/>
      <c r="CQ160" s="1655"/>
      <c r="CR160" s="1655"/>
      <c r="CS160" s="1655"/>
      <c r="CT160" s="1655"/>
      <c r="CU160" s="1655"/>
      <c r="CV160" s="1655"/>
      <c r="CW160" s="1655"/>
      <c r="CX160" s="1655"/>
      <c r="CY160" s="1655"/>
      <c r="CZ160" s="1655"/>
      <c r="DA160" s="1655"/>
      <c r="DB160" s="1655"/>
      <c r="DC160" s="1655"/>
      <c r="DD160" s="1655"/>
      <c r="DE160" s="1655"/>
      <c r="DF160" s="1655"/>
      <c r="DG160" s="1655"/>
      <c r="DH160" s="1655"/>
      <c r="DI160" s="1655"/>
      <c r="DJ160" s="1655"/>
      <c r="DK160" s="1655"/>
      <c r="DL160" s="1655"/>
      <c r="DM160" s="1655"/>
      <c r="DN160" s="1655"/>
      <c r="DO160" s="1655"/>
      <c r="DP160" s="1655"/>
      <c r="DQ160" s="1655"/>
      <c r="DR160" s="1655"/>
      <c r="DS160" s="1655"/>
      <c r="DT160" s="1655"/>
      <c r="DU160" s="1655"/>
      <c r="DV160" s="1655"/>
      <c r="DW160" s="1655"/>
      <c r="DX160" s="1655"/>
      <c r="DY160" s="1655"/>
      <c r="DZ160" s="1655"/>
      <c r="EA160" s="1655"/>
      <c r="EB160" s="1655"/>
      <c r="EC160" s="1655"/>
      <c r="ED160" s="1655"/>
      <c r="EE160" s="1655"/>
      <c r="EF160" s="1655"/>
      <c r="EG160" s="1655"/>
      <c r="EH160" s="1655"/>
      <c r="EI160" s="1655"/>
      <c r="EJ160" s="1655"/>
      <c r="EK160" s="1655"/>
      <c r="EL160" s="1655"/>
      <c r="EM160" s="1655"/>
      <c r="EN160" s="1655"/>
      <c r="EO160" s="1655"/>
      <c r="EP160" s="1655"/>
      <c r="EQ160" s="1655"/>
      <c r="ER160" s="1655"/>
      <c r="ES160" s="1655"/>
      <c r="ET160" s="1655"/>
      <c r="EU160" s="1655"/>
      <c r="EV160" s="1718"/>
      <c r="EW160" s="1718"/>
      <c r="EX160" s="1718"/>
      <c r="EY160" s="1718"/>
      <c r="EZ160" s="1718"/>
      <c r="FA160" s="1718"/>
      <c r="FB160" s="1718"/>
      <c r="FC160" s="1718"/>
      <c r="FD160" s="1718"/>
      <c r="FE160" s="1718"/>
      <c r="FF160" s="1718"/>
      <c r="FG160" s="1718"/>
      <c r="FH160" s="1718"/>
      <c r="FI160" s="1718"/>
      <c r="FJ160" s="1718"/>
      <c r="FK160" s="1718"/>
      <c r="FL160" s="1718"/>
      <c r="FM160" s="1655"/>
      <c r="FN160" s="1655"/>
      <c r="FO160" s="1655"/>
      <c r="FP160" s="1655"/>
      <c r="FQ160" s="1655"/>
      <c r="FR160" s="1655"/>
      <c r="FS160" s="1655"/>
      <c r="FT160" s="1655"/>
      <c r="FU160" s="1655"/>
      <c r="FV160" s="1655"/>
      <c r="FW160" s="1655"/>
      <c r="FX160" s="1655"/>
      <c r="FY160" s="1655"/>
      <c r="FZ160" s="1655"/>
      <c r="GA160" s="1655"/>
      <c r="GB160" s="1655"/>
      <c r="GC160" s="1655"/>
      <c r="GD160" s="1655"/>
      <c r="GE160" s="1655"/>
      <c r="GF160" s="1655"/>
      <c r="GG160" s="1655"/>
      <c r="GH160" s="1655"/>
      <c r="GI160" s="1655"/>
      <c r="GJ160" s="1655"/>
      <c r="GK160" s="1655"/>
      <c r="GL160" s="1655"/>
      <c r="GM160" s="1655"/>
      <c r="GN160" s="1655"/>
      <c r="GO160" s="1655"/>
      <c r="GP160" s="1655"/>
      <c r="GQ160" s="1655"/>
      <c r="GR160" s="1655"/>
      <c r="GS160" s="1655"/>
      <c r="GT160" s="1655"/>
      <c r="GU160" s="1655"/>
      <c r="GV160" s="1655"/>
      <c r="GW160" s="1655"/>
      <c r="GX160" s="1655"/>
      <c r="GY160" s="1655"/>
      <c r="GZ160" s="1655"/>
      <c r="HA160" s="1655"/>
      <c r="HB160" s="1655"/>
      <c r="HC160" s="1655"/>
      <c r="HD160" s="1655"/>
      <c r="HE160" s="1655"/>
      <c r="HF160" s="1655"/>
      <c r="HG160" s="1655"/>
      <c r="HH160" s="1655"/>
      <c r="HI160" s="1655"/>
      <c r="HJ160" s="1655"/>
      <c r="HK160" s="1655"/>
      <c r="HL160" s="1655"/>
      <c r="HM160" s="1655"/>
      <c r="HN160" s="1655"/>
      <c r="HO160" s="1655"/>
      <c r="HP160" s="1655"/>
      <c r="HQ160" s="1655"/>
      <c r="HR160" s="1655"/>
      <c r="HS160" s="1655"/>
      <c r="HT160" s="1655"/>
      <c r="HU160" s="1655"/>
      <c r="HV160" s="1655"/>
      <c r="HW160" s="1655"/>
      <c r="HX160" s="1655"/>
      <c r="HY160" s="1655"/>
      <c r="HZ160" s="1655"/>
      <c r="IA160" s="1655"/>
      <c r="IB160" s="1655"/>
      <c r="IC160" s="1655"/>
      <c r="ID160" s="1655"/>
      <c r="IE160" s="1655"/>
      <c r="IF160" s="1655"/>
      <c r="IG160" s="1655"/>
      <c r="IH160" s="1655"/>
      <c r="II160" s="1655"/>
      <c r="IJ160" s="1655"/>
      <c r="IK160" s="1655"/>
      <c r="IL160" s="1655"/>
      <c r="IM160" s="1655"/>
      <c r="IN160" s="1655"/>
      <c r="IO160" s="1655"/>
      <c r="IP160" s="1655"/>
      <c r="IQ160" s="1655"/>
      <c r="IR160" s="1655"/>
      <c r="IS160" s="1655"/>
      <c r="IT160" s="1655"/>
      <c r="IU160" s="1655"/>
      <c r="IV160" s="1655"/>
      <c r="IW160" s="1655"/>
      <c r="IX160" s="1655"/>
      <c r="IY160" s="1655"/>
      <c r="IZ160" s="1655"/>
      <c r="JA160" s="1655"/>
      <c r="JB160" s="1655"/>
      <c r="JC160" s="1655"/>
      <c r="JD160" s="1655"/>
      <c r="JE160" s="1655"/>
      <c r="JF160" s="1655"/>
      <c r="JG160" s="1655"/>
      <c r="JH160" s="1655"/>
      <c r="JI160" s="1655"/>
      <c r="JJ160" s="1655"/>
      <c r="JK160" s="1655"/>
      <c r="JL160" s="1655"/>
      <c r="JM160" s="1655"/>
      <c r="JN160" s="1655"/>
      <c r="JO160" s="1655"/>
      <c r="JP160" s="1655"/>
      <c r="JQ160" s="1655"/>
      <c r="JR160" s="1655"/>
      <c r="JS160" s="1655"/>
      <c r="JT160" s="1655"/>
      <c r="JU160" s="1655"/>
      <c r="JV160" s="1655"/>
      <c r="JW160" s="1655"/>
      <c r="JX160" s="1655"/>
      <c r="JY160" s="1655"/>
      <c r="JZ160" s="1655"/>
      <c r="KA160" s="1655"/>
      <c r="KB160" s="1655"/>
      <c r="KC160" s="1655"/>
      <c r="KD160" s="1655"/>
      <c r="KE160" s="1655"/>
      <c r="KF160" s="1655"/>
      <c r="KG160" s="1655"/>
      <c r="KH160" s="1655"/>
      <c r="KI160" s="61"/>
      <c r="KJ160" s="61"/>
      <c r="KK160" s="61"/>
      <c r="KL160" s="1655"/>
      <c r="KM160" s="1655"/>
      <c r="KN160" s="1655"/>
      <c r="KO160" s="1655"/>
      <c r="KP160" s="1655"/>
      <c r="KQ160" s="1655"/>
      <c r="KR160" s="1655"/>
      <c r="KS160" s="1655"/>
      <c r="KT160" s="1655"/>
      <c r="KU160" s="1655"/>
      <c r="KV160" s="1655"/>
      <c r="KW160" s="1655"/>
    </row>
    <row r="161" spans="1:665" s="61" customFormat="1" ht="25.35" customHeight="1">
      <c r="A161" s="344"/>
      <c r="B161" s="2404"/>
      <c r="C161" s="2405"/>
      <c r="D161" s="2406"/>
      <c r="E161" s="1690"/>
      <c r="F161" s="1665"/>
      <c r="G161" s="1645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36"/>
      <c r="CL161" s="2396" t="s">
        <v>896</v>
      </c>
      <c r="CM161" s="2397"/>
      <c r="CN161" s="2397"/>
      <c r="CO161" s="2397"/>
      <c r="CP161" s="2397"/>
      <c r="CQ161" s="2397"/>
      <c r="CR161" s="2397"/>
      <c r="CS161" s="2397"/>
      <c r="CT161" s="2397"/>
      <c r="CU161" s="2397"/>
      <c r="CV161" s="2397"/>
      <c r="CW161" s="2397"/>
      <c r="CX161" s="2397"/>
      <c r="CY161" s="2397"/>
      <c r="CZ161" s="2397"/>
      <c r="DA161" s="2397"/>
      <c r="DB161" s="2397"/>
      <c r="DC161" s="2397"/>
      <c r="DD161" s="2397"/>
      <c r="DE161" s="2397"/>
      <c r="DF161" s="2397"/>
      <c r="DG161" s="2397"/>
      <c r="DH161" s="2397"/>
      <c r="DI161" s="2397"/>
      <c r="DJ161" s="2397"/>
      <c r="DK161" s="2397"/>
      <c r="DL161" s="2397"/>
      <c r="DM161" s="2397"/>
      <c r="DN161" s="2397"/>
      <c r="DO161" s="2397"/>
      <c r="DP161" s="2397"/>
      <c r="DQ161" s="2397"/>
      <c r="DR161" s="2397"/>
      <c r="DS161" s="2397"/>
      <c r="DT161" s="2397"/>
      <c r="DU161" s="2397"/>
      <c r="DV161" s="2397"/>
      <c r="DW161" s="2397"/>
      <c r="DX161" s="2397"/>
      <c r="DY161" s="2397"/>
      <c r="DZ161" s="2397"/>
      <c r="EA161" s="2397"/>
      <c r="EB161" s="2397"/>
      <c r="EC161" s="2397"/>
      <c r="ED161" s="2397"/>
      <c r="EE161" s="2397"/>
      <c r="EF161" s="2397"/>
      <c r="EG161" s="2397"/>
      <c r="EH161" s="2397"/>
      <c r="EI161" s="2397"/>
      <c r="EJ161" s="2397"/>
      <c r="EK161" s="2397"/>
      <c r="EL161" s="2397"/>
      <c r="EM161" s="2397"/>
      <c r="EN161" s="2397"/>
      <c r="EO161" s="2397"/>
      <c r="EP161" s="2397"/>
      <c r="EQ161" s="2397"/>
      <c r="ER161" s="2397"/>
      <c r="ES161" s="2397"/>
      <c r="ET161" s="2397"/>
      <c r="EU161" s="2397"/>
      <c r="EV161" s="2397"/>
      <c r="EW161" s="2397"/>
      <c r="EX161" s="2397"/>
      <c r="EY161" s="2397"/>
      <c r="EZ161" s="2397"/>
      <c r="FA161" s="2397"/>
      <c r="FB161" s="2397"/>
      <c r="FC161" s="2397"/>
      <c r="FD161" s="2397"/>
      <c r="FE161" s="2397"/>
      <c r="FF161" s="2397"/>
      <c r="FG161" s="2397"/>
      <c r="FH161" s="2397"/>
      <c r="FI161" s="2397"/>
      <c r="FJ161" s="2397"/>
      <c r="FK161" s="2397"/>
      <c r="FL161" s="2397"/>
      <c r="FM161" s="2397"/>
      <c r="FN161" s="2397"/>
      <c r="FO161" s="2397"/>
      <c r="FP161" s="2397"/>
      <c r="FQ161" s="2397"/>
      <c r="FR161" s="2397"/>
      <c r="FS161" s="2397"/>
      <c r="FT161" s="2397"/>
      <c r="FU161" s="2397"/>
      <c r="FV161" s="2397"/>
      <c r="FW161" s="2397"/>
      <c r="FX161" s="2397"/>
      <c r="FY161" s="2397"/>
      <c r="FZ161" s="2397"/>
      <c r="GA161" s="2397"/>
      <c r="GB161" s="2397"/>
      <c r="GC161" s="2397"/>
      <c r="GD161" s="2397"/>
      <c r="GE161" s="2397"/>
      <c r="GF161" s="2397"/>
      <c r="GG161" s="2397"/>
      <c r="GH161" s="2397"/>
      <c r="GI161" s="2397"/>
      <c r="GJ161" s="2397"/>
      <c r="GK161" s="2397"/>
      <c r="GL161" s="2397"/>
      <c r="GM161" s="2397"/>
      <c r="GN161" s="2397"/>
      <c r="GO161" s="2397"/>
      <c r="GP161" s="2397"/>
      <c r="GQ161" s="2397"/>
      <c r="GR161" s="2397"/>
      <c r="GS161" s="2397"/>
      <c r="GT161" s="2397"/>
      <c r="GU161" s="2397"/>
      <c r="GV161" s="2397"/>
      <c r="GW161" s="2397"/>
      <c r="GX161" s="2397"/>
      <c r="GY161" s="2397"/>
      <c r="GZ161" s="2397"/>
      <c r="HA161" s="2397"/>
      <c r="HB161" s="2397"/>
      <c r="HC161" s="2397"/>
      <c r="HD161" s="2397"/>
      <c r="HE161" s="2397"/>
      <c r="HF161" s="2397"/>
      <c r="HG161" s="2397"/>
      <c r="HH161" s="2397"/>
      <c r="HI161" s="2397"/>
      <c r="HJ161" s="2397"/>
      <c r="HK161" s="2397"/>
      <c r="HL161" s="2397"/>
      <c r="HM161" s="2397"/>
      <c r="HN161" s="2397"/>
      <c r="HO161" s="2397"/>
      <c r="HP161" s="2397"/>
      <c r="HQ161" s="2397"/>
      <c r="HR161" s="2397"/>
      <c r="HS161" s="2397"/>
      <c r="HT161" s="2397"/>
      <c r="HU161" s="2397"/>
      <c r="HV161" s="2397"/>
      <c r="HW161" s="2397"/>
      <c r="HX161" s="2397"/>
      <c r="HY161" s="2397"/>
      <c r="HZ161" s="2397"/>
      <c r="IA161" s="2397"/>
      <c r="IB161" s="2397"/>
      <c r="IC161" s="2397"/>
      <c r="ID161" s="2397"/>
      <c r="IE161" s="2397"/>
      <c r="IF161" s="2397"/>
      <c r="IG161" s="2397"/>
      <c r="IH161" s="2397"/>
      <c r="II161" s="2397"/>
      <c r="IJ161" s="2397"/>
      <c r="IK161" s="2397"/>
      <c r="IL161" s="2397"/>
      <c r="IM161" s="2397"/>
      <c r="IN161" s="2397"/>
      <c r="IO161" s="2397"/>
      <c r="IP161" s="2397"/>
      <c r="IQ161" s="2397"/>
      <c r="IR161" s="2397"/>
      <c r="IS161" s="2397"/>
      <c r="IT161" s="2397"/>
      <c r="IU161" s="2397"/>
      <c r="IV161" s="2397"/>
      <c r="IW161" s="2397"/>
      <c r="IX161" s="2397"/>
      <c r="IY161" s="2397"/>
      <c r="IZ161" s="2397"/>
      <c r="JA161" s="2397"/>
      <c r="JB161" s="2397"/>
      <c r="JC161" s="2397"/>
      <c r="JD161" s="2397"/>
      <c r="JE161" s="2397"/>
      <c r="JF161" s="2397"/>
      <c r="JG161" s="2397"/>
      <c r="JH161" s="2397"/>
      <c r="JI161" s="2397"/>
      <c r="JJ161" s="2398"/>
    </row>
    <row r="162" spans="1:665" s="1679" customFormat="1" ht="25.35" customHeight="1">
      <c r="A162" s="1721"/>
      <c r="B162" s="1722"/>
      <c r="C162" s="1722"/>
      <c r="D162" s="1722"/>
      <c r="E162" s="1717" t="s">
        <v>873</v>
      </c>
      <c r="F162" s="1718"/>
      <c r="G162" s="1718"/>
      <c r="R162" s="1718"/>
      <c r="DL162" s="1679">
        <v>1300</v>
      </c>
      <c r="DM162" s="1679">
        <v>1300</v>
      </c>
      <c r="DN162" s="1679">
        <v>1300</v>
      </c>
      <c r="DO162" s="1679">
        <v>1300</v>
      </c>
      <c r="DP162" s="1679">
        <v>1300</v>
      </c>
      <c r="DQ162" s="1679">
        <v>1300</v>
      </c>
      <c r="DR162" s="1679">
        <v>1300</v>
      </c>
      <c r="DS162" s="1679">
        <v>1300</v>
      </c>
      <c r="DT162" s="1679">
        <v>1300</v>
      </c>
      <c r="DU162" s="1679">
        <v>1300</v>
      </c>
      <c r="DV162" s="1679">
        <v>1300</v>
      </c>
      <c r="DW162" s="1679">
        <v>1300</v>
      </c>
      <c r="DX162" s="1679">
        <v>1300</v>
      </c>
      <c r="DY162" s="1679">
        <v>1300</v>
      </c>
      <c r="DZ162" s="1679">
        <v>1300</v>
      </c>
      <c r="EA162" s="1679">
        <v>1300</v>
      </c>
      <c r="EB162" s="1679">
        <v>1300</v>
      </c>
      <c r="EC162" s="1679">
        <v>1300</v>
      </c>
      <c r="ED162" s="1679">
        <v>1300</v>
      </c>
      <c r="EE162" s="1679">
        <v>1300</v>
      </c>
      <c r="EF162" s="1679">
        <v>1300</v>
      </c>
      <c r="EG162" s="1679">
        <v>1300</v>
      </c>
      <c r="EH162" s="1679">
        <v>1300</v>
      </c>
      <c r="EI162" s="1679">
        <v>1300</v>
      </c>
      <c r="EJ162" s="1679">
        <v>1300</v>
      </c>
      <c r="EK162" s="1679">
        <v>1300</v>
      </c>
      <c r="EL162" s="1679">
        <v>1300</v>
      </c>
      <c r="EM162" s="1679">
        <v>1300</v>
      </c>
      <c r="EN162" s="1679">
        <v>1300</v>
      </c>
      <c r="EO162" s="1679">
        <v>1300</v>
      </c>
      <c r="EP162" s="1679">
        <v>1300</v>
      </c>
      <c r="EQ162" s="1679">
        <v>1300</v>
      </c>
      <c r="ER162" s="1679">
        <v>1300</v>
      </c>
      <c r="ES162" s="1679">
        <v>1300</v>
      </c>
      <c r="ET162" s="1679">
        <v>1300</v>
      </c>
      <c r="EU162" s="1679">
        <v>1300</v>
      </c>
      <c r="EV162" s="1679">
        <v>1300</v>
      </c>
      <c r="EW162" s="1679">
        <v>1300</v>
      </c>
      <c r="EX162" s="1679">
        <v>1300</v>
      </c>
      <c r="EY162" s="1679">
        <v>1300</v>
      </c>
      <c r="EZ162" s="1679">
        <v>1300</v>
      </c>
      <c r="FA162" s="1679">
        <v>1300</v>
      </c>
      <c r="FB162" s="1679">
        <v>1300</v>
      </c>
      <c r="FC162" s="1679">
        <v>1300</v>
      </c>
      <c r="FD162" s="1679">
        <v>1300</v>
      </c>
      <c r="FE162" s="1679">
        <v>1300</v>
      </c>
      <c r="FF162" s="1679">
        <v>1300</v>
      </c>
      <c r="FG162" s="1679">
        <v>1300</v>
      </c>
      <c r="FH162" s="1679">
        <v>1300</v>
      </c>
      <c r="FI162" s="1679">
        <v>1300</v>
      </c>
      <c r="FJ162" s="1679">
        <v>1300</v>
      </c>
      <c r="FK162" s="1679">
        <v>1300</v>
      </c>
      <c r="FL162" s="1679">
        <v>1300</v>
      </c>
      <c r="FM162" s="1679">
        <v>1300</v>
      </c>
      <c r="FN162" s="1679">
        <v>1300</v>
      </c>
      <c r="FO162" s="1679">
        <v>1300</v>
      </c>
      <c r="FP162" s="1679">
        <v>1300</v>
      </c>
      <c r="FQ162" s="1679">
        <v>1300</v>
      </c>
      <c r="FR162" s="1679">
        <v>1300</v>
      </c>
      <c r="FS162" s="1679">
        <v>1300</v>
      </c>
      <c r="FT162" s="1679">
        <v>1300</v>
      </c>
      <c r="FU162" s="1679">
        <v>1300</v>
      </c>
      <c r="FV162" s="1679">
        <v>1300</v>
      </c>
      <c r="FW162" s="1679">
        <v>1300</v>
      </c>
      <c r="FX162" s="1679">
        <v>1300</v>
      </c>
      <c r="FY162" s="1679">
        <v>1300</v>
      </c>
      <c r="FZ162" s="1679">
        <v>1300</v>
      </c>
      <c r="GA162" s="1679">
        <v>1300</v>
      </c>
      <c r="GB162" s="1679">
        <v>1300</v>
      </c>
      <c r="GC162" s="1679">
        <v>1300</v>
      </c>
      <c r="GD162" s="1679">
        <v>1300</v>
      </c>
      <c r="GE162" s="1679">
        <v>1300</v>
      </c>
      <c r="GF162" s="1679">
        <v>1300</v>
      </c>
      <c r="GG162" s="1679">
        <v>1300</v>
      </c>
      <c r="GH162" s="1679">
        <v>1300</v>
      </c>
      <c r="GI162" s="1679">
        <v>1300</v>
      </c>
      <c r="GJ162" s="1679">
        <v>1300</v>
      </c>
      <c r="GK162" s="1679">
        <v>1300</v>
      </c>
      <c r="GL162" s="1679">
        <v>1300</v>
      </c>
      <c r="GM162" s="1679">
        <v>1300</v>
      </c>
      <c r="GN162" s="1679">
        <v>1300</v>
      </c>
      <c r="GO162" s="1679">
        <v>1300</v>
      </c>
      <c r="GP162" s="1679">
        <v>1300</v>
      </c>
      <c r="GQ162" s="1679">
        <v>1300</v>
      </c>
      <c r="GR162" s="1679">
        <v>1300</v>
      </c>
      <c r="GS162" s="1679">
        <v>1300</v>
      </c>
      <c r="GT162" s="1679">
        <v>1300</v>
      </c>
      <c r="GU162" s="1679">
        <v>1300</v>
      </c>
      <c r="GV162" s="1679">
        <v>1300</v>
      </c>
      <c r="GW162" s="1679">
        <v>1300</v>
      </c>
      <c r="GX162" s="1679">
        <v>1300</v>
      </c>
      <c r="GY162" s="1679">
        <v>1300</v>
      </c>
      <c r="GZ162" s="1679">
        <v>1300</v>
      </c>
      <c r="HA162" s="1679">
        <v>1300</v>
      </c>
      <c r="HB162" s="1679">
        <v>1300</v>
      </c>
      <c r="HC162" s="1679">
        <v>1300</v>
      </c>
      <c r="HD162" s="1679">
        <v>1300</v>
      </c>
      <c r="HE162" s="1679">
        <v>1300</v>
      </c>
      <c r="HF162" s="1679">
        <v>1300</v>
      </c>
      <c r="HG162" s="1679">
        <v>1300</v>
      </c>
      <c r="HH162" s="1679">
        <v>1300</v>
      </c>
      <c r="HI162" s="1679">
        <v>1300</v>
      </c>
      <c r="HJ162" s="1679">
        <v>1300</v>
      </c>
      <c r="HK162" s="1679">
        <v>1300</v>
      </c>
      <c r="HL162" s="1679">
        <v>1300</v>
      </c>
      <c r="HM162" s="1679">
        <v>1300</v>
      </c>
      <c r="HN162" s="1679">
        <v>1300</v>
      </c>
      <c r="HO162" s="1679">
        <v>1300</v>
      </c>
      <c r="HP162" s="1679">
        <v>1300</v>
      </c>
      <c r="HQ162" s="1679">
        <v>1300</v>
      </c>
      <c r="HR162" s="1679">
        <v>1300</v>
      </c>
      <c r="HS162" s="1679">
        <v>1300</v>
      </c>
      <c r="HT162" s="1679">
        <v>1300</v>
      </c>
      <c r="HU162" s="1679">
        <v>1300</v>
      </c>
      <c r="HV162" s="1679">
        <v>1300</v>
      </c>
      <c r="HW162" s="1679">
        <v>1300</v>
      </c>
      <c r="HX162" s="1679">
        <v>1300</v>
      </c>
      <c r="HY162" s="1679">
        <v>1300</v>
      </c>
      <c r="HZ162" s="1679">
        <v>1300</v>
      </c>
      <c r="IA162" s="1679">
        <v>1300</v>
      </c>
      <c r="IB162" s="1679">
        <v>1300</v>
      </c>
      <c r="IC162" s="1679">
        <v>1300</v>
      </c>
      <c r="ID162" s="1679">
        <v>1300</v>
      </c>
      <c r="IE162" s="1679">
        <v>1300</v>
      </c>
      <c r="IF162" s="1679">
        <v>1300</v>
      </c>
      <c r="IG162" s="1679">
        <v>1300</v>
      </c>
      <c r="IH162" s="1679">
        <v>1300</v>
      </c>
      <c r="II162" s="1679">
        <v>1300</v>
      </c>
      <c r="IJ162" s="1679">
        <v>1300</v>
      </c>
      <c r="IK162" s="1679">
        <v>1300</v>
      </c>
      <c r="IL162" s="1679">
        <v>1300</v>
      </c>
      <c r="IM162" s="1679">
        <v>1300</v>
      </c>
      <c r="IN162" s="1679">
        <v>1300</v>
      </c>
      <c r="IO162" s="1679">
        <v>1300</v>
      </c>
      <c r="IP162" s="1679">
        <v>1300</v>
      </c>
      <c r="IQ162" s="1679">
        <v>1300</v>
      </c>
      <c r="IR162" s="1679">
        <v>1300</v>
      </c>
      <c r="IS162" s="1679">
        <v>1300</v>
      </c>
      <c r="IT162" s="1679">
        <v>1300</v>
      </c>
      <c r="IU162" s="1679">
        <v>1300</v>
      </c>
      <c r="IV162" s="1679">
        <v>1300</v>
      </c>
      <c r="IW162" s="1679">
        <v>1300</v>
      </c>
      <c r="IX162" s="1679">
        <v>1300</v>
      </c>
    </row>
    <row r="163" spans="1:665" s="1654" customFormat="1" ht="25.35" hidden="1" customHeight="1">
      <c r="A163" s="1657"/>
      <c r="B163" s="1711"/>
      <c r="C163" s="1711"/>
      <c r="D163" s="1711"/>
      <c r="E163" s="1691"/>
      <c r="F163" s="1666"/>
      <c r="G163" s="1656"/>
      <c r="H163" s="1649"/>
      <c r="I163" s="1649"/>
      <c r="J163" s="1649"/>
      <c r="K163" s="1649"/>
      <c r="L163" s="1649"/>
      <c r="M163" s="1649"/>
      <c r="N163" s="1649"/>
      <c r="O163" s="1649"/>
      <c r="P163" s="1649"/>
      <c r="Q163" s="1649"/>
      <c r="R163" s="1655"/>
      <c r="GS163" s="61"/>
      <c r="GT163" s="61"/>
      <c r="JK163" s="61"/>
      <c r="JL163" s="61"/>
    </row>
    <row r="164" spans="1:665" s="1730" customFormat="1" ht="25.35" hidden="1" customHeight="1">
      <c r="A164" s="1689"/>
      <c r="B164" s="1728"/>
      <c r="C164" s="1728"/>
      <c r="D164" s="1728"/>
      <c r="E164" s="1697" t="s">
        <v>873</v>
      </c>
      <c r="F164" s="1729"/>
      <c r="G164" s="1729"/>
      <c r="R164" s="1729"/>
    </row>
    <row r="165" spans="1:665" s="61" customFormat="1" ht="26.25" hidden="1" customHeight="1">
      <c r="B165" s="1711"/>
      <c r="C165" s="1711"/>
      <c r="D165" s="1711"/>
      <c r="E165" s="1690"/>
      <c r="F165" s="1665"/>
      <c r="G165" s="1645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36"/>
    </row>
    <row r="166" spans="1:665" s="61" customFormat="1" ht="28.5" hidden="1" customHeight="1">
      <c r="A166" s="344"/>
      <c r="B166" s="1711"/>
      <c r="C166" s="1711"/>
      <c r="D166" s="1711"/>
      <c r="E166" s="1690"/>
      <c r="F166" s="1665"/>
      <c r="G166" s="1645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36"/>
    </row>
    <row r="167" spans="1:665" s="1730" customFormat="1" ht="28.5" hidden="1" customHeight="1">
      <c r="A167" s="1689"/>
      <c r="B167" s="1728"/>
      <c r="C167" s="1728"/>
      <c r="D167" s="1728"/>
      <c r="E167" s="1697" t="s">
        <v>873</v>
      </c>
    </row>
    <row r="168" spans="1:665" s="1654" customFormat="1" ht="28.5" hidden="1" customHeight="1">
      <c r="A168" s="1657"/>
      <c r="B168" s="1711"/>
      <c r="C168" s="1711"/>
      <c r="D168" s="1711"/>
      <c r="E168" s="1691"/>
      <c r="F168" s="1667"/>
      <c r="G168" s="1649"/>
      <c r="H168" s="1649"/>
      <c r="I168" s="1649"/>
      <c r="J168" s="1649"/>
      <c r="K168" s="1649"/>
      <c r="L168" s="1649"/>
      <c r="M168" s="1649"/>
      <c r="N168" s="1649"/>
      <c r="O168" s="1649"/>
      <c r="P168" s="1649"/>
      <c r="Q168" s="1649"/>
    </row>
    <row r="169" spans="1:665" s="1730" customFormat="1" ht="43.5" hidden="1" customHeight="1">
      <c r="B169" s="2378"/>
      <c r="C169" s="2379"/>
      <c r="E169" s="1697" t="s">
        <v>873</v>
      </c>
      <c r="BR169" s="2380" t="s">
        <v>405</v>
      </c>
      <c r="BS169" s="2381"/>
      <c r="BT169" s="2381"/>
      <c r="BU169" s="2381"/>
      <c r="BV169" s="2381"/>
      <c r="BW169" s="2381"/>
      <c r="BX169" s="2381"/>
      <c r="BY169" s="2381"/>
      <c r="BZ169" s="2381"/>
      <c r="CA169" s="2381"/>
      <c r="CB169" s="2381"/>
      <c r="CC169" s="2381"/>
      <c r="CD169" s="2381"/>
      <c r="CE169" s="2381"/>
      <c r="CF169" s="2381"/>
      <c r="CG169" s="2381"/>
      <c r="CH169" s="2381"/>
      <c r="CI169" s="2381"/>
      <c r="CJ169" s="2381"/>
      <c r="CK169" s="2381"/>
      <c r="CL169" s="2381"/>
      <c r="CM169" s="2381"/>
      <c r="CN169" s="2381"/>
      <c r="CO169" s="2381"/>
      <c r="CP169" s="2381"/>
      <c r="CQ169" s="2381"/>
      <c r="CR169" s="2381"/>
      <c r="CS169" s="2381"/>
      <c r="CT169" s="2381"/>
      <c r="CU169" s="2381"/>
      <c r="CV169" s="2381"/>
      <c r="CW169" s="2381"/>
      <c r="CX169" s="2381"/>
      <c r="CY169" s="2381"/>
      <c r="CZ169" s="2381"/>
      <c r="DA169" s="2381"/>
      <c r="DB169" s="2382"/>
      <c r="DC169" s="2395"/>
      <c r="DD169" s="2395"/>
      <c r="DE169" s="2395"/>
      <c r="DF169" s="2395"/>
      <c r="DG169" s="2395"/>
      <c r="DH169" s="2395"/>
      <c r="DI169" s="2395"/>
      <c r="DJ169" s="2395"/>
      <c r="DK169" s="2395"/>
      <c r="DL169" s="2395"/>
      <c r="DM169" s="2395"/>
      <c r="DN169" s="2395"/>
      <c r="DO169" s="2395"/>
      <c r="DP169" s="2395"/>
      <c r="DQ169" s="2395"/>
      <c r="DR169" s="2395"/>
      <c r="DS169" s="2395"/>
      <c r="DT169" s="2395"/>
      <c r="DU169" s="2395"/>
      <c r="DV169" s="2395"/>
      <c r="DW169" s="2395"/>
      <c r="DX169" s="2395"/>
      <c r="DY169" s="2395"/>
      <c r="DZ169" s="2395"/>
      <c r="EA169" s="2395"/>
      <c r="EB169" s="2395"/>
      <c r="EC169" s="2395"/>
      <c r="ED169" s="2395"/>
      <c r="EE169" s="2395"/>
      <c r="EF169" s="2395"/>
      <c r="EG169" s="2395"/>
      <c r="EH169" s="2395"/>
      <c r="EI169" s="2395"/>
      <c r="EJ169" s="2395"/>
      <c r="EK169" s="2395"/>
      <c r="EL169" s="2395"/>
      <c r="EM169" s="2395"/>
      <c r="EN169" s="2395"/>
      <c r="EO169" s="2395"/>
      <c r="EP169" s="2395"/>
      <c r="EQ169" s="2395"/>
      <c r="ER169" s="2395"/>
      <c r="ES169" s="2395"/>
      <c r="ET169" s="2395"/>
      <c r="EU169" s="2395"/>
      <c r="EV169" s="2395"/>
      <c r="EW169" s="2395"/>
      <c r="EX169" s="2395"/>
      <c r="EY169" s="2395"/>
      <c r="EZ169" s="2395"/>
      <c r="FA169" s="2395"/>
      <c r="FB169" s="2395"/>
      <c r="FC169" s="2395"/>
      <c r="FD169" s="2395"/>
      <c r="FE169" s="2395"/>
      <c r="FF169" s="2395"/>
      <c r="FG169" s="2395"/>
      <c r="FH169" s="2395"/>
      <c r="FI169" s="2395"/>
      <c r="FJ169" s="2395"/>
      <c r="FK169" s="2395"/>
      <c r="FL169" s="2395"/>
      <c r="FM169" s="2395"/>
      <c r="FN169" s="2395"/>
      <c r="FO169" s="2395"/>
      <c r="FP169" s="2395"/>
      <c r="FQ169" s="2395"/>
      <c r="FR169" s="2395"/>
      <c r="FS169" s="2395"/>
      <c r="FT169" s="2395"/>
      <c r="FU169" s="2395"/>
      <c r="FV169" s="2395"/>
      <c r="FW169" s="2395"/>
      <c r="FX169" s="2395"/>
      <c r="FY169" s="2395"/>
      <c r="FZ169" s="2395"/>
      <c r="GA169" s="2395"/>
      <c r="GB169" s="2395"/>
      <c r="GC169" s="2395"/>
      <c r="GD169" s="2395"/>
      <c r="GE169" s="2395"/>
      <c r="GF169" s="2395"/>
      <c r="GG169" s="2395"/>
      <c r="GH169" s="2395"/>
      <c r="GI169" s="2395"/>
      <c r="GJ169" s="2395"/>
      <c r="GK169" s="2395"/>
      <c r="GL169" s="2395"/>
      <c r="GM169" s="2395"/>
    </row>
    <row r="170" spans="1:665" s="61" customFormat="1" ht="27.75" hidden="1" customHeight="1">
      <c r="A170" s="336" t="s">
        <v>287</v>
      </c>
      <c r="B170" s="336"/>
      <c r="C170" s="342"/>
      <c r="D170" s="1626" t="s">
        <v>454</v>
      </c>
      <c r="E170" s="1690"/>
      <c r="F170" s="1631">
        <v>0</v>
      </c>
      <c r="G170" s="1640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1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35" hidden="1" customHeight="1">
      <c r="A171" s="336"/>
      <c r="B171" s="2314"/>
      <c r="C171" s="2316"/>
      <c r="D171" s="1627">
        <v>0</v>
      </c>
      <c r="E171" s="1692"/>
      <c r="F171" s="1665"/>
      <c r="G171" s="1645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36"/>
    </row>
    <row r="172" spans="1:665" s="61" customFormat="1" ht="25.35" hidden="1" customHeight="1">
      <c r="A172" s="344"/>
      <c r="B172" s="2383" t="s">
        <v>358</v>
      </c>
      <c r="C172" s="2384"/>
      <c r="D172" s="1611" t="s">
        <v>359</v>
      </c>
      <c r="E172" s="1692"/>
      <c r="F172" s="1665"/>
      <c r="G172" s="1645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36"/>
    </row>
    <row r="173" spans="1:665" s="61" customFormat="1" ht="25.35" hidden="1" customHeight="1">
      <c r="A173" s="336"/>
      <c r="B173" s="2314"/>
      <c r="C173" s="2316"/>
      <c r="D173" s="1600">
        <v>0</v>
      </c>
      <c r="E173" s="1692"/>
      <c r="F173" s="1665"/>
      <c r="G173" s="1645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36"/>
    </row>
    <row r="174" spans="1:665" s="61" customFormat="1" ht="25.35" hidden="1" customHeight="1">
      <c r="A174" s="344"/>
      <c r="B174" s="2383" t="s">
        <v>358</v>
      </c>
      <c r="C174" s="2384"/>
      <c r="D174" s="1611" t="s">
        <v>360</v>
      </c>
      <c r="E174" s="1692"/>
      <c r="F174" s="1665"/>
      <c r="G174" s="1645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36"/>
    </row>
    <row r="175" spans="1:665" s="61" customFormat="1" ht="26.25" hidden="1" customHeight="1">
      <c r="B175" s="2350"/>
      <c r="C175" s="2352"/>
      <c r="D175" s="1624">
        <v>0</v>
      </c>
      <c r="E175" s="1692"/>
      <c r="F175" s="1665"/>
      <c r="G175" s="1645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36"/>
    </row>
    <row r="176" spans="1:665" s="61" customFormat="1" ht="28.5" hidden="1" customHeight="1">
      <c r="A176" s="344"/>
      <c r="B176" s="2383" t="s">
        <v>363</v>
      </c>
      <c r="C176" s="2384"/>
      <c r="D176" s="1611" t="s">
        <v>364</v>
      </c>
      <c r="E176" s="1692"/>
      <c r="F176" s="1665"/>
      <c r="G176" s="1645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36"/>
    </row>
    <row r="177" spans="1:665" s="61" customFormat="1" ht="28.5" hidden="1" customHeight="1">
      <c r="A177" s="344"/>
      <c r="B177" s="2383" t="s">
        <v>363</v>
      </c>
      <c r="C177" s="2384"/>
      <c r="D177" s="1611" t="s">
        <v>364</v>
      </c>
      <c r="E177" s="1692"/>
      <c r="F177" s="1665"/>
      <c r="G177" s="1645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36"/>
    </row>
    <row r="178" spans="1:665" s="61" customFormat="1" ht="21" hidden="1">
      <c r="D178" s="1628"/>
      <c r="E178" s="1693"/>
      <c r="F178" s="1668"/>
      <c r="G178" s="1636"/>
      <c r="R178" s="1636"/>
    </row>
    <row r="179" spans="1:665" s="61" customFormat="1" ht="15" hidden="1" customHeight="1">
      <c r="D179" s="1628"/>
      <c r="E179" s="1693"/>
      <c r="F179" s="1668"/>
      <c r="G179" s="1636"/>
      <c r="R179" s="1636"/>
    </row>
    <row r="180" spans="1:665" s="61" customFormat="1" ht="21" hidden="1">
      <c r="D180" s="1628"/>
      <c r="E180" s="1693"/>
      <c r="F180" s="1668"/>
      <c r="G180" s="1636"/>
      <c r="R180" s="1636"/>
    </row>
    <row r="181" spans="1:665" s="61" customFormat="1" ht="15" hidden="1" customHeight="1">
      <c r="D181" s="1628"/>
      <c r="E181" s="1693"/>
      <c r="F181" s="1668"/>
      <c r="G181" s="1636"/>
      <c r="R181" s="1636"/>
    </row>
    <row r="182" spans="1:665" s="61" customFormat="1" ht="15" hidden="1" customHeight="1">
      <c r="A182" s="347">
        <v>8000</v>
      </c>
      <c r="B182" s="347">
        <v>3.6</v>
      </c>
      <c r="C182" s="346">
        <v>4</v>
      </c>
      <c r="D182" s="1612">
        <f t="shared" ref="D182:D187" si="0">A182*B182/C182</f>
        <v>7200</v>
      </c>
      <c r="E182" s="1693"/>
      <c r="F182" s="1668"/>
      <c r="G182" s="1636"/>
    </row>
    <row r="183" spans="1:665" s="61" customFormat="1" ht="21" hidden="1">
      <c r="A183" s="347">
        <v>6000</v>
      </c>
      <c r="B183" s="347">
        <v>3.6</v>
      </c>
      <c r="C183" s="346">
        <v>4</v>
      </c>
      <c r="D183" s="1612">
        <f t="shared" si="0"/>
        <v>5400</v>
      </c>
      <c r="E183" s="1693"/>
      <c r="F183" s="1668"/>
      <c r="G183" s="1636"/>
    </row>
    <row r="184" spans="1:665" s="61" customFormat="1" ht="15" hidden="1" customHeight="1">
      <c r="A184" s="348">
        <v>24000</v>
      </c>
      <c r="B184" s="348">
        <v>3</v>
      </c>
      <c r="C184" s="346">
        <v>4</v>
      </c>
      <c r="D184" s="1613">
        <f t="shared" si="0"/>
        <v>18000</v>
      </c>
      <c r="E184" s="1693"/>
      <c r="F184" s="1668"/>
      <c r="G184" s="1636"/>
    </row>
    <row r="185" spans="1:665" s="61" customFormat="1" ht="21" hidden="1">
      <c r="A185" s="348">
        <v>12000</v>
      </c>
      <c r="B185" s="348">
        <v>3.3</v>
      </c>
      <c r="C185" s="346">
        <v>4</v>
      </c>
      <c r="D185" s="1613">
        <f t="shared" si="0"/>
        <v>9900</v>
      </c>
      <c r="E185" s="1693"/>
      <c r="F185" s="1668"/>
      <c r="G185" s="1636"/>
    </row>
    <row r="186" spans="1:665" s="61" customFormat="1" ht="15" hidden="1" customHeight="1">
      <c r="A186" s="348">
        <v>8000</v>
      </c>
      <c r="B186" s="348">
        <v>3</v>
      </c>
      <c r="C186" s="346">
        <v>4</v>
      </c>
      <c r="D186" s="1613">
        <f t="shared" si="0"/>
        <v>6000</v>
      </c>
      <c r="E186" s="1693"/>
      <c r="F186" s="1668"/>
      <c r="G186" s="1636"/>
    </row>
    <row r="187" spans="1:665" s="61" customFormat="1" ht="21" hidden="1">
      <c r="A187" s="348">
        <v>6000</v>
      </c>
      <c r="B187" s="348">
        <v>3</v>
      </c>
      <c r="C187" s="346">
        <v>4</v>
      </c>
      <c r="D187" s="1613">
        <f t="shared" si="0"/>
        <v>4500</v>
      </c>
      <c r="E187" s="1693"/>
      <c r="F187" s="1668"/>
      <c r="G187" s="1636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49"/>
      <c r="B188" s="349"/>
      <c r="C188" s="349"/>
      <c r="D188" s="1629"/>
      <c r="G188" s="1637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1637"/>
      <c r="S188" s="349"/>
      <c r="T188" s="349"/>
      <c r="U188" s="349"/>
      <c r="V188" s="349"/>
      <c r="W188" s="349"/>
      <c r="X188" s="349"/>
      <c r="Y188" s="349"/>
      <c r="Z188" s="349"/>
      <c r="AA188" s="349"/>
      <c r="AB188" s="349"/>
      <c r="AC188" s="349"/>
      <c r="AD188" s="349"/>
      <c r="AE188" s="349"/>
      <c r="AF188" s="349"/>
      <c r="AG188" s="349"/>
      <c r="AH188" s="349"/>
      <c r="AI188" s="349"/>
      <c r="AJ188" s="349"/>
      <c r="AK188" s="349"/>
      <c r="AL188" s="349"/>
      <c r="AM188" s="349"/>
      <c r="AN188" s="349"/>
      <c r="AO188" s="349"/>
      <c r="AP188" s="349"/>
      <c r="AQ188" s="349"/>
      <c r="AR188" s="349"/>
      <c r="AS188" s="349"/>
      <c r="AT188" s="349"/>
      <c r="AU188" s="349"/>
      <c r="AV188" s="349"/>
      <c r="AW188" s="349"/>
      <c r="AX188" s="349"/>
      <c r="AY188" s="349"/>
      <c r="AZ188" s="349"/>
      <c r="BA188" s="349"/>
      <c r="BB188" s="349"/>
      <c r="BC188" s="349"/>
      <c r="BD188" s="349"/>
      <c r="BE188" s="349"/>
      <c r="BF188" s="349"/>
      <c r="BG188" s="349"/>
      <c r="BH188" s="349"/>
      <c r="BI188" s="349"/>
      <c r="BJ188" s="349"/>
      <c r="BK188" s="349"/>
      <c r="BL188" s="349"/>
      <c r="BM188" s="349"/>
      <c r="BN188" s="349"/>
      <c r="BO188" s="349"/>
      <c r="BP188" s="349"/>
      <c r="BQ188" s="349"/>
      <c r="BR188" s="349"/>
      <c r="BS188" s="349"/>
      <c r="BT188" s="349"/>
      <c r="BU188" s="349"/>
      <c r="BV188" s="349"/>
      <c r="BW188" s="349"/>
      <c r="BX188" s="349"/>
      <c r="BY188" s="349"/>
      <c r="BZ188" s="349"/>
      <c r="CA188" s="349"/>
      <c r="CB188" s="349"/>
      <c r="CC188" s="349"/>
      <c r="CD188" s="349"/>
      <c r="CE188" s="349"/>
      <c r="CF188" s="349"/>
      <c r="CG188" s="349"/>
      <c r="CH188" s="349"/>
      <c r="CI188" s="349"/>
      <c r="CJ188" s="349"/>
      <c r="CK188" s="349"/>
      <c r="CL188" s="349"/>
      <c r="CM188" s="349"/>
      <c r="CN188" s="349"/>
      <c r="CO188" s="349"/>
      <c r="CP188" s="349"/>
      <c r="CQ188" s="349"/>
      <c r="CR188" s="349"/>
      <c r="CS188" s="349"/>
      <c r="CT188" s="349"/>
      <c r="CU188" s="349"/>
      <c r="CV188" s="349"/>
      <c r="CW188" s="349"/>
      <c r="CX188" s="349"/>
      <c r="CY188" s="349"/>
      <c r="CZ188" s="349"/>
      <c r="DA188" s="349"/>
      <c r="DB188" s="349"/>
      <c r="DC188" s="349"/>
      <c r="DD188" s="349"/>
      <c r="DE188" s="349"/>
      <c r="DF188" s="349"/>
      <c r="DG188" s="349"/>
      <c r="DH188" s="349"/>
      <c r="DI188" s="349"/>
      <c r="DJ188" s="349"/>
      <c r="DK188" s="349"/>
      <c r="DL188" s="349"/>
      <c r="DM188" s="349"/>
      <c r="DN188" s="349"/>
      <c r="DO188" s="349"/>
      <c r="DP188" s="349"/>
      <c r="DQ188" s="349"/>
      <c r="DR188" s="349"/>
      <c r="DS188" s="349"/>
      <c r="DT188" s="349"/>
      <c r="DU188" s="349"/>
      <c r="DV188" s="349"/>
      <c r="DW188" s="349"/>
      <c r="DX188" s="349"/>
      <c r="DY188" s="349"/>
      <c r="DZ188" s="349"/>
      <c r="EA188" s="349"/>
      <c r="EB188" s="349"/>
      <c r="EC188" s="349"/>
      <c r="ED188" s="349"/>
      <c r="EE188" s="349"/>
      <c r="EF188" s="349"/>
      <c r="EG188" s="349"/>
      <c r="EH188" s="349"/>
      <c r="EI188" s="349"/>
      <c r="EJ188" s="349"/>
      <c r="EK188" s="349"/>
      <c r="EL188" s="349"/>
      <c r="EM188" s="349"/>
      <c r="EN188" s="349"/>
      <c r="EO188" s="349"/>
      <c r="EP188" s="349"/>
      <c r="EQ188" s="349"/>
      <c r="ER188" s="349"/>
      <c r="ES188" s="349"/>
      <c r="ET188" s="349"/>
      <c r="EU188" s="349"/>
      <c r="EV188" s="349"/>
      <c r="EW188" s="349"/>
      <c r="EX188" s="349"/>
      <c r="EY188" s="349"/>
      <c r="EZ188" s="349"/>
      <c r="FA188" s="349"/>
      <c r="FB188" s="349"/>
      <c r="FC188" s="349"/>
      <c r="FD188" s="349"/>
      <c r="FE188" s="349"/>
      <c r="FF188" s="349"/>
      <c r="FG188" s="349"/>
      <c r="FH188" s="349"/>
      <c r="FI188" s="349"/>
      <c r="FJ188" s="349"/>
      <c r="FK188" s="349"/>
      <c r="FL188" s="349"/>
      <c r="FM188" s="349"/>
      <c r="FN188" s="349"/>
      <c r="FO188" s="349"/>
      <c r="FP188" s="349"/>
      <c r="FQ188" s="349"/>
      <c r="FR188" s="349"/>
      <c r="FS188" s="349"/>
      <c r="FT188" s="349"/>
      <c r="FU188" s="349"/>
      <c r="FV188" s="349"/>
      <c r="FW188" s="349"/>
      <c r="FX188" s="349"/>
      <c r="FY188" s="349"/>
      <c r="FZ188" s="349"/>
      <c r="GA188" s="349"/>
      <c r="GB188" s="349"/>
      <c r="GC188" s="349"/>
      <c r="GD188" s="349"/>
      <c r="GE188" s="349"/>
      <c r="GF188" s="349"/>
      <c r="GG188" s="349"/>
      <c r="GH188" s="349"/>
      <c r="GI188" s="349"/>
      <c r="GJ188" s="349"/>
      <c r="GK188" s="349"/>
      <c r="GL188" s="349"/>
      <c r="GM188" s="349"/>
      <c r="GN188" s="349"/>
      <c r="GO188" s="349"/>
      <c r="GP188" s="349"/>
      <c r="GQ188" s="349"/>
      <c r="GR188" s="349"/>
      <c r="GS188" s="349"/>
      <c r="GT188" s="349"/>
      <c r="GU188" s="349"/>
      <c r="GV188" s="349"/>
      <c r="GW188" s="349"/>
      <c r="GX188" s="349"/>
      <c r="GY188" s="349"/>
      <c r="GZ188" s="349"/>
      <c r="HA188" s="349"/>
      <c r="HB188" s="349"/>
      <c r="HC188" s="349"/>
      <c r="HD188" s="349"/>
      <c r="HE188" s="349"/>
      <c r="HF188" s="349"/>
      <c r="HG188" s="349"/>
      <c r="HH188" s="349"/>
      <c r="HI188" s="349"/>
      <c r="HJ188" s="349"/>
      <c r="HK188" s="349"/>
      <c r="HL188" s="349"/>
      <c r="HM188" s="349"/>
      <c r="HN188" s="349"/>
      <c r="HO188" s="349"/>
      <c r="HP188" s="349"/>
      <c r="HQ188" s="349"/>
      <c r="HR188" s="349"/>
      <c r="HS188" s="349"/>
      <c r="HT188" s="349"/>
      <c r="HU188" s="349"/>
      <c r="HV188" s="349"/>
      <c r="HW188" s="349"/>
      <c r="HX188" s="349"/>
      <c r="HY188" s="349"/>
      <c r="HZ188" s="349"/>
      <c r="IA188" s="349"/>
      <c r="IB188" s="349"/>
      <c r="IC188" s="349"/>
      <c r="ID188" s="349"/>
      <c r="IE188" s="349"/>
      <c r="IF188" s="349"/>
      <c r="IG188" s="349"/>
      <c r="IH188" s="349"/>
      <c r="II188" s="349"/>
      <c r="IJ188" s="349"/>
      <c r="IK188" s="349"/>
      <c r="IL188" s="349"/>
      <c r="IM188" s="349"/>
      <c r="IN188" s="349"/>
      <c r="IO188" s="349"/>
      <c r="IP188" s="349"/>
      <c r="IQ188" s="349"/>
      <c r="IR188" s="349"/>
      <c r="IS188" s="349"/>
      <c r="IT188" s="349"/>
      <c r="IU188" s="349"/>
      <c r="IV188" s="349"/>
      <c r="IW188" s="349"/>
      <c r="IX188" s="349"/>
      <c r="IY188" s="349"/>
      <c r="IZ188" s="349"/>
      <c r="JA188" s="349"/>
      <c r="JB188" s="349"/>
      <c r="JC188" s="349"/>
      <c r="JD188" s="349"/>
      <c r="JE188" s="349"/>
      <c r="JF188" s="349"/>
      <c r="JG188" s="349"/>
      <c r="JH188" s="349"/>
      <c r="JI188" s="349"/>
      <c r="JJ188" s="349"/>
      <c r="JK188" s="349"/>
      <c r="JL188" s="349"/>
      <c r="JM188" s="349"/>
      <c r="JN188" s="349"/>
      <c r="JO188" s="349"/>
      <c r="JP188" s="349"/>
      <c r="JQ188" s="349"/>
      <c r="JR188" s="349"/>
      <c r="JS188" s="349"/>
      <c r="JT188" s="349"/>
      <c r="JU188" s="349"/>
      <c r="JV188" s="349"/>
      <c r="JW188" s="349"/>
      <c r="JX188" s="349"/>
      <c r="JY188" s="349"/>
      <c r="JZ188" s="349"/>
      <c r="KA188" s="349"/>
      <c r="KB188" s="349"/>
      <c r="KC188" s="349"/>
      <c r="KD188" s="349"/>
      <c r="KE188" s="349"/>
      <c r="KF188" s="349"/>
      <c r="KG188" s="349"/>
    </row>
    <row r="189" spans="1:665" ht="25.35" hidden="1" customHeight="1">
      <c r="LJ189" s="1606"/>
      <c r="LK189" s="1606"/>
      <c r="LL189" s="1606"/>
      <c r="LM189" s="1606"/>
      <c r="LN189" s="1606"/>
      <c r="LO189" s="1606"/>
      <c r="LP189" s="1606"/>
      <c r="LQ189" s="1606"/>
      <c r="LR189" s="1606"/>
      <c r="LS189" s="1606"/>
      <c r="LT189" s="1606"/>
      <c r="LU189" s="1606"/>
      <c r="LV189" s="1606"/>
      <c r="LW189" s="1606"/>
      <c r="LX189" s="1606"/>
      <c r="LY189" s="1606"/>
      <c r="LZ189" s="1606"/>
      <c r="MA189" s="1606"/>
      <c r="MB189" s="1606"/>
      <c r="MC189" s="1606"/>
      <c r="MD189" s="1606"/>
      <c r="ME189" s="1606"/>
      <c r="MF189" s="1606"/>
      <c r="MG189" s="1606"/>
      <c r="MH189" s="1606"/>
      <c r="MI189" s="1606"/>
      <c r="MJ189" s="1606"/>
      <c r="MK189" s="1606"/>
      <c r="ML189" s="1606"/>
      <c r="MM189" s="1606"/>
      <c r="MN189" s="1606"/>
      <c r="MO189" s="1606"/>
      <c r="MP189" s="1606"/>
    </row>
    <row r="190" spans="1:665" ht="25.35" hidden="1" customHeight="1">
      <c r="A190" s="1605"/>
      <c r="B190" s="1606"/>
      <c r="C190" s="1606"/>
      <c r="D190" s="1606"/>
      <c r="F190" s="1669"/>
      <c r="G190" s="1607"/>
      <c r="H190" s="1639"/>
      <c r="I190" s="1639"/>
      <c r="J190" s="1639"/>
      <c r="K190" s="1639"/>
      <c r="L190" s="1639"/>
      <c r="M190" s="1639"/>
      <c r="N190" s="1639"/>
      <c r="O190" s="1639"/>
      <c r="P190" s="1639"/>
      <c r="Q190" s="1639"/>
      <c r="R190" s="1606"/>
      <c r="S190" s="1606"/>
      <c r="T190" s="1606"/>
      <c r="U190" s="1606"/>
      <c r="V190" s="1606"/>
      <c r="W190" s="1606"/>
      <c r="X190" s="1606"/>
      <c r="Y190" s="1606"/>
      <c r="Z190" s="1606"/>
      <c r="AA190" s="1606"/>
      <c r="AB190" s="1606"/>
      <c r="AC190" s="1606"/>
      <c r="AD190" s="1606"/>
      <c r="AE190" s="1606"/>
      <c r="AF190" s="1606"/>
      <c r="AG190" s="1606"/>
      <c r="AH190" s="1606"/>
      <c r="AI190" s="1606"/>
      <c r="AJ190" s="1606"/>
      <c r="AK190" s="1606"/>
      <c r="AL190" s="1606"/>
      <c r="AM190" s="1606"/>
      <c r="AN190" s="1606"/>
      <c r="AO190" s="1606"/>
      <c r="AP190" s="1606"/>
      <c r="AQ190" s="1606"/>
      <c r="AR190" s="1606"/>
      <c r="AS190" s="1606"/>
      <c r="AT190" s="1606"/>
      <c r="AU190" s="1606"/>
      <c r="AV190" s="1606"/>
      <c r="AW190" s="1606"/>
      <c r="AX190" s="1606"/>
      <c r="AY190" s="1606"/>
      <c r="AZ190" s="1606"/>
      <c r="BA190" s="1606"/>
      <c r="BB190" s="1606"/>
      <c r="BC190" s="1606"/>
      <c r="BD190" s="1606"/>
      <c r="BE190" s="1606"/>
      <c r="BF190" s="1606"/>
      <c r="BG190" s="1606"/>
      <c r="BH190" s="1606"/>
      <c r="BI190" s="1606"/>
      <c r="BJ190" s="1606"/>
      <c r="BK190" s="1606"/>
      <c r="BL190" s="1606"/>
      <c r="BM190" s="1606"/>
      <c r="BN190" s="1606"/>
      <c r="BO190" s="1606"/>
      <c r="BP190" s="1606"/>
      <c r="BQ190" s="1606"/>
      <c r="BR190" s="1606"/>
      <c r="BS190" s="1606"/>
      <c r="BT190" s="1606"/>
      <c r="BU190" s="1606"/>
      <c r="BV190" s="1606"/>
      <c r="BW190" s="1606"/>
      <c r="BX190" s="1606"/>
      <c r="BY190" s="1606"/>
      <c r="BZ190" s="1606"/>
      <c r="CA190" s="1606"/>
      <c r="CB190" s="1606"/>
      <c r="CC190" s="1606"/>
      <c r="CD190" s="1606"/>
      <c r="CE190" s="1606"/>
      <c r="CF190" s="1606"/>
      <c r="CG190" s="1606"/>
      <c r="CH190" s="1606"/>
      <c r="CI190" s="1606"/>
      <c r="CJ190" s="1606"/>
      <c r="CK190" s="1606"/>
      <c r="CL190" s="1606"/>
      <c r="CM190" s="1606"/>
      <c r="CN190" s="1606"/>
      <c r="CO190" s="1606"/>
      <c r="CP190" s="1606"/>
      <c r="CQ190" s="1606"/>
      <c r="CR190" s="1606"/>
      <c r="CS190" s="1606"/>
      <c r="CT190" s="1606"/>
      <c r="CU190" s="1606"/>
      <c r="CV190" s="1606"/>
      <c r="CW190" s="1606"/>
      <c r="CX190" s="1606"/>
      <c r="CY190" s="1606"/>
      <c r="CZ190" s="1606"/>
      <c r="DA190" s="1606"/>
      <c r="DB190" s="1606"/>
      <c r="DC190" s="1606"/>
      <c r="DD190" s="1606"/>
      <c r="DE190" s="1606"/>
      <c r="DF190" s="1606"/>
      <c r="DG190" s="1606"/>
      <c r="DH190" s="1606"/>
      <c r="DI190" s="1606"/>
      <c r="DJ190" s="1606"/>
      <c r="DK190" s="1606"/>
      <c r="DL190" s="1606"/>
      <c r="DM190" s="1606"/>
      <c r="DN190" s="1606"/>
      <c r="DO190" s="1606"/>
      <c r="DP190" s="1606"/>
      <c r="DQ190" s="1606"/>
      <c r="DR190" s="1606"/>
      <c r="DS190" s="1606"/>
      <c r="DT190" s="1606"/>
      <c r="DU190" s="1606"/>
      <c r="DV190" s="1606"/>
      <c r="DW190" s="1606"/>
      <c r="DX190" s="1606"/>
      <c r="DY190" s="1606"/>
      <c r="DZ190" s="1606"/>
      <c r="EA190" s="1606"/>
      <c r="EB190" s="1606"/>
      <c r="EC190" s="1606"/>
      <c r="ED190" s="1606"/>
      <c r="EE190" s="1606"/>
      <c r="EF190" s="1606"/>
      <c r="EG190" s="1606"/>
      <c r="EH190" s="1606"/>
      <c r="EI190" s="1606"/>
      <c r="EJ190" s="1606"/>
      <c r="EK190" s="1606"/>
      <c r="EL190" s="1606"/>
      <c r="EM190" s="1606"/>
      <c r="EN190" s="1606"/>
      <c r="EO190" s="1606"/>
      <c r="EP190" s="1606"/>
      <c r="EQ190" s="1606"/>
      <c r="ER190" s="1606"/>
      <c r="ES190" s="1606"/>
      <c r="ET190" s="1606"/>
      <c r="EU190" s="1606"/>
      <c r="EV190" s="1606"/>
      <c r="EW190" s="1606"/>
      <c r="EX190" s="1606"/>
      <c r="EY190" s="1606"/>
      <c r="EZ190" s="1606"/>
      <c r="FA190" s="1606"/>
      <c r="FB190" s="1606"/>
      <c r="FC190" s="1606"/>
      <c r="FD190" s="1606"/>
      <c r="FE190" s="1606"/>
      <c r="FF190" s="1606"/>
      <c r="FG190" s="1606"/>
      <c r="FH190" s="1606"/>
      <c r="FI190" s="1606"/>
      <c r="FJ190" s="1606"/>
      <c r="FK190" s="1606"/>
      <c r="FL190" s="1606"/>
      <c r="FM190" s="1606"/>
      <c r="FN190" s="1606"/>
      <c r="FO190" s="1606"/>
      <c r="FP190" s="1606"/>
      <c r="FQ190" s="1606"/>
      <c r="FR190" s="1606"/>
      <c r="FS190" s="1606"/>
      <c r="FT190" s="1606"/>
      <c r="FU190" s="1606"/>
      <c r="FV190" s="1606"/>
      <c r="FW190" s="1606"/>
      <c r="FX190" s="1606"/>
      <c r="FY190" s="1606"/>
      <c r="FZ190" s="1606"/>
      <c r="GA190" s="1606"/>
      <c r="GB190" s="1606"/>
      <c r="GC190" s="1606"/>
      <c r="GD190" s="1606"/>
      <c r="GE190" s="1606"/>
      <c r="GF190" s="1606"/>
      <c r="GG190" s="1606"/>
      <c r="GH190" s="1606"/>
      <c r="GI190" s="1606"/>
      <c r="GJ190" s="1606"/>
      <c r="GK190" s="1606"/>
      <c r="GL190" s="1606"/>
      <c r="GM190" s="1606"/>
      <c r="GN190" s="1606"/>
      <c r="GO190" s="1606"/>
      <c r="GP190" s="1606"/>
      <c r="GQ190" s="1606"/>
      <c r="GR190" s="1606"/>
      <c r="GS190" s="1606"/>
      <c r="GT190" s="1606"/>
      <c r="GU190" s="1606"/>
      <c r="GV190" s="1606"/>
      <c r="GW190" s="1606"/>
      <c r="GX190" s="1606"/>
      <c r="GY190" s="1606"/>
      <c r="GZ190" s="1606"/>
      <c r="HA190" s="1606"/>
      <c r="HB190" s="1606"/>
      <c r="HC190" s="1606"/>
      <c r="HD190" s="1606"/>
      <c r="HE190" s="1606"/>
      <c r="HF190" s="1606"/>
      <c r="HG190" s="1606"/>
      <c r="HH190" s="1606"/>
      <c r="HI190" s="1606"/>
      <c r="HJ190" s="1606"/>
      <c r="HK190" s="1606"/>
      <c r="HL190" s="1606"/>
      <c r="HM190" s="1606"/>
      <c r="HN190" s="1606"/>
      <c r="HO190" s="1606"/>
      <c r="HP190" s="1606"/>
      <c r="HQ190" s="1606"/>
      <c r="HR190" s="1606"/>
      <c r="HS190" s="1606"/>
      <c r="HT190" s="1606"/>
      <c r="HU190" s="1606"/>
      <c r="HV190" s="1606"/>
      <c r="HW190" s="1606"/>
      <c r="HX190" s="1606"/>
      <c r="HY190" s="1606"/>
      <c r="HZ190" s="1606"/>
      <c r="IA190" s="1606"/>
      <c r="IB190" s="1606"/>
      <c r="IC190" s="1606"/>
      <c r="ID190" s="1606"/>
      <c r="IE190" s="1606"/>
      <c r="IF190" s="1606"/>
      <c r="IG190" s="1606"/>
      <c r="IH190" s="1606"/>
      <c r="II190" s="1606"/>
      <c r="IJ190" s="1606"/>
      <c r="IK190" s="1606"/>
      <c r="IL190" s="1606"/>
      <c r="IM190" s="1606"/>
      <c r="IN190" s="1606"/>
      <c r="IO190" s="1606"/>
      <c r="IP190" s="1606"/>
      <c r="IQ190" s="1606"/>
      <c r="IR190" s="1606"/>
      <c r="IS190" s="1606"/>
      <c r="IT190" s="1606"/>
      <c r="IU190" s="1606"/>
      <c r="IV190" s="1606"/>
      <c r="IW190" s="1606"/>
      <c r="IX190" s="1606"/>
      <c r="IY190" s="1606"/>
      <c r="IZ190" s="1606"/>
      <c r="JA190" s="1606"/>
      <c r="JB190" s="1606"/>
      <c r="JC190" s="1606"/>
      <c r="JD190" s="1606"/>
      <c r="JE190" s="1606"/>
      <c r="JF190" s="1606"/>
      <c r="JG190" s="1606"/>
      <c r="JH190" s="1606"/>
      <c r="JI190" s="1606"/>
      <c r="JJ190" s="1606"/>
      <c r="JK190" s="1606"/>
      <c r="JL190" s="1606"/>
      <c r="JM190" s="1606"/>
      <c r="JN190" s="1606"/>
      <c r="JO190" s="1606"/>
      <c r="JP190" s="1606"/>
      <c r="JQ190" s="1606"/>
      <c r="JR190" s="1606"/>
      <c r="JS190" s="1606"/>
      <c r="JT190" s="1606"/>
      <c r="JU190" s="1606"/>
      <c r="JV190" s="1606"/>
      <c r="JW190" s="1606"/>
      <c r="JX190" s="1606"/>
      <c r="JY190" s="1606"/>
      <c r="JZ190" s="1606"/>
      <c r="KA190" s="1606"/>
      <c r="KB190" s="1606"/>
      <c r="KC190" s="1606"/>
      <c r="KD190" s="1606"/>
      <c r="KE190" s="1606"/>
      <c r="KF190" s="1606"/>
      <c r="KG190" s="1606"/>
      <c r="KH190" s="1606"/>
      <c r="KI190" s="1606"/>
      <c r="KJ190" s="1606"/>
      <c r="KK190" s="1606"/>
      <c r="KL190" s="1606"/>
      <c r="KM190" s="1606"/>
      <c r="KN190" s="1606"/>
      <c r="KO190" s="1606"/>
      <c r="KP190" s="1606"/>
      <c r="KQ190" s="1606"/>
      <c r="KR190" s="1606"/>
      <c r="KS190" s="1606"/>
      <c r="KT190" s="1606"/>
      <c r="KU190" s="1606"/>
      <c r="KV190" s="1606"/>
      <c r="KW190" s="1606"/>
      <c r="KX190" s="1606"/>
      <c r="KY190" s="1606"/>
      <c r="KZ190" s="1606"/>
      <c r="LA190" s="1606"/>
      <c r="LB190" s="1606"/>
      <c r="LC190" s="1606"/>
      <c r="LD190" s="1606"/>
      <c r="LE190" s="1606"/>
      <c r="LF190" s="1606"/>
      <c r="LG190" s="1606"/>
      <c r="LH190" s="1606"/>
      <c r="LI190" s="1606"/>
      <c r="LJ190" s="338" t="s">
        <v>8</v>
      </c>
      <c r="LK190" s="338" t="s">
        <v>9</v>
      </c>
      <c r="LL190" s="338" t="s">
        <v>10</v>
      </c>
      <c r="LM190" s="338" t="s">
        <v>11</v>
      </c>
      <c r="LN190" s="338" t="s">
        <v>12</v>
      </c>
      <c r="LO190" s="338" t="s">
        <v>13</v>
      </c>
      <c r="LP190" s="338" t="s">
        <v>14</v>
      </c>
      <c r="LQ190" s="338" t="s">
        <v>15</v>
      </c>
      <c r="LR190" s="337">
        <f>IF(LF191=24,1,LF191+1)</f>
        <v>3</v>
      </c>
      <c r="LS190" s="338" t="s">
        <v>5</v>
      </c>
      <c r="LT190" s="338" t="s">
        <v>6</v>
      </c>
      <c r="LU190" s="338" t="s">
        <v>7</v>
      </c>
      <c r="LV190" s="338" t="s">
        <v>8</v>
      </c>
      <c r="LW190" s="338" t="s">
        <v>9</v>
      </c>
      <c r="LX190" s="338" t="s">
        <v>10</v>
      </c>
      <c r="LY190" s="338" t="s">
        <v>11</v>
      </c>
      <c r="LZ190" s="338" t="s">
        <v>12</v>
      </c>
      <c r="MA190" s="338" t="s">
        <v>13</v>
      </c>
      <c r="MB190" s="338" t="s">
        <v>14</v>
      </c>
      <c r="MC190" s="338" t="s">
        <v>15</v>
      </c>
      <c r="MD190" s="337">
        <v>5</v>
      </c>
      <c r="ME190" s="338" t="s">
        <v>5</v>
      </c>
      <c r="MF190" s="338" t="s">
        <v>6</v>
      </c>
      <c r="MG190" s="338" t="s">
        <v>7</v>
      </c>
      <c r="MH190" s="338" t="s">
        <v>8</v>
      </c>
      <c r="MI190" s="338" t="s">
        <v>9</v>
      </c>
      <c r="MJ190" s="338" t="s">
        <v>10</v>
      </c>
      <c r="MK190" s="338" t="s">
        <v>11</v>
      </c>
      <c r="ML190" s="338" t="s">
        <v>12</v>
      </c>
      <c r="MM190" s="338" t="s">
        <v>13</v>
      </c>
      <c r="MN190" s="338" t="s">
        <v>14</v>
      </c>
      <c r="MO190" s="338" t="s">
        <v>15</v>
      </c>
      <c r="MP190" s="337">
        <v>6</v>
      </c>
      <c r="MQ190" s="1606"/>
      <c r="MR190" s="1606"/>
      <c r="MS190" s="1606"/>
      <c r="MT190" s="1606"/>
      <c r="MU190" s="1606"/>
      <c r="MV190" s="1606"/>
      <c r="MW190" s="1606"/>
      <c r="MX190" s="1606"/>
      <c r="MY190" s="1606"/>
      <c r="MZ190" s="1606"/>
      <c r="NA190" s="1606"/>
      <c r="NB190" s="1606"/>
      <c r="NC190" s="1607"/>
    </row>
    <row r="191" spans="1:665" s="61" customFormat="1" ht="27.75" hidden="1" customHeight="1">
      <c r="A191" s="336" t="s">
        <v>287</v>
      </c>
      <c r="B191" s="336"/>
      <c r="C191" s="342"/>
      <c r="D191" s="1626" t="s">
        <v>464</v>
      </c>
      <c r="E191" s="1690"/>
      <c r="F191" s="1631">
        <v>0</v>
      </c>
      <c r="G191" s="1640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1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35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35" hidden="1" customHeight="1" thickBot="1">
      <c r="A193" s="457"/>
      <c r="B193" s="457"/>
      <c r="C193" s="2385" t="s">
        <v>407</v>
      </c>
      <c r="D193" s="2386"/>
      <c r="F193" s="1668"/>
      <c r="G193" s="1636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87" t="s">
        <v>408</v>
      </c>
      <c r="S193" s="2388"/>
      <c r="T193" s="2388"/>
      <c r="U193" s="2389"/>
      <c r="V193" s="2390" t="s">
        <v>414</v>
      </c>
      <c r="W193" s="2391"/>
      <c r="X193" s="2391"/>
      <c r="Y193" s="2391"/>
      <c r="Z193" s="2391"/>
      <c r="AA193" s="2391"/>
      <c r="AB193" s="2391"/>
      <c r="AC193" s="2391"/>
      <c r="AD193" s="2391"/>
      <c r="AE193" s="2391"/>
      <c r="AF193" s="2391"/>
      <c r="AG193" s="2392"/>
      <c r="AH193" s="2393" t="s">
        <v>409</v>
      </c>
      <c r="AI193" s="2394"/>
      <c r="EX193" s="2387" t="s">
        <v>408</v>
      </c>
      <c r="EY193" s="2388"/>
      <c r="EZ193" s="2388"/>
      <c r="FA193" s="2389"/>
      <c r="FB193" s="2390" t="s">
        <v>414</v>
      </c>
      <c r="FC193" s="2391"/>
      <c r="FD193" s="2391"/>
      <c r="FE193" s="2391"/>
      <c r="FF193" s="2391"/>
      <c r="FG193" s="2391"/>
      <c r="FH193" s="2391"/>
      <c r="FI193" s="2391"/>
      <c r="FJ193" s="2391"/>
      <c r="FK193" s="2391"/>
      <c r="FL193" s="2391"/>
      <c r="FM193" s="2392"/>
      <c r="FN193" s="2393" t="s">
        <v>409</v>
      </c>
      <c r="FO193" s="2394"/>
    </row>
    <row r="194" spans="1:765" ht="25.35" hidden="1" customHeight="1"/>
    <row r="195" spans="1:765" ht="25.35" hidden="1" customHeight="1"/>
    <row r="196" spans="1:765" ht="25.35" hidden="1" customHeight="1"/>
    <row r="197" spans="1:765" ht="25.35" hidden="1" customHeight="1"/>
    <row r="198" spans="1:765" ht="25.35" hidden="1" customHeight="1"/>
    <row r="199" spans="1:765" ht="25.35" hidden="1" customHeight="1"/>
    <row r="200" spans="1:765" ht="25.35" hidden="1" customHeight="1"/>
    <row r="201" spans="1:765" ht="25.35" hidden="1" customHeight="1"/>
    <row r="202" spans="1:765" ht="25.35" hidden="1" customHeight="1"/>
    <row r="203" spans="1:765" ht="25.35" hidden="1" customHeight="1"/>
    <row r="204" spans="1:765" ht="25.35" hidden="1" customHeight="1">
      <c r="M204" s="1674"/>
    </row>
    <row r="205" spans="1:765" s="1674" customFormat="1" ht="52.5" customHeight="1">
      <c r="A205" s="2375" t="s">
        <v>876</v>
      </c>
      <c r="B205" s="2376"/>
      <c r="C205" s="2376"/>
      <c r="D205" s="2376"/>
      <c r="E205" s="2377"/>
      <c r="F205" s="1674" t="e">
        <f>SUM(F159,F162,F157,F134,F126,MK129,QR131,#REF!,JJ121,F119,F113,F109,#REF!,#REF!,#REF!,#REF!,#REF!,Y35,Y41,Y46,Y50,Y54,Y58,Y62,#REF!,#REF!,#REF!,#REF!)</f>
        <v>#REF!</v>
      </c>
      <c r="G205" s="1674" t="e">
        <f>SUM(G159,G162,G157,G134,G126,ML129,QS131,#REF!,JK121,G119,G113,G109,#REF!,#REF!,#REF!,#REF!,#REF!,Z35,Z41,Z46,Z50,Z54,Z58,Z62,#REF!,#REF!,#REF!,#REF!)</f>
        <v>#REF!</v>
      </c>
      <c r="H205" s="1674" t="e">
        <f>SUM(H159,H162,H157,H134,H126,MM129,QT131,#REF!,JL121,H119,H113,H109,#REF!,#REF!,#REF!,#REF!,#REF!,AA35,AA41,AA46,AA50,AA54,AA58,AA62,#REF!,#REF!,#REF!,#REF!)</f>
        <v>#REF!</v>
      </c>
      <c r="I205" s="1674" t="e">
        <f>SUM(I159,I162,I157,I134,I126,MN129,QU131,#REF!,JM121,I119,I113,I109,#REF!,BX25,#REF!,#REF!,#REF!,AB35,AB41,AB46,AB50,AB54,AB58,AB62,#REF!,#REF!,#REF!,#REF!)</f>
        <v>#REF!</v>
      </c>
      <c r="J205" s="1674" t="e">
        <f>SUM(J159,J162,J157,J134,J126,MO129,QV131,#REF!,JN121,J119,J113,J109,#REF!,BY25,#REF!,#REF!,#REF!,AC35,AC41,AC46,AC50,AC54,AC58,AC62,#REF!,#REF!,#REF!,#REF!)</f>
        <v>#REF!</v>
      </c>
      <c r="K205" s="1674" t="e">
        <f>SUM(K159,K162,K157,K134,K126,MP129,QW131,#REF!,JO121,K119,K113,K109,#REF!,BZ25,#REF!,#REF!,#REF!,AD35,AD41,AD46,AD50,AD54,AD58,AD62,#REF!,#REF!,#REF!,#REF!)</f>
        <v>#REF!</v>
      </c>
      <c r="L205" s="1674" t="e">
        <f>SUM(L159,L162,L157,L134,L126,MQ129,QX131,#REF!,JP121,L119,L113,L109,#REF!,CA25,#REF!,CY25,#REF!,AE35,AE41,AE46,AE50,AE54,AE58,AE62,#REF!,#REF!,#REF!,#REF!)</f>
        <v>#REF!</v>
      </c>
      <c r="M205" s="1674" t="e">
        <f>SUM(M159,M162,M157,M134,M126,MR129,QY131,#REF!,JQ121,M119,M113,M109,#REF!,CB25,#REF!,DE20,#REF!,AF35,AF41,AF46,AF50,AF54,AF58,AF62,#REF!,#REF!,#REF!,#REF!)</f>
        <v>#REF!</v>
      </c>
      <c r="N205" s="1674" t="e">
        <f>SUM(N159,N162,N157,N134,N126,MS129,QZ131,#REF!,JR121,N119,N113,N109,#REF!,CF25,#REF!,DF20,#REF!,AG35,AG41,AG46,AG50,AG54,AG58,AG62,#REF!,#REF!,#REF!,#REF!)</f>
        <v>#REF!</v>
      </c>
      <c r="O205" s="1674" t="e">
        <f>SUM(O159,O162,O157,O134,O126,MT129,RA131,#REF!,JS121,O119,O113,O109,#REF!,CG25,#REF!,DG20,#REF!,AH35,AH41,AH46,AH50,AH54,AH58,AH62,#REF!,#REF!,#REF!,#REF!)</f>
        <v>#REF!</v>
      </c>
      <c r="P205" s="1674" t="e">
        <f>SUM(P159,P162,P157,P134,P126,MU129,RB131,#REF!,JT121,P119,P113,P109,#REF!,CH25,#REF!,DH20,#REF!,AI35,AI41,AI46,AI50,AI54,AI58,AI62,#REF!,#REF!,#REF!,#REF!)</f>
        <v>#REF!</v>
      </c>
      <c r="Q205" s="1674" t="e">
        <f>SUM(Q159,Q162,Q157,Q134,Q126,MV129,RC131,B124,JU121,Q119,Q113,Q109,#REF!,CI25,#REF!,DI20,#REF!,AJ35,AJ41,AJ46,AJ50,AJ54,AJ58,AJ62,#REF!,#REF!,#REF!,#REF!)</f>
        <v>#REF!</v>
      </c>
      <c r="R205" s="1674" t="e">
        <f>SUM(R159,R162,R157,R134,R126,MW129,RD131,C124,JV121,R119,R113,R109,#REF!,#REF!,#REF!,DJ20,#REF!,AK35,AK41,AK46,AK50,AK54,AK58,AK62,#REF!,#REF!,#REF!,#REF!)</f>
        <v>#REF!</v>
      </c>
      <c r="S205" s="1674" t="e">
        <f>SUM(S159,S162,S157,S134,S126,MX129,RE131,D124,JW121,S119,S113,S109,BT20,CJ25,#REF!,DK20,#REF!,AL35,AL41,AL46,AL50,AL54,AL58,AL62,#REF!,#REF!,#REF!,#REF!)</f>
        <v>#REF!</v>
      </c>
      <c r="T205" s="1674" t="e">
        <f>SUM(T159,T162,T157,T134,T126,MY129,RF131,E124,JX121,T119,T113,T109,BU20,#REF!,#REF!,DL20,#REF!,AM35,AM41,AM46,AM50,AM54,AM58,AM62,#REF!,#REF!,#REF!,#REF!)</f>
        <v>#REF!</v>
      </c>
      <c r="U205" s="1674" t="e">
        <f>SUM(U159,U162,U157,U134,U126,MZ129,RG131,F124,JY121,U119,U113,U109,BV20,#REF!,#REF!,DM20,#REF!,AN35,AN41,AN46,AN50,AN54,AN58,AN62,#REF!,#REF!,#REF!,#REF!)</f>
        <v>#REF!</v>
      </c>
      <c r="V205" s="1674" t="e">
        <f>SUM(V159,V162,V157,V134,V126,NA129,RH131,G124,JZ121,V119,V113,V109,BW20,#REF!,DT16,DN20,CZ25,AO35,AO41,AO46,AO50,AO54,AO58,AO62,#REF!,#REF!,#REF!,#REF!)</f>
        <v>#REF!</v>
      </c>
      <c r="W205" s="1674" t="e">
        <f>SUM(W159,W162,W157,W134,W126,NB129,RI131,H124,KA121,W119,W113,W109,BX20,#REF!,DU16,DO20,DA25,AP35,AP41,AP46,AP50,AP54,AP58,AP62,#REF!,#REF!,#REF!,#REF!)</f>
        <v>#REF!</v>
      </c>
      <c r="X205" s="1674" t="e">
        <f>SUM(X159,X162,X157,X134,X126,NC129,RJ131,I124,KB121,#REF!,X113,X109,#REF!,#REF!,DV16,DP20,DB25,AQ35,AQ41,AQ46,AQ50,AQ54,AQ58,AQ62,#REF!,#REF!,#REF!,#REF!)</f>
        <v>#REF!</v>
      </c>
      <c r="Y205" s="1674" t="e">
        <f>SUM(Y159,Y162,Y157,Y134,Y126,ND129,RK131,J124,KC121,#REF!,Y113,Y109,#REF!,#REF!,DW16,DQ20,#REF!,AR35,AR41,AR46,AR50,AR54,AR58,AR62,#REF!,#REF!,#REF!,#REF!)</f>
        <v>#REF!</v>
      </c>
      <c r="Z205" s="1674" t="e">
        <f>SUM(Z159,Z162,Z157,Z134,Z126,NE129,RL131,K124,KD121,#REF!,Z113,Z109,#REF!,#REF!,DX16,DR20,#REF!,AS35,AS41,AS46,AS50,AS54,AS58,AS62,#REF!,#REF!,#REF!,#REF!)</f>
        <v>#REF!</v>
      </c>
      <c r="AA205" s="1674" t="e">
        <f>SUM(AA159,AA162,AA157,AA134,AA126,NF129,RM131,L124,KE121,#REF!,AA113,AA109,#REF!,#REF!,DY16,DS20,DC25,AT35,AT41,AT46,AT50,AT54,AT58,AT62,#REF!,#REF!,#REF!,#REF!)</f>
        <v>#REF!</v>
      </c>
      <c r="AB205" s="1674" t="e">
        <f>SUM(AB159,AB162,AB157,#REF!,AB126,NG129,RN131,M124,KF121,#REF!,AB113,AB109,#REF!,#REF!,DZ16,DT20,DD25,AU35,AU41,AU46,AU50,AU54,AU58,AU62,#REF!,#REF!,#REF!,#REF!)</f>
        <v>#REF!</v>
      </c>
      <c r="AC205" s="1674" t="e">
        <f>SUM(AC159,AC162,AC157,#REF!,AC126,NH129,RO131,N124,KG121,#REF!,AC113,AC109,#REF!,#REF!,EA16,DU20,DE25,AV35,AV41,AV46,AV50,AV54,AV58,AV62,#REF!,#REF!,#REF!,#REF!)</f>
        <v>#REF!</v>
      </c>
      <c r="AD205" s="1674" t="e">
        <f>SUM(AD159,AD162,AD157,#REF!,AD126,NI129,RP131,O124,KH121,#REF!,AD113,AD109,#REF!,#REF!,EB16,DV20,DF25,AW35,AW41,#REF!,#REF!,#REF!,#REF!,#REF!,#REF!,#REF!,#REF!,#REF!)</f>
        <v>#REF!</v>
      </c>
      <c r="AE205" s="1674" t="e">
        <f>SUM(AE159,AE162,AE157,#REF!,AE126,NJ129,RQ131,P124,KI121,#REF!,AE113,AE109,#REF!,#REF!,EC16,DW20,#REF!,AX35,AX41,#REF!,#REF!,#REF!,#REF!,#REF!,#REF!,#REF!,#REF!,#REF!)</f>
        <v>#REF!</v>
      </c>
      <c r="AF205" s="1674" t="e">
        <f>SUM(AF159,AF162,AF157,#REF!,AF126,NK129,RR131,Q124,KJ121,#REF!,AF113,AF109,#REF!,#REF!,ED16,DX20,#REF!,AY35,AY41,#REF!,#REF!,#REF!,#REF!,#REF!,#REF!,#REF!,#REF!,#REF!)</f>
        <v>#REF!</v>
      </c>
      <c r="AG205" s="1674" t="e">
        <f>SUM(AG159,AG162,AG157,#REF!,AG126,NL129,RS131,R124,KK121,#REF!,AG113,AG109,#REF!,#REF!,EE16,DY20,#REF!,AZ35,AZ41,#REF!,#REF!,#REF!,#REF!,#REF!,#REF!,#REF!,#REF!,#REF!)</f>
        <v>#REF!</v>
      </c>
      <c r="AH205" s="1674" t="e">
        <f>SUM(AH159,AH162,AH157,#REF!,AH126,NM129,RT131,S124,KL121,#REF!,AH113,AH109,#REF!,#REF!,EF16,DZ20,#REF!,BA35,BA41,#REF!,#REF!,#REF!,#REF!,#REF!,#REF!,#REF!,#REF!,#REF!)</f>
        <v>#REF!</v>
      </c>
      <c r="AI205" s="1674" t="e">
        <f>SUM(AI159,AI162,AI157,#REF!,AI126,NN129,RU131,T124,KM121,#REF!,AI113,AI109,#REF!,#REF!,EG16,EA20,#REF!,BB35,BB41,#REF!,#REF!,#REF!,#REF!,#REF!,#REF!,#REF!,#REF!,#REF!)</f>
        <v>#REF!</v>
      </c>
      <c r="AJ205" s="1674" t="e">
        <f>SUM(AJ159,AJ162,AJ157,#REF!,AJ126,NO129,RV131,U124,KN121,#REF!,AJ113,AJ109,BW8,#REF!,EH16,EB20,#REF!,BC35,BC41,#REF!,#REF!,#REF!,#REF!,#REF!,#REF!,#REF!,#REF!,#REF!)</f>
        <v>#REF!</v>
      </c>
      <c r="AK205" s="1674" t="e">
        <f>SUM(AK159,AK162,AK157,#REF!,AK126,NP129,RW131,V124,KO121,#REF!,AK113,AK109,BY8,#REF!,EI16,EC20,#REF!,BD35,BD41,#REF!,#REF!,#REF!,#REF!,#REF!,#REF!,#REF!,#REF!,#REF!)</f>
        <v>#REF!</v>
      </c>
      <c r="AL205" s="1674" t="e">
        <f>SUM(AL159,AL162,AL157,#REF!,AL126,NQ129,RX131,W124,KP121,#REF!,AL113,AL109,BZ8,#REF!,EJ16,ED20,#REF!,BE35,BE41,#REF!,#REF!,#REF!,#REF!,#REF!,#REF!,#REF!,#REF!,#REF!)</f>
        <v>#REF!</v>
      </c>
      <c r="AM205" s="1674" t="e">
        <f>SUM(AM159,AM162,AM157,#REF!,AM126,NR129,RY131,X124,KQ121,#REF!,AM113,AM109,#REF!,#REF!,EK16,EE20,#REF!,BF35,BF41,#REF!,#REF!,#REF!,#REF!,#REF!,#REF!,#REF!,#REF!,#REF!)</f>
        <v>#REF!</v>
      </c>
      <c r="AN205" s="1674" t="e">
        <f>SUM(AN159,AN162,AN157,#REF!,AN126,NS129,RZ131,Y124,KR121,#REF!,AN113,AN109,#REF!,#REF!,EL16,EF20,#REF!,BG35,BG41,#REF!,#REF!,#REF!,#REF!,#REF!,#REF!,#REF!,#REF!,#REF!)</f>
        <v>#REF!</v>
      </c>
      <c r="AO205" s="1674" t="e">
        <f>SUM(AO159,AO162,AO157,#REF!,AO126,NT129,SA131,Z124,KS121,#REF!,AO113,AO109,#REF!,#REF!,EM16,EG20,#REF!,BH35,BH41,#REF!,#REF!,#REF!,#REF!,#REF!,#REF!,#REF!,#REF!,#REF!)</f>
        <v>#REF!</v>
      </c>
      <c r="AP205" s="1674" t="e">
        <f>SUM(AP159,AP162,AP157,#REF!,AP126,NU129,SB131,AA124,KT121,#REF!,AP113,AP109,#REF!,#REF!,EN16,EH20,#REF!,#REF!,#REF!,#REF!,#REF!,#REF!,#REF!,#REF!,#REF!,#REF!,#REF!,#REF!)</f>
        <v>#REF!</v>
      </c>
      <c r="AQ205" s="1674" t="e">
        <f>SUM(AQ159,AQ162,AQ157,#REF!,AQ126,NV129,SC131,AB124,KU121,#REF!,AQ113,AQ109,#REF!,#REF!,EO16,EI20,#REF!,#REF!,#REF!,#REF!,#REF!,#REF!,#REF!,#REF!,#REF!,#REF!,#REF!,#REF!)</f>
        <v>#REF!</v>
      </c>
      <c r="AR205" s="1674" t="e">
        <f>SUM(AR159,AR162,AR157,#REF!,AR126,NW129,SD131,AC124,KV121,#REF!,AR113,AR109,#REF!,#REF!,EP16,EJ20,#REF!,#REF!,#REF!,#REF!,#REF!,#REF!,#REF!,#REF!,#REF!,#REF!,#REF!,#REF!)</f>
        <v>#REF!</v>
      </c>
      <c r="AS205" s="1674" t="e">
        <f>SUM(AS159,AS162,AS157,#REF!,AS126,NX129,SE131,AD124,KW121,#REF!,AS113,AS109,#REF!,#REF!,EQ16,EK20,#REF!,#REF!,#REF!,#REF!,#REF!,#REF!,#REF!,#REF!,#REF!,#REF!,#REF!,#REF!)</f>
        <v>#REF!</v>
      </c>
      <c r="AT205" s="1674" t="e">
        <f>SUM(AT159,AT162,AT157,#REF!,AT126,NY129,SF131,AE124,KX121,AT119,AT113,AT109,#REF!,#REF!,ER16,EL20,#REF!,#REF!,#REF!,#REF!,#REF!,#REF!,#REF!,#REF!,#REF!,#REF!,#REF!,#REF!)</f>
        <v>#REF!</v>
      </c>
      <c r="AU205" s="1674" t="e">
        <f>SUM(AU159,AU162,AU157,#REF!,AU126,NZ129,SG131,AF124,KY121,AU119,AU113,AU109,#REF!,#REF!,ES16,EM20,#REF!,#REF!,#REF!,#REF!,#REF!,#REF!,#REF!,#REF!,#REF!,#REF!,#REF!,#REF!)</f>
        <v>#REF!</v>
      </c>
      <c r="AV205" s="1674" t="e">
        <f>SUM(AV159,AV162,AV157,#REF!,AV126,OA129,SH131,AG124,KZ121,AV119,AV113,AV109,#REF!,#REF!,ET16,#REF!,#REF!,#REF!,#REF!,#REF!,#REF!,#REF!,#REF!,#REF!,#REF!,#REF!,#REF!,#REF!)</f>
        <v>#REF!</v>
      </c>
      <c r="AW205" s="1674" t="e">
        <f>SUM(AW159,AW162,AW157,#REF!,AW126,OB129,SI131,AH124,LA121,AW119,AW113,AW109,CA8,#REF!,EU16,#REF!,#REF!,#REF!,#REF!,#REF!,#REF!,#REF!,#REF!,#REF!,#REF!,#REF!,#REF!,#REF!)</f>
        <v>#REF!</v>
      </c>
      <c r="AX205" s="1674" t="e">
        <f>SUM(AX159,AX162,AX157,#REF!,AX126,OC129,SJ131,AI124,LB121,AX119,AX113,AX109,CB8,#REF!,EV16,#REF!,#REF!,#REF!,#REF!,#REF!,#REF!,#REF!,#REF!,#REF!,#REF!,#REF!,#REF!,#REF!)</f>
        <v>#REF!</v>
      </c>
      <c r="AY205" s="1674" t="e">
        <f>SUM(AY159,AY162,AY157,#REF!,AY126,OD129,SK131,AJ124,LC121,AY119,AY113,AY109,CD8,#REF!,EW16,#REF!,#REF!,#REF!,#REF!,#REF!,#REF!,#REF!,#REF!,#REF!,#REF!,#REF!,#REF!,#REF!)</f>
        <v>#REF!</v>
      </c>
      <c r="AZ205" s="1674" t="e">
        <f>SUM(AZ159,AZ162,AZ157,#REF!,AZ126,OE129,SL131,AK124,LD121,AZ119,AZ113,AZ109,CE8,#REF!,EX16,DV20,#REF!,#REF!,#REF!,#REF!,#REF!,#REF!,#REF!,#REF!,#REF!,E74,E78,E82)</f>
        <v>#REF!</v>
      </c>
      <c r="BA205" s="1674" t="e">
        <f>SUM(BA159,BA162,BA157,#REF!,BA126,OF129,SM131,BN124,LE121,BA119,BA113,BA109,CF8,#REF!,EY16,DW20,#REF!,#REF!,#REF!,#REF!,#REF!,#REF!,#REF!,#REF!,#REF!,#REF!,#REF!,#REF!)</f>
        <v>#REF!</v>
      </c>
      <c r="BB205" s="1674" t="e">
        <f>SUM(BB159,BB162,BB157,AB134,BB126,OG129,SN131,BO124,LF121,BB119,BB113,BB109,CG8,#REF!,EZ16,DX20,#REF!,#REF!,#REF!,#REF!,#REF!,#REF!,#REF!,#REF!,#REF!,#REF!,#REF!,#REF!)</f>
        <v>#REF!</v>
      </c>
      <c r="BC205" s="1674" t="e">
        <f>SUM(BC159,BC162,BC157,AC134,BC126,OH129,SO131,BP124,LG121,BC119,BC113,BC109,CH8,#REF!,FA16,DY20,#REF!,#REF!,#REF!,#REF!,#REF!,#REF!,#REF!,#REF!,#REF!,#REF!,#REF!,#REF!)</f>
        <v>#REF!</v>
      </c>
      <c r="BD205" s="1674" t="e">
        <f>SUM(BD159,BD162,BD157,AD134,BD126,OI129,SP131,BQ124,LH121,BD119,BD113,BD109,CI8,#REF!,FB16,DZ20,#REF!,#REF!,#REF!,#REF!,#REF!,#REF!,#REF!,#REF!,#REF!,#REF!,#REF!,#REF!)</f>
        <v>#REF!</v>
      </c>
      <c r="BE205" s="1674" t="e">
        <f>SUM(BE159,BE162,BE157,AE134,BE126,OJ129,SQ131,BR124,LI121,BE119,BE113,BE109,CJ8,#REF!,FC16,EA20,#REF!,#REF!,#REF!,#REF!,#REF!,#REF!,#REF!,#REF!,#REF!,#REF!,#REF!,#REF!)</f>
        <v>#REF!</v>
      </c>
      <c r="BF205" s="1674" t="e">
        <f>SUM(BF159,BF162,BF157,AF134,BF126,OK129,SR131,BS124,LJ121,BF119,BF113,BF109,CK8,#REF!,FD16,EB20,#REF!,#REF!,#REF!,#REF!,#REF!,#REF!,#REF!,#REF!,#REF!,#REF!,#REF!,#REF!)</f>
        <v>#REF!</v>
      </c>
      <c r="BG205" s="1674" t="e">
        <f>SUM(BG159,BG162,BG157,AG134,BG126,OL129,SS131,BT124,LK121,BG119,BG113,BG109,CL8,#REF!,FE16,EC20,#REF!,#REF!,#REF!,#REF!,#REF!,#REF!,#REF!,#REF!,#REF!,#REF!,#REF!,#REF!)</f>
        <v>#REF!</v>
      </c>
      <c r="BH205" s="1674" t="e">
        <f>SUM(BH159,BH162,BH157,AH134,BH126,OM129,ST131,BU124,LL121,BH119,BH113,BH109,CM8,#REF!,FF16,ED20,#REF!,#REF!,#REF!,#REF!,#REF!,#REF!,#REF!,#REF!,#REF!,#REF!,#REF!,#REF!)</f>
        <v>#REF!</v>
      </c>
      <c r="BI205" s="1674" t="e">
        <f>SUM(BI159,BI162,BI157,AI134,BI126,ON129,SU131,AT124,LM121,BI119,BI113,BI109,CN8,#REF!,FG16,EE20,#REF!,#REF!,#REF!,#REF!,#REF!,#REF!,#REF!,#REF!,#REF!,#REF!,#REF!,#REF!)</f>
        <v>#REF!</v>
      </c>
      <c r="BJ205" s="1674" t="e">
        <f>SUM(BJ159,BJ162,BJ157,AJ134,BJ126,OO129,SV131,AU124,LN121,BJ119,BJ113,BJ109,CO8,#REF!,FH16,EF20,#REF!,#REF!,#REF!,#REF!,#REF!,#REF!,#REF!,#REF!,#REF!,#REF!,#REF!,#REF!)</f>
        <v>#REF!</v>
      </c>
      <c r="BK205" s="1674" t="e">
        <f>SUM(BK159,BK162,BK157,AK134,BK126,OP129,SW131,AV124,LO121,BK119,BK113,BK109,CP8,#REF!,FI16,EG20,#REF!,#REF!,#REF!,#REF!,#REF!,#REF!,#REF!,#REF!,#REF!,#REF!,#REF!,#REF!)</f>
        <v>#REF!</v>
      </c>
      <c r="BL205" s="1674" t="e">
        <f>SUM(BL159,BL162,BL157,AL134,BL126,OQ129,SX131,AW124,LP121,BL119,BL113,BL109,CQ8,#REF!,FJ16,EH20,#REF!,#REF!,#REF!,#REF!,#REF!,#REF!,#REF!,#REF!,#REF!,#REF!,#REF!,#REF!)</f>
        <v>#REF!</v>
      </c>
      <c r="BM205" s="1674" t="e">
        <f>SUM(BM159,BM162,BM157,AM134,BM126,OR129,SY131,AX124,LQ121,BM119,BM113,BM109,CR8,#REF!,FK16,EI20,#REF!,#REF!,#REF!,#REF!,#REF!,#REF!,#REF!,CG62,#REF!,#REF!,#REF!,#REF!)</f>
        <v>#REF!</v>
      </c>
      <c r="BN205" s="1674" t="e">
        <f>SUM(BN159,BN162,BN157,AN134,BN126,OS129,SZ131,AY124,LR121,BN119,BN113,#REF!,CS8,#REF!,FL16,EJ20,#REF!,#REF!,#REF!,#REF!,#REF!,#REF!,#REF!,CH62,#REF!,#REF!,#REF!,#REF!)</f>
        <v>#REF!</v>
      </c>
      <c r="BO205" s="1674" t="e">
        <f>SUM(BO159,BO162,BO157,AO134,BO126,OT129,TA131,AZ124,LS121,BO119,BO113,#REF!,CT8,#REF!,FM16,EK20,EM25,#REF!,BU41,#REF!,#REF!,#REF!,#REF!,CI62,#REF!,#REF!,#REF!,#REF!)</f>
        <v>#REF!</v>
      </c>
      <c r="BP205" s="1674" t="e">
        <f>SUM(BP159,BP162,BP157,AP134,BP126,OU129,TB131,BA124,LT121,BP119,BP113,#REF!,CU8,#REF!,FN16,EL20,EP25,#REF!,BV41,#REF!,#REF!,#REF!,#REF!,CJ62,#REF!,#REF!,#REF!,#REF!)</f>
        <v>#REF!</v>
      </c>
      <c r="BQ205" s="1674" t="e">
        <f>SUM(BQ159,BQ162,BQ157,AQ134,BQ126,OV129,TC131,BB124,LU121,BQ119,BQ113,#REF!,CV8,#REF!,FO16,EM20,#REF!,#REF!,BX41,#REF!,#REF!,#REF!,#REF!,CK62,#REF!,#REF!,#REF!,#REF!)</f>
        <v>#REF!</v>
      </c>
      <c r="BR205" s="1674" t="e">
        <f>SUM(BR159,BR162,BR157,AR134,BR126,OW129,TD131,BC124,LV121,BR119,BR113,#REF!,CW8,#REF!,FP16,#REF!,#REF!,#REF!,BY41,#REF!,#REF!,#REF!,#REF!,#REF!,#REF!,#REF!,#REF!,#REF!)</f>
        <v>#REF!</v>
      </c>
      <c r="BS205" s="1674" t="e">
        <f>SUM(BS159,BS162,BS157,AS134,BS126,OX129,TE131,BD124,LW121,BS119,BS113,#REF!,CX8,#REF!,FQ16,#REF!,#REF!,#REF!,BZ41,CB46,#REF!,#REF!,#REF!,#REF!,#REF!,#REF!,#REF!,#REF!)</f>
        <v>#REF!</v>
      </c>
      <c r="BT205" s="1674" t="e">
        <f>SUM(BT159,BT162,BT157,AT134,BT126,OY129,TF131,BE124,LX121,BT119,BT113,#REF!,CY8,#REF!,FR16,#REF!,#REF!,#REF!,CA41,#REF!,#REF!,#REF!,#REF!,#REF!,#REF!,#REF!,#REF!,#REF!)</f>
        <v>#REF!</v>
      </c>
      <c r="BU205" s="1674" t="e">
        <f>SUM(BU159,BU162,BU157,AU134,BU126,OZ129,TG131,BF124,LY121,BU119,BU113,#REF!,CZ8,#REF!,FS16,#REF!,#REF!,#REF!,CB41,#REF!,#REF!,#REF!,#REF!,#REF!,#REF!,#REF!,#REF!,#REF!)</f>
        <v>#REF!</v>
      </c>
      <c r="BV205" s="1674" t="e">
        <f>SUM(BV159,BV162,BV157,AV134,BV126,PA129,TH131,BG124,LZ121,BV119,BV113,#REF!,DA8,#REF!,FT16,#REF!,EQ25,#REF!,CC41,#REF!,#REF!,#REF!,#REF!,#REF!,#REF!,#REF!,#REF!,#REF!)</f>
        <v>#REF!</v>
      </c>
      <c r="BW205" s="1674" t="e">
        <f>SUM(BW159,BW162,BW157,AW134,BW126,PB129,TI131,BH124,MA121,BW119,BW113,#REF!,#REF!,#REF!,FU16,#REF!,#REF!,#REF!,CD41,#REF!,#REF!,#REF!,#REF!,#REF!,#REF!,#REF!,#REF!,#REF!)</f>
        <v>#REF!</v>
      </c>
      <c r="BX205" s="1674" t="e">
        <f>SUM(BX159,BX162,BX157,AX134,BX126,PC129,TJ131,BI124,MB121,BX119,BX113,#REF!,#REF!,#REF!,FV16,#REF!,#REF!,#REF!,CE41,#REF!,#REF!,#REF!,#REF!,#REF!,#REF!,#REF!,#REF!,#REF!)</f>
        <v>#REF!</v>
      </c>
      <c r="BY205" s="1674" t="e">
        <f>SUM(BY159,BY162,BY157,AY134,BY126,PD129,TK131,BJ124,MC121,BY119,BY113,#REF!,#REF!,#REF!,FW16,#REF!,#REF!,#REF!,CF41,#REF!,#REF!,#REF!,#REF!,#REF!,#REF!,#REF!,#REF!,#REF!)</f>
        <v>#REF!</v>
      </c>
      <c r="BZ205" s="1674" t="e">
        <f>SUM(BZ159,BZ162,BZ157,AZ134,BZ126,PE129,TL131,BK124,MD121,BZ119,BZ113,#REF!,#REF!,#REF!,FX16,#REF!,#REF!,#REF!,#REF!,#REF!,#REF!,#REF!,#REF!,#REF!,#REF!,#REF!,#REF!,#REF!)</f>
        <v>#REF!</v>
      </c>
      <c r="CA205" s="1674" t="e">
        <f>SUM(CA159,CA162,CA157,BA134,CA126,PF129,TM131,BL124,ME121,CA119,CA113,#REF!,#REF!,#REF!,FY16,#REF!,#REF!,#REF!,#REF!,#REF!,#REF!,#REF!,#REF!,#REF!,#REF!,#REF!,#REF!,#REF!)</f>
        <v>#REF!</v>
      </c>
      <c r="CB205" s="1674" t="e">
        <f>SUM(CB159,CB162,CB157,BB134,CB126,PG129,TN131,BM124,MF121,CB119,#REF!,#REF!,#REF!,#REF!,FZ16,#REF!,#REF!,#REF!,#REF!,#REF!,#REF!,#REF!,#REF!,#REF!,#REF!,#REF!,#REF!,#REF!)</f>
        <v>#REF!</v>
      </c>
      <c r="CC205" s="1674" t="e">
        <f>SUM(CC159,CC162,CC157,BC134,CC126,PH129,TO131,#REF!,MG121,CC119,#REF!,#REF!,#REF!,#REF!,GA16,EN20,#REF!,#REF!,#REF!,#REF!,#REF!,#REF!,#REF!,#REF!,#REF!,#REF!,#REF!,#REF!)</f>
        <v>#REF!</v>
      </c>
      <c r="CD205" s="1674" t="e">
        <f>SUM(CD159,CD162,CD157,BD134,CD126,PI129,TP131,#REF!,MH121,CD119,#REF!,#REF!,#REF!,#REF!,GB16,#REF!,#REF!,#REF!,#REF!,#REF!,#REF!,#REF!,#REF!,#REF!,#REF!,#REF!,#REF!,#REF!)</f>
        <v>#REF!</v>
      </c>
      <c r="CE205" s="1674" t="e">
        <f>SUM(CE159,CE162,CE157,BE134,CE126,PJ129,TQ131,#REF!,MI121,CE119,#REF!,#REF!,#REF!,#REF!,GC16,#REF!,#REF!,#REF!,#REF!,#REF!,#REF!,#REF!,#REF!,#REF!,#REF!,#REF!,#REF!,#REF!)</f>
        <v>#REF!</v>
      </c>
      <c r="CF205" s="1674" t="e">
        <f>SUM(CF159,CF162,CF157,BF134,CF126,PK129,TR131,#REF!,MJ121,CF119,#REF!,#REF!,#REF!,#REF!,GD16,#REF!,#REF!,#REF!,#REF!,#REF!,#REF!,#REF!,#REF!,#REF!,#REF!,#REF!,#REF!,#REF!)</f>
        <v>#REF!</v>
      </c>
      <c r="CG205" s="1674" t="e">
        <f>SUM(CG159,CG162,CG157,BG134,CG126,PL129,TS131,#REF!,MK121,CG119,#REF!,#REF!,#REF!,#REF!,GE16,#REF!,#REF!,#REF!,#REF!,#REF!,#REF!,#REF!,#REF!,#REF!,#REF!,#REF!,#REF!,#REF!)</f>
        <v>#REF!</v>
      </c>
      <c r="CH205" s="1674" t="e">
        <f>SUM(CH159,CH162,CH157,BH134,CH126,PM129,TT131,#REF!,ML121,CH119,#REF!,#REF!,#REF!,#REF!,GF16,#REF!,#REF!,#REF!,#REF!,#REF!,#REF!,#REF!,#REF!,#REF!,#REF!,#REF!,#REF!,#REF!)</f>
        <v>#REF!</v>
      </c>
      <c r="CI205" s="1674" t="e">
        <f>SUM(CI159,CI162,CI157,BI134,CI126,PN129,TU131,#REF!,MM121,CI119,#REF!,#REF!,#REF!,#REF!,GG16,EO20,#REF!,#REF!,#REF!,#REF!,#REF!,#REF!,#REF!,#REF!,#REF!,#REF!,#REF!,#REF!)</f>
        <v>#REF!</v>
      </c>
      <c r="CJ205" s="1674" t="e">
        <f>SUM(CJ159,CJ162,CJ157,BJ134,CJ126,PO129,TV131,#REF!,MN121,CJ119,#REF!,#REF!,#REF!,#REF!,GH16,EP20,#REF!,#REF!,#REF!,#REF!,#REF!,#REF!,#REF!,#REF!,#REF!,#REF!,#REF!,#REF!)</f>
        <v>#REF!</v>
      </c>
      <c r="CK205" s="1674" t="e">
        <f>SUM(CK159,CK162,CK157,BK134,CK126,PP129,TW131,BV124,MO121,CK119,#REF!,#REF!,#REF!,#REF!,GI16,EQ20,#REF!,#REF!,#REF!,#REF!,#REF!,#REF!,#REF!,#REF!,#REF!,#REF!,#REF!,#REF!)</f>
        <v>#REF!</v>
      </c>
      <c r="CL205" s="1674" t="e">
        <f>SUM(CL159,CL162,CL157,BL134,CL126,PQ129,TX131,BW124,MP121,CL119,#REF!,#REF!,#REF!,#REF!,GJ16,ER20,#REF!,#REF!,#REF!,#REF!,#REF!,#REF!,#REF!,#REF!,#REF!,#REF!,#REF!,#REF!)</f>
        <v>#REF!</v>
      </c>
      <c r="CM205" s="1674" t="e">
        <f>SUM(CM159,CM162,CM157,BM134,CM126,PR129,TY131,BX124,MQ121,CM119,#REF!,#REF!,#REF!,#REF!,GK16,ES20,#REF!,#REF!,#REF!,#REF!,#REF!,#REF!,#REF!,#REF!,#REF!,#REF!,#REF!,#REF!)</f>
        <v>#REF!</v>
      </c>
      <c r="CN205" s="1674" t="e">
        <f>SUM(CN159,CN162,CN157,BN134,CN126,PS129,TZ131,BY124,MR121,CN119,#REF!,#REF!,#REF!,#REF!,GL16,ET20,#REF!,#REF!,#REF!,#REF!,#REF!,#REF!,#REF!,#REF!,#REF!,#REF!,#REF!,#REF!)</f>
        <v>#REF!</v>
      </c>
      <c r="CO205" s="1674" t="e">
        <f>SUM(CO159,CO162,CO157,BO134,CO126,PT129,UA131,BZ124,MS121,CO119,#REF!,#REF!,#REF!,#REF!,GM16,EU20,#REF!,#REF!,#REF!,#REF!,#REF!,#REF!,#REF!,#REF!,#REF!,#REF!,#REF!,#REF!)</f>
        <v>#REF!</v>
      </c>
      <c r="CP205" s="1674" t="e">
        <f>SUM(CP159,CP162,CP157,BP134,CP126,PU129,UB131,CA124,MT121,CP119,#REF!,#REF!,#REF!,#REF!,GN16,EV20,#REF!,#REF!,#REF!,#REF!,#REF!,#REF!,#REF!,#REF!,#REF!,#REF!,#REF!,#REF!)</f>
        <v>#REF!</v>
      </c>
      <c r="CQ205" s="1674" t="e">
        <f>SUM(CQ159,CQ162,CQ157,BQ134,CQ126,PV129,UC131,CB124,MU121,CQ119,#REF!,#REF!,#REF!,#REF!,GO16,EW20,#REF!,#REF!,#REF!,#REF!,#REF!,#REF!,#REF!,#REF!,#REF!,#REF!,#REF!,#REF!)</f>
        <v>#REF!</v>
      </c>
      <c r="CR205" s="1674" t="e">
        <f>SUM(CR159,CR162,CR157,BR134,CR126,PW129,UD131,CC124,MV121,CR119,#REF!,#REF!,#REF!,#REF!,GP16,EY20,#REF!,#REF!,#REF!,#REF!,#REF!,#REF!,#REF!,#REF!,#REF!,#REF!,#REF!,#REF!)</f>
        <v>#REF!</v>
      </c>
      <c r="CS205" s="1674" t="e">
        <f>SUM(CS159,CS162,CS157,BS134,CS126,PX129,UE131,CD124,MW121,CS119,#REF!,#REF!,#REF!,#REF!,GQ16,EZ20,#REF!,#REF!,#REF!,#REF!,#REF!,#REF!,#REF!,#REF!,#REF!,#REF!,#REF!,#REF!)</f>
        <v>#REF!</v>
      </c>
      <c r="CT205" s="1674" t="e">
        <f>SUM(CT159,CT162,CT157,BT134,CT126,PY129,UF131,CE124,MX121,CT119,#REF!,#REF!,#REF!,#REF!,GR16,FA20,#REF!,#REF!,#REF!,#REF!,#REF!,#REF!,#REF!,#REF!,#REF!,#REF!,#REF!,#REF!)</f>
        <v>#REF!</v>
      </c>
      <c r="CU205" s="1674" t="e">
        <f>SUM(CU159,CU162,CU157,BU134,CU126,PZ129,UG131,CF124,MY121,CU119,#REF!,#REF!,#REF!,#REF!,GS16,FB20,#REF!,#REF!,#REF!,#REF!,CO50,CL54,CL58,#REF!,#REF!,#REF!,#REF!,#REF!)</f>
        <v>#REF!</v>
      </c>
      <c r="CV205" s="1674" t="e">
        <f>SUM(CV159,CV162,CV157,BV134,CV126,QA129,UH131,CG124,MZ121,CV119,#REF!,#REF!,#REF!,#REF!,GT16,FC20,#REF!,#REF!,#REF!,#REF!,CP50,CM54,CM58,#REF!,#REF!,#REF!,#REF!,#REF!)</f>
        <v>#REF!</v>
      </c>
      <c r="CW205" s="1674" t="e">
        <f>SUM(CW159,CW162,CW157,BW134,CW126,QB129,UI131,CH124,NA121,CW119,#REF!,#REF!,#REF!,#REF!,GU16,FD20,#REF!,#REF!,#REF!,CC46,CQ50,CN54,CN58,#REF!,#REF!,#REF!,#REF!,#REF!)</f>
        <v>#REF!</v>
      </c>
      <c r="CX205" s="1674" t="e">
        <f>SUM(CX159,CX162,CX157,BX134,CX126,QC129,UJ131,CI124,NB121,CX119,#REF!,#REF!,#REF!,#REF!,GV16,FE20,#REF!,#REF!,#REF!,CD46,#REF!,#REF!,#REF!,#REF!,#REF!,#REF!,#REF!,#REF!)</f>
        <v>#REF!</v>
      </c>
      <c r="CY205" s="1674" t="e">
        <f>SUM(CY159,CY162,CY157,BY134,CY126,QD129,UK131,CJ124,NC121,CY119,#REF!,#REF!,#REF!,#REF!,GW16,FF20,#REF!,#REF!,#REF!,CE46,#REF!,#REF!,#REF!,#REF!,#REF!,#REF!,#REF!,#REF!)</f>
        <v>#REF!</v>
      </c>
      <c r="CZ205" s="1674" t="e">
        <f>SUM(CZ159,CZ162,CZ157,BZ134,CZ126,QE129,UL131,CK124,ND121,CZ119,#REF!,#REF!,#REF!,#REF!,GX16,FG20,#REF!,#REF!,#REF!,#REF!,#REF!,#REF!,#REF!,#REF!,#REF!,#REF!,#REF!,#REF!)</f>
        <v>#REF!</v>
      </c>
      <c r="DA205" s="1674" t="e">
        <f>SUM(DA159,DA162,DA157,CA134,DA126,QF129,UM131,CL124,NE121,DA119,#REF!,#REF!,#REF!,#REF!,GY16,FH20,#REF!,#REF!,#REF!,#REF!,#REF!,#REF!,#REF!,#REF!,#REF!,#REF!,#REF!,#REF!)</f>
        <v>#REF!</v>
      </c>
      <c r="DB205" s="1674" t="e">
        <f>SUM(DB159,DB162,DB157,CB134,DB126,QG129,UN131,CM124,NF121,DB119,#REF!,#REF!,#REF!,#REF!,GZ16,FI20,#REF!,#REF!,#REF!,#REF!,#REF!,#REF!,#REF!,#REF!,#REF!,#REF!,#REF!,#REF!)</f>
        <v>#REF!</v>
      </c>
      <c r="DC205" s="1674" t="e">
        <f>SUM(DC159,DC162,DC157,CC134,DC126,QH129,UO131,CN124,NG121,DC119,CB113,#REF!,#REF!,#REF!,HA16,FJ20,#REF!,#REF!,#REF!,#REF!,#REF!,#REF!,#REF!,#REF!,#REF!,#REF!,#REF!,#REF!)</f>
        <v>#REF!</v>
      </c>
      <c r="DD205" s="1674" t="e">
        <f>SUM(DD159,DD162,DD157,CD134,DD126,QI129,UP131,CO124,NH121,DD119,CC113,#REF!,#REF!,#REF!,HB16,FK20,#REF!,#REF!,#REF!,#REF!,#REF!,#REF!,#REF!,#REF!,#REF!,#REF!,#REF!,#REF!)</f>
        <v>#REF!</v>
      </c>
      <c r="DE205" s="1674" t="e">
        <f>SUM(DE159,DE162,DE157,CE134,DE126,QJ129,UQ131,CP124,NI121,DE119,CD113,#REF!,#REF!,#REF!,HC16,FL20,#REF!,#REF!,#REF!,#REF!,CS50,CP54,CP58,#REF!,#REF!,#REF!,#REF!,#REF!)</f>
        <v>#REF!</v>
      </c>
      <c r="DF205" s="1674" t="e">
        <f>SUM(DF159,DF162,DF157,CF134,DF126,QK129,UR131,CQ124,NJ121,DF119,CE113,#REF!,DB8,#REF!,HD16,FM20,#REF!,#REF!,#REF!,#REF!,CT50,CQ54,CQ58,#REF!,#REF!,#REF!,#REF!,#REF!)</f>
        <v>#REF!</v>
      </c>
      <c r="DG205" s="1674" t="e">
        <f>SUM(DG159,DG162,DG157,CG134,DG126,QL129,US131,CR124,NK121,DG119,CF113,#REF!,DC8,#REF!,HE16,FN20,#REF!,#REF!,#REF!,#REF!,CU50,CR54,CR58,CL62,#REF!,#REF!,#REF!,#REF!)</f>
        <v>#REF!</v>
      </c>
      <c r="DH205" s="1674" t="e">
        <f>SUM(DH159,DH162,DH157,CH134,DH126,QM129,UT131,CS124,NL121,DH119,CG113,#REF!,DD8,#REF!,HF16,FO20,#REF!,#REF!,#REF!,#REF!,CV50,CS54,CS58,CM62,#REF!,#REF!,#REF!,#REF!)</f>
        <v>#REF!</v>
      </c>
      <c r="DI205" s="1674" t="e">
        <f>SUM(DI159,DI162,DI157,CI134,DI126,QN129,UU131,CT124,NM121,DI119,CH113,#REF!,DE8,#REF!,HG16,FP20,#REF!,#REF!,#REF!,#REF!,CW50,CT54,CT58,CN62,#REF!,#REF!,#REF!,#REF!)</f>
        <v>#REF!</v>
      </c>
      <c r="DJ205" s="1674" t="e">
        <f>SUM(DJ159,DJ162,DJ157,CJ134,DJ126,QO129,UV131,CU124,NN121,DJ119,CI113,#REF!,#REF!,#REF!,HH16,#REF!,#REF!,#REF!,CG41,#REF!,CX50,CU54,CU58,#REF!,#REF!,#REF!,#REF!,#REF!)</f>
        <v>#REF!</v>
      </c>
      <c r="DK205" s="1674" t="e">
        <f>SUM(DK159,DK162,DK157,CK134,DK126,QP129,UW131,CV124,NO121,X119,CJ113,#REF!,#REF!,#REF!,HI16,KF18,#REF!,#REF!,CH41,#REF!,#REF!,CV54,CV58,#REF!,#REF!,#REF!,#REF!,#REF!)</f>
        <v>#REF!</v>
      </c>
      <c r="DL205" s="1674" t="e">
        <f>SUM(DL159,DL162,DL157,CL134,DL126,QQ129,UX131,CW124,NP121,Y119,CK113,#REF!,DF8,#REF!,HJ16,KG18,#REF!,#REF!,CI41,#REF!,CY50,CW54,CW58,#REF!,#REF!,#REF!,#REF!,#REF!)*0.7</f>
        <v>#REF!</v>
      </c>
      <c r="DM205" s="1674" t="e">
        <f>SUM(DM159,DM162,DM157,CM134,DM126,QR129,UY131,CX124,NQ121,Z119,#REF!,#REF!,DG8,#REF!,HK16,KH18,#REF!,#REF!,CJ41,#REF!,CZ50,CX54,CX58,#REF!,#REF!,#REF!,#REF!,#REF!)*0.7</f>
        <v>#REF!</v>
      </c>
      <c r="DN205" s="1674" t="e">
        <f>SUM(DN159,DN162,DN157,CN134,DN126,QS129,UZ131,CY124,NR121,AA119,#REF!,#REF!,DH8,#REF!,HL16,KI18,#REF!,#REF!,CK41,#REF!,DA50,CY54,CY58,#REF!,#REF!,#REF!,#REF!,#REF!)*0.7</f>
        <v>#REF!</v>
      </c>
      <c r="DO205" s="1674" t="e">
        <f>SUM(DO159,DO162,DO157,CO134,DO126,QT129,VA131,CZ124,NS121,AB119,#REF!,#REF!,DI8,#REF!,HM16,KJ18,#REF!,#REF!,CL41,CG46,DB50,CZ54,CZ58,#REF!,#REF!,#REF!,#REF!,#REF!)*0.7</f>
        <v>#REF!</v>
      </c>
      <c r="DP205" s="1674" t="e">
        <f>SUM(DP159,DP162,DP157,CP134,DP126,QU129,VB131,DA124,NT121,AC119,#REF!,#REF!,DJ8,#REF!,HN16,KK18,#REF!,#REF!,CM41,CH46,DC50,DA54,DA58,#REF!,#REF!,#REF!,#REF!,#REF!)*0.7</f>
        <v>#REF!</v>
      </c>
      <c r="DQ205" s="1674" t="e">
        <f>SUM(DQ159,DQ162,DQ157,CQ134,DQ126,QV129,VC131,DB124,NU121,AD119,#REF!,#REF!,DK8,#REF!,HO16,KL18,#REF!,#REF!,CN41,CL46,DD50,DB54,DB58,CP62,#REF!,#REF!,#REF!,#REF!)*0.7</f>
        <v>#REF!</v>
      </c>
      <c r="DR205" s="1674" t="e">
        <f>SUM(DR159,DR162,DR157,CR134,DR126,QW129,VD131,DC124,NV121,AE119,#REF!,#REF!,DL8,#REF!,HP16,KM18,#REF!,#REF!,CO41,CM46,DH50,DF54,DF58,CT62,#REF!,#REF!,#REF!,#REF!)*0.7</f>
        <v>#REF!</v>
      </c>
      <c r="DS205" s="1674" t="e">
        <f>SUM(DS159,DS162,DS157,CS134,DS126,QX129,VE131,DD124,NW121,AF119,#REF!,#REF!,DM8,#REF!,HQ16,KN18,#REF!,#REF!,CP41,CN46,DI50,DG54,DG58,CU62,#REF!,#REF!,#REF!,#REF!)*0.7</f>
        <v>#REF!</v>
      </c>
      <c r="DT205" s="1674" t="e">
        <f>SUM(DT159,DT162,DT157,CT134,DT126,QY129,VF131,DE124,NX121,AG119,#REF!,#REF!,DN8,DG12,HR16,KO18,#REF!,#REF!,CQ41,CO46,DJ50,DH54,DH58,CV62,#REF!,#REF!,#REF!,#REF!)*0.7</f>
        <v>#REF!</v>
      </c>
      <c r="DU205" s="1674" t="e">
        <f>SUM(DU159,DU162,DU157,CU134,DU126,QZ129,VG131,DF124,NY121,AH119,#REF!,#REF!,DO8,DH12,HS16,#REF!,#REF!,#REF!,CR41,CP46,DK50,DI54,DI58,CW62,#REF!,#REF!,#REF!,#REF!)*0.7</f>
        <v>#REF!</v>
      </c>
      <c r="DV205" s="1674" t="e">
        <f>SUM(DV159,DV162,DV157,CV134,DV126,RA129,VH131,DG124,NZ121,AI119,#REF!,#REF!,DP8,DI12,HT16,#REF!,#REF!,#REF!,#REF!,CQ46,DL50,DJ54,DJ58,CX62,#REF!,#REF!,#REF!,#REF!)*0.7</f>
        <v>#REF!</v>
      </c>
      <c r="DW205" s="1674" t="e">
        <f>SUM(DW159,DW162,DW157,CW134,DW126,RB129,VI131,DH124,OA121,AJ119,#REF!,#REF!,DQ8,DJ12,HU16,#REF!,#REF!,#REF!,#REF!,CR46,DM50,DK54,DK58,CY62,#REF!,#REF!,#REF!,#REF!)*0.7</f>
        <v>#REF!</v>
      </c>
      <c r="DX205" s="1674" t="e">
        <f>SUM(DX159,DX162,DX157,CX134,DX126,RC129,VJ131,DI124,OB121,AK119,#REF!,#REF!,DR8,DK12,HV16,#REF!,#REF!,#REF!,#REF!,CS46,DN50,DL54,DL58,CZ62,#REF!,#REF!,#REF!,#REF!)*0.7</f>
        <v>#REF!</v>
      </c>
      <c r="DY205" s="1674" t="e">
        <f>SUM(DY159,DY162,DY157,CY134,DY126,RD129,VK131,#REF!,OC121,AL119,#REF!,#REF!,DS8,DL12,HW16,#REF!,#REF!,#REF!,#REF!,CT46,DO50,DM54,DM58,DA62,#REF!,#REF!,#REF!,#REF!)*0.7</f>
        <v>#REF!</v>
      </c>
      <c r="DZ205" s="1674" t="e">
        <f>SUM(DZ159,DZ162,DZ157,CZ134,DZ126,RE129,VL131,#REF!,OD121,AM119,#REF!,#REF!,DT8,DM12,HX16,#REF!,#REF!,#REF!,#REF!,CU46,DP50,DN54,DN58,DB62,#REF!,#REF!,#REF!,#REF!)*0.7</f>
        <v>#REF!</v>
      </c>
      <c r="EA205" s="1674" t="e">
        <f>SUM(EA159,EA162,EA157,DA134,EA126,RF129,VM131,#REF!,OE121,AN119,#REF!,#REF!,DZ8,DN12,HY16,#REF!,#REF!,#REF!,#REF!,CV46,DQ50,DO54,DO58,DC62,#REF!,#REF!,#REF!,#REF!)*0.7</f>
        <v>#REF!</v>
      </c>
      <c r="EB205" s="1674" t="e">
        <f>SUM(EB159,EB162,EB157,DB134,EB126,RG129,VN131,#REF!,OF121,AO119,#REF!,#REF!,EA8,DO12,HZ16,#REF!,#REF!,#REF!,#REF!,CW46,DR50,DP54,DP58,DD62,#REF!,#REF!,#REF!,#REF!)*0.7</f>
        <v>#REF!</v>
      </c>
      <c r="EC205" s="1674" t="e">
        <f>SUM(EC159,EC162,EC157,DC134,EC126,RH129,VO131,#REF!,OG121,AP119,#REF!,#REF!,EB8,DP12,IA16,#REF!,#REF!,#REF!,#REF!,CX46,DS50,DR54,DQ58,DE62,#REF!,#REF!,#REF!,#REF!)*0.7</f>
        <v>#REF!</v>
      </c>
      <c r="ED205" s="1674" t="e">
        <f>SUM(ED159,ED162,ED157,DD134,ED126,RI129,VP131,#REF!,OH121,AQ119,#REF!,#REF!,EE8,DQ12,IB16,#REF!,#REF!,#REF!,#REF!,CY46,DT50,DS54,DR58,DF62,#REF!,#REF!,#REF!,#REF!)*0.7</f>
        <v>#REF!</v>
      </c>
      <c r="EE205" s="1674" t="e">
        <f>SUM(EE159,EE162,EE157,DE134,EE126,RJ129,VQ131,#REF!,OI121,AR119,CL113,#REF!,EF8,DR12,IC16,#REF!,#REF!,#REF!,#REF!,CZ46,DU50,DT54,DS58,DG62,#REF!,#REF!,#REF!,#REF!)*0.7</f>
        <v>#REF!</v>
      </c>
      <c r="EF205" s="1674" t="e">
        <f>SUM(EF159,EF162,EF157,DF134,EF126,RK129,VR131,#REF!,OJ121,AS119,CM113,#REF!,#REF!,DS12,ID16,#REF!,#REF!,#REF!,#REF!,DA46,DV50,DU54,DT58,DH62,#REF!,#REF!,#REF!,#REF!)*0.7</f>
        <v>#REF!</v>
      </c>
      <c r="EG205" s="1674" t="e">
        <f>SUM(EG159,EG162,EG157,DG134,EG126,RL129,VS131,#REF!,OK121,EG119,CN113,#REF!,#REF!,DT12,IE16,#REF!,GX25,CL35,#REF!,DB46,DW50,EC54,DU58,DI62,#REF!,#REF!,#REF!,#REF!)*0.7</f>
        <v>#REF!</v>
      </c>
      <c r="EH205" s="1674" t="e">
        <f>SUM(EH159,EH162,EH157,DH134,#REF!,RM129,VT131,#REF!,OL121,EH119,CO113,#REF!,EG8,DU12,IF16,#REF!,GY25,CM35,CS41,DC46,DX50,ED54,DV58,DJ62,#REF!,#REF!,#REF!,#REF!)*0.7</f>
        <v>#REF!</v>
      </c>
      <c r="EI205" s="1674" t="e">
        <f>SUM(EI159,EI162,EI157,DI134,#REF!,RN129,VU131,#REF!,OM121,EI119,CP113,#REF!,EH8,DV12,IG16,#REF!,GZ25,CN35,CT41,DD46,DY50,EE54,DW58,DK62,#REF!,#REF!,#REF!,#REF!)*0.7</f>
        <v>#REF!</v>
      </c>
      <c r="EJ205" s="1674" t="e">
        <f>SUM(EJ159,EJ162,EJ157,DJ134,#REF!,RO129,VV131,#REF!,ON121,EJ119,CQ113,#REF!,EI8,DW12,IH16,#REF!,HA25,CO35,CU41,DE46,DZ50,EF54,DX58,DL62,#REF!,#REF!,#REF!,#REF!)*0.7</f>
        <v>#REF!</v>
      </c>
      <c r="EK205" s="1674" t="e">
        <f>SUM(EK159,EK162,EK157,DK134,#REF!,RP129,VW131,#REF!,OO121,EK119,CR113,#REF!,EJ8,DX12,II16,#REF!,HB25,CP35,CV41,DF46,EA50,EG54,DY58,DM62,#REF!,#REF!,#REF!,#REF!)*0.7</f>
        <v>#REF!</v>
      </c>
      <c r="EL205" s="1674" t="e">
        <f>SUM(EL159,EL162,EL157,DL134,#REF!,RQ129,VX131,#REF!,OP121,EL119,CS113,#REF!,EK8,DY12,IJ16,#REF!,HC25,CQ35,CW41,DG46,EB50,#REF!,DZ58,DN62,#REF!,#REF!,#REF!,#REF!)*0.7</f>
        <v>#REF!</v>
      </c>
      <c r="EM205" s="1674" t="e">
        <f>SUM(EM159,EM162,EM157,DM134,#REF!,RR129,VY131,#REF!,OQ121,EM119,CT113,#REF!,EL8,DZ12,IK16,#REF!,HD25,CR35,CX41,DH46,EC50,#REF!,EA58,DO62,#REF!,#REF!,#REF!,#REF!)*0.7</f>
        <v>#REF!</v>
      </c>
      <c r="EN205" s="1674" t="e">
        <f>SUM(EN159,EN162,EN157,DN134,#REF!,RS129,VZ131,#REF!,OR121,EN119,CU113,#REF!,EM8,EA12,IL16,#REF!,HE25,CS35,CY41,DI46,ED50,EH54,EB58,DP62,#REF!,#REF!,#REF!,#REF!)*0.7</f>
        <v>#REF!</v>
      </c>
      <c r="EO205" s="1674" t="e">
        <f>SUM(EO159,EO162,EO157,DO134,#REF!,RT129,WA131,DZ124,OS121,EO119,CV113,#REF!,EN8,EB12,IM16,#REF!,HF25,CT35,CZ41,DJ46,EE50,EI54,EC58,DQ62,#REF!,#REF!,#REF!,#REF!)*0.7</f>
        <v>#REF!</v>
      </c>
      <c r="EP205" s="1674" t="e">
        <f>SUM(EP159,EP162,EP157,DP134,#REF!,RU129,WB131,EA124,OT121,EP119,#REF!,#REF!,EO8,EC12,IN16,#REF!,HG25,CU35,DA41,DK46,EF50,EJ54,ED58,DR62,#REF!,#REF!,#REF!,#REF!)*0.7</f>
        <v>#REF!</v>
      </c>
      <c r="EQ205" s="1674" t="e">
        <f>SUM(EQ159,EQ162,EQ157,DQ134,#REF!,RV129,WC131,#REF!,OU121,EQ119,#REF!,#REF!,EP8,ED12,IO16,#REF!,HH25,CV35,DB41,DL46,EG50,EK54,EH58,DS62,#REF!,#REF!,#REF!,#REF!)*0.7</f>
        <v>#REF!</v>
      </c>
      <c r="ER205" s="1674" t="e">
        <f>SUM(ER159,ER162,ER157,DR134,#REF!,RW129,WD131,#REF!,OV121,ER119,#REF!,#REF!,EQ8,#REF!,IP16,#REF!,HI25,CW35,DC41,DM46,EH50,EL54,EI58,DT62,#REF!,#REF!,#REF!,#REF!)*0.7</f>
        <v>#REF!</v>
      </c>
      <c r="ES205" s="1674" t="e">
        <f>SUM(ES159,ES162,ES157,DS134,#REF!,RX129,WE131,#REF!,OW121,ES119,#REF!,#REF!,ER8,#REF!,IQ16,#REF!,HJ25,CX35,DD41,DN46,EI50,EM54,EK58,DU62,#REF!,#REF!,#REF!,#REF!)*0.7</f>
        <v>#REF!</v>
      </c>
      <c r="ET205" s="1674" t="e">
        <f>SUM(ET159,ET162,ET157,DT134,#REF!,RY129,WF131,#REF!,OX121,ET119,#REF!,#REF!,ES8,EE12,IR16,HA20,HK25,CY35,DE41,DO46,EJ50,EN54,EL58,DV62,#REF!,#REF!,#REF!,#REF!)*0.7</f>
        <v>#REF!</v>
      </c>
      <c r="EU205" s="1674" t="e">
        <f>SUM(EU159,EU162,EU157,DU134,#REF!,RZ129,WG131,#REF!,OY121,EU119,#REF!,#REF!,ET8,EF12,IS16,HB20,HL25,CZ35,DF41,DP46,EM50,EO54,EM58,DW62,#REF!,#REF!,#REF!,#REF!)*0.7</f>
        <v>#REF!</v>
      </c>
      <c r="EV205" s="1674" t="e">
        <f>SUM(EV159,EV162,EV157,DV134,#REF!,SA129,WH131,#REF!,OZ121,EV119,#REF!,#REF!,EU8,EG12,IT16,HC20,HM25,DA35,DG41,DQ46,EN50,EP54,EN58,DX62,#REF!,#REF!,#REF!,#REF!)*0.7</f>
        <v>#REF!</v>
      </c>
      <c r="EW205" s="1674" t="e">
        <f>SUM(EW159,EW162,EW157,DW134,#REF!,SB129,WI131,#REF!,PA121,EW119,#REF!,#REF!,EV8,EH12,IU16,HD20,HN25,DB35,DH41,DR46,EO50,EQ54,EO58,DY62,#REF!,#REF!,#REF!,#REF!)*0.7</f>
        <v>#REF!</v>
      </c>
      <c r="EX205" s="1674" t="e">
        <f>SUM(EX159,EX162,EX157,DX134,#REF!,SC129,WJ131,#REF!,PB121,EX119,#REF!,#REF!,EW8,EI12,IV16,HE20,HO25,DC35,DI41,DS46,EP50,#REF!,EP58,DZ62,#REF!,#REF!,#REF!,#REF!)*0.7</f>
        <v>#REF!</v>
      </c>
      <c r="EY205" s="1674" t="e">
        <f>SUM(EY159,EY162,EY157,DY134,EY126,SD129,WK131,#REF!,PC121,EY119,#REF!,#REF!,EX8,EJ12,IW16,HF20,HP25,DD35,DJ41,DT46,EQ50,#REF!,EQ58,EA62,#REF!,#REF!,#REF!,#REF!)*0.7</f>
        <v>#REF!</v>
      </c>
      <c r="EZ205" s="1674" t="e">
        <f>SUM(EZ159,EZ162,EZ157,DZ134,EZ126,SE129,WL131,#REF!,PD121,EZ119,#REF!,#REF!,EY8,EK12,IX16,HG20,HQ25,DE35,DK41,DU46,ER50,ER54,ER58,EB62,#REF!,#REF!,#REF!,#REF!)*0.7</f>
        <v>#REF!</v>
      </c>
      <c r="FA205" s="1674" t="e">
        <f>SUM(FA159,FA162,FA157,EA134,FA126,SF129,WM131,#REF!,PE121,FA119,#REF!,#REF!,EZ8,EL12,IY16,HH20,HR25,DF35,DL41,DV46,ES50,ES54,ES58,EC62,#REF!,#REF!,#REF!,#REF!)*0.7</f>
        <v>#REF!</v>
      </c>
      <c r="FB205" s="1674" t="e">
        <f>SUM(FB159,FB162,FB157,EB134,FB126,SG129,WN131,#REF!,PF121,FB119,#REF!,#REF!,FA8,EM12,IZ16,HI20,HS25,DG35,DM41,DW46,ET50,ET54,ET58,ED62,#REF!,#REF!,#REF!,#REF!)*0.7</f>
        <v>#REF!</v>
      </c>
      <c r="FC205" s="1674" t="e">
        <f>SUM(FC159,FC162,FC157,EC134,FC126,SH129,WO131,#REF!,PG121,FC119,#REF!,#REF!,FB8,EN12,JA16,#REF!,HT25,DH35,DN41,DX46,EU50,EU54,EU58,EE62,#REF!,#REF!,#REF!,#REF!)*0.7</f>
        <v>#REF!</v>
      </c>
      <c r="FD205" s="1674" t="e">
        <f>SUM(FD159,FD162,FD157,ED134,FD126,SI129,WP131,#REF!,PH121,FD119,#REF!,#REF!,FC8,#REF!,JB16,#REF!,HU25,DI35,DO41,DY46,EV50,EV54,EV58,EF62,#REF!,#REF!,#REF!,#REF!)*0.7</f>
        <v>#REF!</v>
      </c>
      <c r="FE205" s="1674" t="e">
        <f>SUM(FE159,FE162,FE157,EE134,FE126,SJ129,WQ131,#REF!,PI121,FE119,#REF!,#REF!,FD8,#REF!,JC16,#REF!,IH25,DJ35,DP41,DZ46,#REF!,EW54,EW58,EG62,#REF!,#REF!,#REF!,#REF!)*0.7</f>
        <v>#REF!</v>
      </c>
      <c r="FF205" s="1674" t="e">
        <f>SUM(FF159,FF162,FF157,EF134,FF126,SK129,WR131,#REF!,PJ121,FF119,#REF!,#REF!,FE8,#REF!,JD16,#REF!,II25,DK35,DQ41,EA46,#REF!,EX54,EX58,EH62,#REF!,#REF!,#REF!,#REF!)*0.7</f>
        <v>#REF!</v>
      </c>
      <c r="FG205" s="1674" t="e">
        <f>SUM(FG159,FG162,FG157,EG134,FG126,SL129,WS131,#REF!,PK121,FG119,CW113,#REF!,FF8,#REF!,JE16,#REF!,IJ25,DL35,DR41,EB46,#REF!,EY54,EY58,EI62,#REF!,#REF!,#REF!,#REF!)*0.7</f>
        <v>#REF!</v>
      </c>
      <c r="FH205" s="1674" t="e">
        <f>SUM(FH159,FH162,FH157,EH134,FH126,SM129,WT131,#REF!,PL121,FH119,CX113,#REF!,FG8,#REF!,JF16,#REF!,IK25,DM35,DS41,EC46,EW50,EZ54,EZ58,EJ62,#REF!,#REF!,#REF!,#REF!)*0.7</f>
        <v>#REF!</v>
      </c>
      <c r="FI205" s="1674" t="e">
        <f>SUM(FI159,FI162,FI157,EI134,FI126,SN129,WU131,#REF!,PM121,FI119,CY113,#REF!,FH8,#REF!,JG16,#REF!,IL25,DN35,DT41,ED46,EX50,FA54,FA58,EK62,#REF!,#REF!,#REF!,#REF!)*0.7</f>
        <v>#REF!</v>
      </c>
      <c r="FJ205" s="1674" t="e">
        <f>SUM(FJ159,FJ162,FJ157,EJ134,FJ126,SO129,WV131,#REF!,PN121,FJ119,CZ113,#REF!,FI8,#REF!,JH16,#REF!,IM25,DO35,#REF!,EE46,EY50,FB54,FB58,EL62,#REF!,#REF!,#REF!,#REF!)*0.7</f>
        <v>#REF!</v>
      </c>
      <c r="FK205" s="1674" t="e">
        <f>SUM(FK159,FK162,FK157,EK134,FK126,SP129,WW131,#REF!,PO121,FK119,DA113,#REF!,FJ8,#REF!,JI16,#REF!,IN25,DP35,#REF!,EF46,EZ50,FC54,FC58,EM62,#REF!,#REF!,#REF!,#REF!)*0.7</f>
        <v>#REF!</v>
      </c>
      <c r="FL205" s="1674" t="e">
        <f>SUM(FL159,FL162,FL157,EL134,FL126,SQ129,WX131,#REF!,PP121,FL119,DB113,#REF!,FK8,#REF!,JJ16,#REF!,IO25,DQ35,#REF!,EG46,FA50,FD54,FD58,EN62,#REF!,#REF!,#REF!,#REF!)*0.7</f>
        <v>#REF!</v>
      </c>
      <c r="FM205" s="1674" t="e">
        <f>SUM(FM159,FM162,FM157,EM134,FM126,SR129,WY131,#REF!,PQ121,FM119,DC113,#REF!,FL8,#REF!,JK16,#REF!,IP25,DR35,#REF!,EH46,FB50,FE54,FE58,EO62,#REF!,#REF!,#REF!,#REF!)*0.7</f>
        <v>#REF!</v>
      </c>
      <c r="FN205" s="1674" t="e">
        <f>SUM(FN159,FN162,FN157,EN134,FN126,SS129,WZ131,#REF!,PR121,FN119,DD113,#REF!,FM8,#REF!,JL16,#REF!,IQ25,DS35,#REF!,EI46,FC50,FF54,FF58,EP62,#REF!,#REF!,#REF!,#REF!)*0.7</f>
        <v>#REF!</v>
      </c>
      <c r="FO205" s="1674" t="e">
        <f>SUM(FO159,FO162,FO157,EO134,FO126,ST129,XA131,#REF!,PS121,FO119,DE113,#REF!,FN8,#REF!,JM16,#REF!,IR25,DT35,DU41,EJ46,FD50,FG54,FG58,EQ62,#REF!,#REF!,#REF!,#REF!)*0.7</f>
        <v>#REF!</v>
      </c>
      <c r="FP205" s="1674" t="e">
        <f>SUM(FP159,FP162,FP157,EP134,FP126,SU129,XB131,#REF!,PT121,FP119,DF113,#REF!,FO8,#REF!,JN16,#REF!,IS25,DU35,DV41,EK46,FE50,FH54,FH58,ER62,#REF!,#REF!,#REF!,#REF!)*0.7</f>
        <v>#REF!</v>
      </c>
      <c r="FQ205" s="1674" t="e">
        <f>SUM(FQ159,FQ162,FQ157,EQ134,FQ126,SV129,XC131,#REF!,PU121,FQ119,DG113,#REF!,FP8,#REF!,JO16,#REF!,IT25,DV35,DW41,EL46,FF50,FI54,FI58,ES62,#REF!,#REF!,#REF!,#REF!)*0.7</f>
        <v>#REF!</v>
      </c>
      <c r="FR205" s="1674" t="e">
        <f>SUM(FR159,FR162,FR157,ER134,FR126,SW129,XD131,#REF!,PV121,FR119,DH113,#REF!,FQ8,#REF!,JP16,#REF!,IU25,DW35,DX41,EM46,FG50,FJ54,FJ58,ET62,#REF!,#REF!,#REF!,#REF!)*0.7</f>
        <v>#REF!</v>
      </c>
      <c r="FS205" s="1674" t="e">
        <f>SUM(FS159,FS162,FS157,ES134,FS126,SX129,XE131,#REF!,PW121,FS119,DI113,#REF!,FR8,#REF!,JQ16,#REF!,IV25,DX35,DY41,EN46,FH50,FK54,FK58,EU62,#REF!,#REF!,#REF!,#REF!)*0.7</f>
        <v>#REF!</v>
      </c>
      <c r="FT205" s="1674" t="e">
        <f>SUM(FT159,FT162,FT157,ET134,FT126,SY129,XF131,#REF!,PX121,FT119,DJ113,#REF!,FS8,#REF!,JR16,#REF!,IW25,DY35,DZ41,EO46,FI50,FL54,FL58,EV62,#REF!,#REF!,#REF!,#REF!)*0.7</f>
        <v>#REF!</v>
      </c>
      <c r="FU205" s="1674" t="e">
        <f>SUM(FU159,FU162,FU157,EU134,FU126,SZ129,XG131,#REF!,PY121,FU119,DK113,#REF!,FT8,#REF!,JS16,#REF!,IX25,DZ35,EA41,EP46,FJ50,FM54,FM58,EW62,#REF!,#REF!,#REF!,#REF!)*0.7</f>
        <v>#REF!</v>
      </c>
      <c r="FV205" s="1674" t="e">
        <f>SUM(FV159,FV162,FV157,EV134,FV126,TA129,XH131,#REF!,PZ121,FV119,DL113,#REF!,FU8,#REF!,JT16,#REF!,IY25,EA35,EB41,EQ46,FK50,FN54,FN58,EX62,#REF!,#REF!,#REF!,#REF!)*0.7</f>
        <v>#REF!</v>
      </c>
      <c r="FW205" s="1674" t="e">
        <f>SUM(FW159,FW162,FW157,EW134,FW126,TB129,XI131,#REF!,QA121,FW119,DM113,#REF!,FV8,#REF!,JU16,#REF!,IZ25,EB35,EC41,#REF!,FQ50,FO54,FO58,EY62,#REF!,#REF!,#REF!,#REF!)*0.7</f>
        <v>#REF!</v>
      </c>
      <c r="FX205" s="1674" t="e">
        <f>SUM(FX159,FX162,FX157,EX134,FX126,TC129,XJ131,#REF!,QB121,FX119,DN113,#REF!,FW8,#REF!,#REF!,#REF!,JA25,EC35,ED41,ER46,FR50,FP54,FP58,EZ62,#REF!,#REF!,#REF!,#REF!)*0.7</f>
        <v>#REF!</v>
      </c>
      <c r="FY205" s="1674" t="e">
        <f>SUM(FY159,FY162,FY157,EY134,FY126,TD129,XK131,#REF!,QC121,FY119,DO113,#REF!,FX8,#REF!,#REF!,#REF!,JB25,ED35,EE41,EW46,FS50,FQ54,#REF!,FA62,#REF!,#REF!,#REF!,#REF!)*0.7</f>
        <v>#REF!</v>
      </c>
      <c r="FZ205" s="1674" t="e">
        <f>SUM(FZ159,FZ162,FZ157,EZ134,FZ126,TE129,XL131,#REF!,QD121,FZ119,DP113,#REF!,FY8,#REF!,#REF!,#REF!,JC25,EE35,EF41,EX46,#REF!,FR54,#REF!,FB62,#REF!,#REF!,#REF!,#REF!)*0.7</f>
        <v>#REF!</v>
      </c>
      <c r="GA205" s="1674" t="e">
        <f>SUM(GA159,GA162,GA157,FA134,GA126,TF129,XM131,#REF!,QE121,GA119,DQ113,#REF!,FZ8,#REF!,#REF!,#REF!,JD25,EF35,EG41,EY46,FT50,FS54,#REF!,FC62,#REF!,#REF!,#REF!,#REF!)*0.7</f>
        <v>#REF!</v>
      </c>
      <c r="GB205" s="1674" t="e">
        <f>SUM(GB159,GB162,GB157,FB134,#REF!,TG129,XN131,#REF!,QF121,GB119,DR113,#REF!,GA8,#REF!,#REF!,JQ20,JE25,EG35,EH41,EZ46,FU50,FT54,#REF!,FD62,#REF!,#REF!,#REF!,#REF!)*0.7</f>
        <v>#REF!</v>
      </c>
      <c r="GC205" s="1674" t="e">
        <f>SUM(GC159,GC162,GC157,FC134,#REF!,TH129,XO131,#REF!,QG121,GC119,DS113,#REF!,GB8,#REF!,#REF!,JR20,JF25,EH35,EI41,FA46,FV50,FU54,FQ58,FE62,#REF!,#REF!,#REF!,#REF!)*0.7</f>
        <v>#REF!</v>
      </c>
      <c r="GD205" s="1674" t="e">
        <f>SUM(GD159,GD162,GD157,FD134,#REF!,TI129,XP131,#REF!,QH121,GD119,DT113,#REF!,GC8,#REF!,#REF!,JS20,JG25,EI35,EJ41,FB46,FW50,FV54,FR58,FF62,#REF!,#REF!,#REF!,#REF!)*0.7</f>
        <v>#REF!</v>
      </c>
      <c r="GE205" s="1674" t="e">
        <f>SUM(GE159,GE162,GE157,FE134,#REF!,TJ129,XQ131,#REF!,QI121,GE119,DU113,#REF!,GD8,#REF!,#REF!,JT20,JH25,EJ35,EK41,FC46,#REF!,FW54,FS58,FG62,#REF!,#REF!,#REF!,#REF!)*0.7</f>
        <v>#REF!</v>
      </c>
      <c r="GF205" s="1674" t="e">
        <f>SUM(GF159,GF162,GF157,FF134,#REF!,TK129,XR131,#REF!,QJ121,GF119,DV113,#REF!,GE8,#REF!,#REF!,JU20,JI25,EK35,EL41,FD46,#REF!,FX54,FT58,FH62,#REF!,#REF!,#REF!,#REF!)*0.7</f>
        <v>#REF!</v>
      </c>
      <c r="GG205" s="1674" t="e">
        <f>SUM(GG159,GG162,GG157,FG134,#REF!,TL129,XS131,#REF!,QK121,GG119,DW113,#REF!,GF8,#REF!,#REF!,JV20,JJ25,EL35,EM41,FE46,FX50,FY54,FU58,FI62,#REF!,#REF!,#REF!,#REF!)*0.7</f>
        <v>#REF!</v>
      </c>
      <c r="GH205" s="1674" t="e">
        <f>SUM(GH159,GH162,GH157,FH134,#REF!,TM129,XT131,#REF!,QL121,GH119,DX113,#REF!,GG8,#REF!,#REF!,JW20,JK25,EM35,EN41,FF46,FY50,FZ54,FV58,FJ62,#REF!,#REF!,#REF!,#REF!)*0.7</f>
        <v>#REF!</v>
      </c>
      <c r="GI205" s="1674" t="e">
        <f>SUM(GI159,GI162,GI157,FI134,#REF!,TN129,XU131,#REF!,QM121,GI119,DY113,#REF!,GH8,#REF!,#REF!,IW24,JL25,EN35,EO41,FG46,FZ50,GA54,FW58,FK62,#REF!,#REF!,#REF!,#REF!)*0.7</f>
        <v>#REF!</v>
      </c>
      <c r="GJ205" s="1674" t="e">
        <f>SUM(GJ159,GJ162,GJ157,FJ134,#REF!,TO129,XV131,#REF!,QN121,GJ119,DZ113,#REF!,GI8,#REF!,#REF!,IX24,JM25,EO35,EP41,FH46,GA50,GB54,FX58,FL62,#REF!,#REF!,#REF!,#REF!)*0.7</f>
        <v>#REF!</v>
      </c>
      <c r="GK205" s="1674" t="e">
        <f>SUM(GK159,GK162,GK157,FK134,#REF!,TP129,XW131,#REF!,QO121,GK119,EA113,#REF!,GJ8,#REF!,#REF!,IY24,JN25,EP35,EQ41,FI46,GB50,GC54,FY58,FM62,#REF!,#REF!,#REF!,#REF!)*0.7</f>
        <v>#REF!</v>
      </c>
      <c r="GL205" s="1674" t="e">
        <f>SUM(GL159,GL162,GL157,FL134,#REF!,TQ129,XX131,#REF!,QP121,GL119,EB113,#REF!,GK8,#REF!,#REF!,IZ24,JO25,EQ35,ER41,FJ46,GD50,GD54,FZ58,FN62,#REF!,#REF!,#REF!,#REF!)*0.7</f>
        <v>#REF!</v>
      </c>
      <c r="GM205" s="1674" t="e">
        <f>SUM(GM159,GM162,GM157,FM134,#REF!,TR129,XY131,#REF!,QQ121,GM119,EC113,#REF!,GL8,#REF!,#REF!,JA24,JP25,ER35,ES41,FK46,#REF!,GE54,GA58,FO62,#REF!,#REF!,#REF!,#REF!)*0.7</f>
        <v>#REF!</v>
      </c>
      <c r="GN205" s="1674" t="e">
        <f>SUM(GN159,GN162,GN157,FN134,#REF!,TS129,XZ131,#REF!,QR121,GN119,ED113,#REF!,GM8,#REF!,#REF!,JB24,JQ25,ES35,ET41,FL46,#REF!,GF54,GB58,FP62,#REF!,#REF!,#REF!,#REF!)*0.7</f>
        <v>#REF!</v>
      </c>
      <c r="GO205" s="1674" t="e">
        <f>SUM(GO159,GO162,GO157,FO134,#REF!,TT129,YA131,#REF!,QS121,GO119,EE113,#REF!,GN8,#REF!,#REF!,JC24,#REF!,ET35,EU41,FM46,GE50,GG54,GC58,FQ62,#REF!,#REF!,#REF!,#REF!)*0.7</f>
        <v>#REF!</v>
      </c>
      <c r="GP205" s="1674" t="e">
        <f>SUM(GP159,GP162,GP157,FP134,#REF!,TU129,YB131,#REF!,QT121,GP119,EF113,#REF!,GO8,#REF!,#REF!,JD24,#REF!,#REF!,EV41,FN46,GF50,#REF!,GD58,FR62,#REF!,#REF!,#REF!,#REF!)*0.7</f>
        <v>#REF!</v>
      </c>
      <c r="GQ205" s="1674" t="e">
        <f>SUM(GQ159,GQ162,GQ157,FQ134,EX126,TV129,YC131,#REF!,QU121,GQ119,EG113,#REF!,GP8,#REF!,#REF!,JE24,#REF!,EU35,EW41,FO46,GG50,#REF!,GE58,FS62,#REF!,#REF!,#REF!,#REF!)*0.7</f>
        <v>#REF!</v>
      </c>
      <c r="GR205" s="1674" t="e">
        <f>SUM(GR159,GR162,GR157,FR134,GR126,TW129,YD131,#REF!,QV121,GR119,EH113,#REF!,GQ8,#REF!,#REF!,JF24,#REF!,EV35,EX41,FP46,GH50,#REF!,GF58,FT62,#REF!,#REF!,#REF!,#REF!)*0.7</f>
        <v>#REF!</v>
      </c>
      <c r="GS205" s="1674" t="e">
        <f>SUM(GS159,GS162,GS157,FS134,GS126,TX129,YE131,#REF!,QW121,GS119,EI113,#REF!,GR8,#REF!,#REF!,JG24,#REF!,EW35,EY41,FQ46,GI50,GH54,GG58,FU62,#REF!,#REF!,#REF!,#REF!)*0.7</f>
        <v>#REF!</v>
      </c>
      <c r="GT205" s="1674" t="e">
        <f>SUM(GT159,GT162,GT157,FT134,GT126,TY129,YF131,#REF!,QX121,GT119,EJ113,#REF!,GS8,#REF!,#REF!,JH24,#REF!,EX35,EZ41,FR46,GJ50,GI54,GH58,FV62,#REF!,#REF!,#REF!,#REF!)*0.7</f>
        <v>#REF!</v>
      </c>
      <c r="GU205" s="1674" t="e">
        <f>SUM(GU159,GU162,GU157,FU134,GU126,TZ129,YG131,#REF!,QY121,GU119,#REF!,#REF!,GT8,#REF!,#REF!,JI24,#REF!,EY35,FA41,FS46,GK50,GJ54,GI58,FW62,#REF!,#REF!,#REF!,#REF!)*0.7</f>
        <v>#REF!</v>
      </c>
      <c r="GV205" s="1674" t="e">
        <f>SUM(GV159,GV162,GV157,FV134,GV126,UA129,YH131,#REF!,QZ121,GV119,#REF!,#REF!,GU8,#REF!,#REF!,JJ24,#REF!,EZ35,FB41,FT46,GL50,GK54,GJ58,FX62,#REF!,#REF!,#REF!,#REF!)*0.7</f>
        <v>#REF!</v>
      </c>
      <c r="GW205" s="1674" t="e">
        <f>SUM(GW159,GW162,GW157,FW134,GW126,UB129,YI131,#REF!,RA121,GW119,#REF!,#REF!,GV8,#REF!,KU16,JK24,#REF!,FA35,FC41,FW46,GM50,GL54,#REF!,FY62,#REF!,#REF!,#REF!,#REF!)*0.7</f>
        <v>#REF!</v>
      </c>
      <c r="GX205" s="1674" t="e">
        <f>SUM(GX159,GX162,GX157,FX134,GX126,UC129,YJ131,#REF!,RB121,GX119,#REF!,#REF!,GW8,#REF!,KV16,JL24,#REF!,FB35,FD41,FX46,GN50,GM54,#REF!,FZ62,#REF!,#REF!,#REF!,#REF!)*0.7</f>
        <v>#REF!</v>
      </c>
      <c r="GY205" s="1674" t="e">
        <f>SUM(GY159,GY162,GY157,FY134,GY126,UD129,YK131,#REF!,RC121,GY119,#REF!,#REF!,GX8,#REF!,KW16,JM24,#REF!,FC35,FE41,FY46,GO50,GN54,#REF!,GA62,#REF!,#REF!,#REF!,#REF!)*0.7</f>
        <v>#REF!</v>
      </c>
      <c r="GZ205" s="1674" t="e">
        <f>SUM(GZ159,GZ162,GZ157,FZ134,GZ126,UE129,YL131,ER124,RD121,GZ119,#REF!,#REF!,GY8,#REF!,KX16,JN24,#REF!,FD35,FF41,FZ46,GP50,GO54,#REF!,GB62,#REF!,#REF!,#REF!,#REF!)*0.7</f>
        <v>#REF!</v>
      </c>
      <c r="HA205" s="1674" t="e">
        <f>SUM(HA159,HA162,HA157,GA134,#REF!,UF129,YM131,ES124,RE121,HA119,#REF!,#REF!,#REF!,#REF!,KY16,JO24,#REF!,FE35,FG41,GA46,GQ50,GP54,#REF!,GC62,#REF!,#REF!,#REF!,#REF!)*0.7</f>
        <v>#REF!</v>
      </c>
      <c r="HB205" s="1674" t="e">
        <f>SUM(HB159,HB162,HB157,GB134,#REF!,UG129,YN131,ET124,RF121,HB119,#REF!,#REF!,#REF!,#REF!,KZ16,JP24,JR25,FF35,FH41,GB46,GR50,GQ54,#REF!,GD62,#REF!,#REF!,#REF!,#REF!)*0.7</f>
        <v>#REF!</v>
      </c>
      <c r="HC205" s="1674" t="e">
        <f>SUM(HC159,HC162,HC157,GC134,#REF!,UH129,YO131,EU124,RG121,HC119,#REF!,#REF!,#REF!,#REF!,LA16,JQ24,JS25,FG35,FI41,GC46,GS50,GR54,#REF!,GE62,#REF!,#REF!,#REF!,#REF!)*0.7</f>
        <v>#REF!</v>
      </c>
      <c r="HD205" s="1674" t="e">
        <f>SUM(HD159,HD162,HD157,GD134,#REF!,UI129,YP131,#REF!,RH121,HD119,#REF!,#REF!,#REF!,#REF!,LB16,#REF!,JT25,FH35,FJ41,GD46,GT50,#REF!,#REF!,GF62,#REF!,#REF!,#REF!,#REF!)*0.7</f>
        <v>#REF!</v>
      </c>
      <c r="HE205" s="1674" t="e">
        <f>SUM(HE159,HE162,HE157,GE134,#REF!,UJ129,YQ131,#REF!,RI121,HE119,#REF!,#REF!,#REF!,#REF!,LC16,JR24,JU25,FI35,FK41,GE46,GU50,GS54,GK58,GG62,#REF!,#REF!,#REF!,#REF!)*0.7</f>
        <v>#REF!</v>
      </c>
      <c r="HF205" s="1674" t="e">
        <f>SUM(HF159,HF162,HF157,GF134,#REF!,UK129,YR131,#REF!,RJ121,HF119,#REF!,#REF!,#REF!,#REF!,LD16,JS24,JV25,FJ35,FL41,GF46,GV50,GT54,GL58,GH62,#REF!,#REF!,#REF!,#REF!)*0.7</f>
        <v>#REF!</v>
      </c>
      <c r="HG205" s="1674" t="e">
        <f>SUM(HG159,HG162,HG157,GG134,#REF!,UL129,YS131,ED124,RK121,HG119,#REF!,#REF!,#REF!,#REF!,LE16,JT24,JW25,FK35,FM41,GG46,GW50,GU54,GM58,GI62,#REF!,#REF!,#REF!,#REF!)*0.7</f>
        <v>#REF!</v>
      </c>
      <c r="HH205" s="1674" t="e">
        <f>SUM(HH159,HH162,HH157,GH134,#REF!,UM129,YT131,#REF!,RL121,HH119,#REF!,#REF!,#REF!,#REF!,LF16,#REF!,JX25,FL35,FN41,GH46,GX50,GV54,GN58,GJ62,#REF!,#REF!,#REF!,#REF!)*0.7</f>
        <v>#REF!</v>
      </c>
      <c r="HI205" s="1674" t="e">
        <f>SUM(HI159,HI162,HI157,GI134,#REF!,UN129,YU131,#REF!,RM121,HI119,#REF!,#REF!,#REF!,HF12,LG16,#REF!,JY25,FM35,FO41,GI46,GY50,GW54,GO58,GK62,#REF!,#REF!,#REF!,#REF!)*0.7</f>
        <v>#REF!</v>
      </c>
      <c r="HJ205" s="1674" t="e">
        <f>SUM(HJ159,HJ162,HJ157,GJ134,#REF!,UO129,YV131,#REF!,RN121,HJ119,#REF!,#REF!,#REF!,HG12,LH16,#REF!,JZ25,FN35,FP41,GJ46,GZ50,GX54,GP58,GL62,#REF!,#REF!,#REF!,#REF!)*0.7</f>
        <v>#REF!</v>
      </c>
      <c r="HK205" s="1674" t="e">
        <f>SUM(HK159,HK162,HK157,GK134,#REF!,UP129,YW131,FM124,RO121,HK119,#REF!,#REF!,#REF!,HH12,LI16,#REF!,KA25,FO35,FQ41,GK46,HA50,GY54,GQ58,GM62,#REF!,#REF!,#REF!,#REF!)*0.7</f>
        <v>#REF!</v>
      </c>
      <c r="HL205" s="1674" t="e">
        <f>SUM(HL159,HL162,HL157,GL134,#REF!,UQ129,YX131,FN124,RP121,HL119,#REF!,#REF!,#REF!,HI12,LJ16,#REF!,KB25,FP35,FR41,GL46,HB50,GZ54,GR58,#REF!,#REF!,#REF!,#REF!,#REF!)*0.7</f>
        <v>#REF!</v>
      </c>
      <c r="HM205" s="1674" t="e">
        <f>SUM(HM159,HM162,HM157,GM134,#REF!,UR129,YY131,#REF!,RQ121,HM119,#REF!,#REF!,#REF!,HJ12,LK16,#REF!,KC25,FQ35,FS41,GM46,HC50,HA54,GS58,#REF!,#REF!,#REF!,#REF!,#REF!)*0.7</f>
        <v>#REF!</v>
      </c>
      <c r="HN205" s="1674" t="e">
        <f>SUM(HN159,HN162,HN157,GN134,#REF!,US129,YZ131,#REF!,RR121,HN119,#REF!,#REF!,#REF!,HK12,LL16,#REF!,KD25,FR35,FT41,GN46,HD50,HB54,GT58,#REF!,#REF!,#REF!,#REF!,#REF!)*0.7</f>
        <v>#REF!</v>
      </c>
      <c r="HO205" s="1674" t="e">
        <f>SUM(HO159,HO162,HO157,GO134,#REF!,UT129,ZA131,#REF!,RS121,HO119,#REF!,#REF!,#REF!,HL12,LM16,#REF!,KE25,FS35,FU41,GO46,HE50,HC54,GU58,#REF!,#REF!,#REF!,#REF!,#REF!)*0.7</f>
        <v>#REF!</v>
      </c>
      <c r="HP205" s="1674" t="e">
        <f>SUM(HP159,HP162,HP157,GP134,#REF!,UU129,ZB131,#REF!,RT121,HP119,#REF!,#REF!,#REF!,HM12,LN16,#REF!,KF25,FT35,FV41,GP46,HF50,HD54,GV58,#REF!,#REF!,#REF!,#REF!,#REF!)*0.7</f>
        <v>#REF!</v>
      </c>
      <c r="HQ205" s="1674" t="e">
        <f>SUM(HQ159,HQ162,HQ157,GQ134,EH126,UV129,ZC131,#REF!,RU121,HQ119,#REF!,#REF!,#REF!,HN12,LO16,#REF!,KG25,FU35,FW41,GQ46,HG50,HE54,GW58,#REF!,#REF!,#REF!,#REF!,#REF!)*0.7</f>
        <v>#REF!</v>
      </c>
      <c r="HR205" s="1674" t="e">
        <f>SUM(HR159,HR162,HR157,GR134,EI126,UW129,ZD131,#REF!,RV121,HR119,#REF!,#REF!,#REF!,HO12,LP16,#REF!,KH25,FV35,FX41,GR46,HH50,HF54,GX58,#REF!,#REF!,#REF!,#REF!,#REF!)*0.7</f>
        <v>#REF!</v>
      </c>
      <c r="HS205" s="1674" t="e">
        <f>SUM(HS159,HS162,HS157,GS134,EJ126,UX129,ZE131,#REF!,RW121,HS119,#REF!,#REF!,#REF!,HP12,LQ16,#REF!,KI25,FW35,FY41,GS46,HI50,HG54,GY58,#REF!,#REF!,#REF!,#REF!,#REF!)*0.7</f>
        <v>#REF!</v>
      </c>
      <c r="HT205" s="1674" t="e">
        <f>SUM(HT159,HT162,HT157,GT134,EK126,UY129,ZF131,EV124,RX121,HT119,#REF!,#REF!,#REF!,HQ12,LR16,JU24,KJ25,FX35,FZ41,GT46,HJ50,HH54,GZ58,#REF!,#REF!,#REF!,#REF!,#REF!)*0.7</f>
        <v>#REF!</v>
      </c>
      <c r="HU205" s="1674" t="e">
        <f>SUM(HU159,HU162,HU157,GU134,EL126,UZ129,ZG131,EW124,RY121,HU119,#REF!,#REF!,#REF!,HR12,LS16,JV24,KK25,FY35,GA41,GU46,HK50,HI54,HA58,GN62,#REF!,#REF!,#REF!,#REF!)*0.7</f>
        <v>#REF!</v>
      </c>
      <c r="HV205" s="1674" t="e">
        <f>SUM(HV159,HV162,HV157,GV134,EM126,VA129,ZH131,EX124,RZ121,HV119,#REF!,#REF!,#REF!,HS12,LT16,JW24,KL25,FZ35,GB41,GV46,HL50,HJ54,HB58,GO62,#REF!,#REF!,#REF!,#REF!)*0.7</f>
        <v>#REF!</v>
      </c>
      <c r="HW205" s="1674" t="e">
        <f>SUM(HW159,HW162,HW157,GW134,EN126,VB129,ZI131,EY124,SA121,HW119,#REF!,#REF!,#REF!,HT12,LU16,JX24,KM25,GA35,GC41,GW46,HM50,HK54,HC58,GP62,#REF!,#REF!,#REF!,#REF!)*0.7</f>
        <v>#REF!</v>
      </c>
      <c r="HX205" s="1674" t="e">
        <f>SUM(HX159,HX162,HX157,GX134,EO126,VC129,ZJ131,EZ124,SB121,HX119,#REF!,#REF!,#REF!,HU12,LV16,JY24,KN25,GB35,GD41,GX46,HN50,HL54,HD58,GQ62,#REF!,#REF!,#REF!,#REF!)*0.7</f>
        <v>#REF!</v>
      </c>
      <c r="HY205" s="1674" t="e">
        <f>SUM(HY159,HY162,HY157,GY134,EP126,VD129,ZK131,#REF!,SC121,HY119,#REF!,#REF!,#REF!,HV12,LW16,JZ24,KO25,GC35,GE41,GY46,HO50,KE54,HE58,GR62,#REF!,#REF!,#REF!,#REF!)*0.7</f>
        <v>#REF!</v>
      </c>
      <c r="HZ205" s="1674" t="e">
        <f>SUM(HZ159,HZ162,HZ157,GZ134,EQ126,VE129,ZL131,#REF!,SD121,HZ119,#REF!,#REF!,#REF!,HW12,LX16,KA24,KP25,GD35,GF41,GZ46,HP50,KF54,HF58,GS62,#REF!,#REF!,#REF!,#REF!)*0.7</f>
        <v>#REF!</v>
      </c>
      <c r="IA205" s="1674" t="e">
        <f>SUM(IA159,IA162,IA157,HA134,ER126,VF129,ZM131,HB124,SE121,IA119,#REF!,#REF!,#REF!,HX12,LY16,KB24,KQ25,GE35,GG41,HA46,HQ50,KG54,HG58,GT62,#REF!,#REF!,#REF!,#REF!)*0.7</f>
        <v>#REF!</v>
      </c>
      <c r="IB205" s="1674" t="e">
        <f>SUM(IB159,IB162,IB157,HB134,ES126,VG129,ZN131,HC124,SF121,IB119,#REF!,#REF!,#REF!,HY12,LZ16,KC24,KR25,GF35,GH41,HB46,HR50,KH54,HH58,GU62,#REF!,#REF!,#REF!,#REF!)*0.7</f>
        <v>#REF!</v>
      </c>
      <c r="IC205" s="1674" t="e">
        <f>SUM(IC159,IC162,IC157,HC134,ET126,VH129,ZO131,HD124,SG121,IC119,#REF!,#REF!,#REF!,HZ12,MA16,KD24,KS25,GG35,GI41,HC46,HS50,KI54,HI58,GV62,#REF!,#REF!,#REF!,#REF!)*0.7</f>
        <v>#REF!</v>
      </c>
      <c r="ID205" s="1674" t="e">
        <f>SUM(ID159,ID162,ID157,HD134,EU126,VI129,ZP131,HE124,SH121,ID119,#REF!,#REF!,#REF!,IA12,MB16,KE24,KT25,GH35,GJ41,HD46,HT50,KJ54,HJ58,GW62,#REF!,#REF!,#REF!,#REF!)*0.7</f>
        <v>#REF!</v>
      </c>
      <c r="IE205" s="1674" t="e">
        <f>SUM(IE159,IE162,IE157,HE134,EV126,VJ129,ZQ131,HF124,SI121,IE119,#REF!,#REF!,#REF!,IB12,MC16,KF24,KU25,GI35,GK41,HE46,#REF!,KK54,HK58,GX62,#REF!,#REF!,#REF!,#REF!)*0.7</f>
        <v>#REF!</v>
      </c>
      <c r="IF205" s="1674" t="e">
        <f>SUM(IF159,IF162,IF157,HF134,EW126,VK129,ZR131,HG124,SJ121,IF119,#REF!,#REF!,#REF!,IC12,MD16,KG24,KV25,GJ35,GL41,HF46,#REF!,KL54,HL58,GY62,#REF!,#REF!,#REF!,#REF!)*0.7</f>
        <v>#REF!</v>
      </c>
      <c r="IG205" s="1674" t="e">
        <f>SUM(IG159,IG162,IG157,HG134,IL126,VL129,ZS131,HH124,SK121,IG119,#REF!,#REF!,#REF!,ID12,ME16,KH24,KW25,GK35,GM41,HG46,HU50,KM54,HM58,GZ62,#REF!,#REF!,#REF!,#REF!)*0.7</f>
        <v>#REF!</v>
      </c>
      <c r="IH205" s="1674" t="e">
        <f>SUM(IH159,IH162,IH157,HH134,IM126,VM129,ZT131,HI124,SL121,IH119,#REF!,#REF!,#REF!,IE12,MF16,#REF!,#REF!,GL35,GN41,HH46,HV50,KN54,HN58,HA62,#REF!,#REF!,#REF!,#REF!)*0.7</f>
        <v>#REF!</v>
      </c>
      <c r="II205" s="1674" t="e">
        <f>SUM(II159,II162,II157,HI134,IN126,VN129,ZU131,HJ124,SM121,II119,#REF!,#REF!,#REF!,#REF!,MG16,#REF!,#REF!,GM35,GO41,HI46,HW50,KO54,HO58,HB62,#REF!,#REF!,#REF!,#REF!)*0.7</f>
        <v>#REF!</v>
      </c>
      <c r="IJ205" s="1674" t="e">
        <f>SUM(IJ159,IJ162,IJ157,HJ134,HN126,VO129,ZV131,HK124,SN121,IJ119,#REF!,#REF!,#REF!,#REF!,MH16,#REF!,#REF!,GN35,GP41,HJ46,HX50,KP54,HP58,HC62,#REF!,#REF!,#REF!,#REF!)*0.7</f>
        <v>#REF!</v>
      </c>
      <c r="IK205" s="1674" t="e">
        <f>SUM(IK159,IK162,IK157,HK134,HO126,VP129,ZW131,HL124,SO121,IK119,#REF!,#REF!,#REF!,#REF!,MI16,#REF!,#REF!,GO35,GQ41,HK46,HY50,KQ54,HQ58,HD62,#REF!,#REF!,#REF!,#REF!)*0.7</f>
        <v>#REF!</v>
      </c>
      <c r="IL205" s="1674" t="e">
        <f>SUM(IL159,IL162,IL157,HL134,HP126,VQ129,ZX131,#REF!,SP121,IL119,#REF!,#REF!,#REF!,#REF!,MJ16,#REF!,#REF!,GP35,GR41,HL46,HZ50,KR54,HR58,HE62,#REF!,#REF!,#REF!,#REF!)*0.7</f>
        <v>#REF!</v>
      </c>
      <c r="IM205" s="1674" t="e">
        <f>SUM(IM159,IM162,IM157,HM134,HQ126,VR129,ZY131,#REF!,SQ121,IM119,#REF!,#REF!,#REF!,#REF!,MK16,#REF!,#REF!,GQ35,GS41,HM46,IA50,KS54,#REF!,HF62,#REF!,#REF!,#REF!,#REF!)*0.7</f>
        <v>#REF!</v>
      </c>
      <c r="IN205" s="1674" t="e">
        <f>SUM(IN159,IN162,IN157,HN134,HR126,VS129,ZZ131,HO124,SR121,IN119,EK113,#REF!,#REF!,#REF!,ML16,#REF!,#REF!,GR35,GT41,HN46,IB50,KT54,#REF!,#REF!,#REF!,#REF!,#REF!,#REF!)*0.7</f>
        <v>#REF!</v>
      </c>
      <c r="IO205" s="1674" t="e">
        <f>SUM(IO159,IO162,IO157,HO134,HS126,VT129,AAA131,HP124,SS121,IO119,EL113,#REF!,#REF!,#REF!,MM16,#REF!,#REF!,GS35,GU41,HO46,IC50,KU54,HS58,#REF!,#REF!,#REF!,#REF!,#REF!)*0.7</f>
        <v>#REF!</v>
      </c>
      <c r="IP205" s="1674" t="e">
        <f>SUM(IP159,IP162,IP157,HP134,HT126,VU129,AAB131,HQ124,ST121,IP119,EM113,#REF!,#REF!,#REF!,MN16,#REF!,#REF!,GT35,GV41,HP46,ID50,KV54,HT58,#REF!,#REF!,#REF!,#REF!,#REF!)*0.7</f>
        <v>#REF!</v>
      </c>
      <c r="IQ205" s="1674" t="e">
        <f>SUM(IQ159,IQ162,IQ157,HQ134,HU126,VV129,AAC131,#REF!,SU121,IQ119,EN113,#REF!,#REF!,#REF!,MO16,#REF!,#REF!,GU35,GW41,HQ46,IE50,KW54,HU58,#REF!,#REF!,#REF!,#REF!,#REF!)*0.7</f>
        <v>#REF!</v>
      </c>
      <c r="IR205" s="1674" t="e">
        <f>SUM(IR159,IR162,IR157,HR134,HV126,VW129,AAD131,#REF!,SV121,IR119,EO113,#REF!,#REF!,#REF!,MP16,#REF!,#REF!,GV35,GX41,HR46,IF50,KX54,HV58,#REF!,#REF!,#REF!,#REF!,#REF!)*0.7</f>
        <v>#REF!</v>
      </c>
      <c r="IS205" s="1674" t="e">
        <f>SUM(IS159,IS162,IS157,HS134,HW126,VX129,AAE131,#REF!,SW121,IS119,EP113,#REF!,#REF!,#REF!,MQ16,MH20,#REF!,GW35,GY41,HS46,IG50,KY54,HW58,#REF!,#REF!,#REF!,#REF!,#REF!)*0.7</f>
        <v>#REF!</v>
      </c>
      <c r="IT205" s="1674" t="e">
        <f>SUM(IT159,IT162,IT157,HT134,HX126,VY129,AAF131,#REF!,SX121,IT119,EQ113,#REF!,#REF!,#REF!,MR16,MI20,#REF!,GX35,GZ41,HT46,IH50,LL54,HX58,#REF!,#REF!,#REF!,#REF!,#REF!)*0.7</f>
        <v>#REF!</v>
      </c>
      <c r="IU205" s="1674" t="e">
        <f>SUM(IU159,IU162,IU157,HU134,HY126,VZ129,AAG131,#REF!,SY121,IU119,ER113,#REF!,#REF!,#REF!,MS16,MJ20,#REF!,GY35,HA41,HU46,IJ50,LM54,HY58,#REF!,#REF!,#REF!,#REF!,#REF!)*0.7</f>
        <v>#REF!</v>
      </c>
      <c r="IV205" s="1674" t="e">
        <f>SUM(IV159,IV162,IV157,HV134,HZ126,WA129,AAH131,#REF!,SZ121,IV119,ES113,#REF!,#REF!,#REF!,MT16,MK20,#REF!,GZ35,HB41,HV46,IK50,LN54,HZ58,#REF!,#REF!,#REF!,#REF!,#REF!)*0.7</f>
        <v>#REF!</v>
      </c>
      <c r="IW205" s="1674" t="e">
        <f>SUM(IW159,IW162,IW157,HW134,IA126,WB129,AAI131,#REF!,TA121,IW119,ET113,#REF!,#REF!,#REF!,MU16,ML20,#REF!,HA35,HC41,HW46,IL50,LO54,IA58,HG62,#REF!,#REF!,#REF!,#REF!)*0.7</f>
        <v>#REF!</v>
      </c>
      <c r="IX205" s="1674" t="e">
        <f>SUM(IX159,IX162,IX157,HX134,IB126,WC129,AAJ131,#REF!,TB121,IX119,EU113,#REF!,#REF!,#REF!,MV16,MM20,#REF!,HB35,HD41,HX46,IM50,LP54,IB58,HH62,#REF!,#REF!,#REF!,#REF!)*0.7</f>
        <v>#REF!</v>
      </c>
      <c r="IY205" s="1674" t="e">
        <f>SUM(IY159,IY162,IY157,HY134,IC126,WD129,AAK131,#REF!,TC121,IY119,EV113,#REF!,#REF!,#REF!,MW16,MN20,#REF!,HC35,HE41,#REF!,IN50,LQ54,IC58,HI62,#REF!,#REF!,#REF!,#REF!)*0.7</f>
        <v>#REF!</v>
      </c>
      <c r="IZ205" s="1674" t="e">
        <f>SUM(IZ159,IZ162,IZ157,HZ134,#REF!,WE129,AAL131,#REF!,TD121,IZ119,EW113,#REF!,#REF!,#REF!,MX16,MO20,#REF!,HD35,HF41,#REF!,IO50,LR54,ID58,HJ62,#REF!,#REF!,#REF!,#REF!)*0.7</f>
        <v>#REF!</v>
      </c>
      <c r="JA205" s="1674" t="e">
        <f>SUM(JA159,JA162,JA157,IA134,#REF!,WF129,AAM131,#REF!,TE121,JA119,EX113,#REF!,#REF!,#REF!,MY16,MP20,#REF!,HE35,HG41,#REF!,IP50,LS54,IE58,HK62,#REF!,#REF!,#REF!,#REF!)*0.7</f>
        <v>#REF!</v>
      </c>
      <c r="JB205" s="1674" t="e">
        <f>SUM(JB159,JB162,JB157,IB134,#REF!,WG129,AAN131,#REF!,TF121,JB119,EY113,#REF!,#REF!,#REF!,MZ16,MQ20,#REF!,HF35,HH41,#REF!,IQ50,LT54,IF58,HL62,#REF!,#REF!,#REF!,#REF!)*0.7</f>
        <v>#REF!</v>
      </c>
      <c r="JC205" s="1674" t="e">
        <f>SUM(JC159,JC162,JC157,IC134,#REF!,WH129,AAO131,#REF!,TG121,JC119,EZ113,#REF!,#REF!,#REF!,NA16,MR20,#REF!,HG35,HI41,#REF!,IR50,JA54,IG58,HM62,#REF!,#REF!,#REF!,#REF!)*0.7</f>
        <v>#REF!</v>
      </c>
      <c r="JD205" s="1674" t="e">
        <f>SUM(JD159,JD162,JD157,ID134,#REF!,WI129,AAP131,#REF!,TH121,JD119,FA113,#REF!,#REF!,#REF!,NB16,MS20,#REF!,HH35,HJ41,#REF!,IS50,JB54,IH58,HN62,#REF!,#REF!,#REF!,#REF!)*0.7</f>
        <v>#REF!</v>
      </c>
      <c r="JE205" s="1674" t="e">
        <f>SUM(JE159,JE162,JE157,IE134,#REF!,WJ129,AAQ131,#REF!,TI121,JE119,FB113,#REF!,#REF!,#REF!,NC16,MT20,#REF!,HI35,HK41,#REF!,IT50,JC54,IU58,HO62,#REF!,#REF!,#REF!,#REF!)*0.7</f>
        <v>#REF!</v>
      </c>
      <c r="JF205" s="1674" t="e">
        <f>SUM(JF159,JF162,JF157,IF134,#REF!,WK129,AAR131,#REF!,TJ121,JF119,FC113,#REF!,#REF!,#REF!,ND16,MU20,#REF!,HJ35,HL41,#REF!,IV50,JD54,IV58,HP62,#REF!,#REF!,#REF!,#REF!)*0.7</f>
        <v>#REF!</v>
      </c>
      <c r="JG205" s="1674" t="e">
        <f>SUM(JG159,JG162,JG157,IG134,#REF!,WL129,AAS131,#REF!,TK121,JG119,FD113,#REF!,#REF!,#REF!,NE16,MV20,#REF!,HK35,HM41,#REF!,IW50,JE54,IW58,HQ62,#REF!,#REF!,#REF!,#REF!)*0.7</f>
        <v>#REF!</v>
      </c>
      <c r="JH205" s="1674" t="e">
        <f>SUM(JH159,JH162,JH157,IH134,#REF!,WM129,AAT131,#REF!,TL121,JH119,FE113,#REF!,#REF!,JE12,NF16,MW20,#REF!,HL35,HN41,#REF!,IX50,JF54,IX58,HR62,#REF!,#REF!,#REF!,#REF!)*0.7</f>
        <v>#REF!</v>
      </c>
      <c r="JI205" s="1674" t="e">
        <f>SUM(JI159,JI162,JI157,II134,KF126,WN129,AAU131,#REF!,TM121,JI119,FF113,#REF!,#REF!,JF12,NG16,MX20,#REF!,HM35,#REF!,HY46,IY50,JG54,IY58,HS62,#REF!,#REF!,#REF!,#REF!)*0.7</f>
        <v>#REF!</v>
      </c>
      <c r="JJ205" s="1674" t="e">
        <f>SUM(JJ159,JJ162,JJ157,IJ134,#REF!,WO129,AAV131,#REF!,TN121,JJ119,FG113,#REF!,#REF!,JG12,NH16,MY20,#REF!,HN35,#REF!,HZ46,IZ50,JH54,IZ58,HT62,#REF!,#REF!,#REF!,#REF!)*0.7</f>
        <v>#REF!</v>
      </c>
      <c r="JK205" s="1674" t="e">
        <f>SUM(JK159,JK162,JK157,IK134,#REF!,WP129,AAW131,#REF!,TO121,JK119,FH113,#REF!,#REF!,JH12,NI16,MZ20,#REF!,HO35,#REF!,IA46,JA50,JI54,JA58,HU62,#REF!,#REF!,#REF!,#REF!)*0.7</f>
        <v>#REF!</v>
      </c>
      <c r="JL205" s="1674" t="e">
        <f>SUM(JL159,JL162,JL157,IL134,KG126,WQ129,AAX131,#REF!,TP121,JL119,FI113,#REF!,#REF!,JI12,NJ16,NA20,#REF!,HP35,#REF!,IB46,JB50,JJ54,JB58,#REF!,#REF!,#REF!,#REF!,#REF!)*0.7</f>
        <v>#REF!</v>
      </c>
      <c r="JM205" s="1674" t="e">
        <f>SUM(JM159,JM162,JM157,IM134,KH126,WR129,AAY131,EE124,TQ121,JM119,FJ113,#REF!,#REF!,JJ12,NK16,NB20,#REF!,HQ35,#REF!,IC46,JC50,JK54,JC58,#REF!,#REF!,#REF!,#REF!,#REF!)*0.7</f>
        <v>#REF!</v>
      </c>
      <c r="JN205" s="1674" t="e">
        <f>SUM(JN159,JN162,JN157,IN134,KI126,WS129,AAZ131,EF124,TR121,JN119,FK113,#REF!,#REF!,JK12,NL16,NC20,#REF!,HR35,#REF!,ID46,#REF!,JL54,JD58,HV62,#REF!,#REF!,#REF!,#REF!)*0.7</f>
        <v>#REF!</v>
      </c>
      <c r="JO205" s="1674" t="e">
        <f>SUM(JO159,JO162,JO157,IO134,KJ126,WT129,ABA131,EG124,TS121,JO119,FL113,#REF!,JN8,JL12,NM16,ND20,#REF!,HS35,#REF!,IE46,#REF!,JM54,JE58,HW62,#REF!,#REF!,#REF!,#REF!)*0.7</f>
        <v>#REF!</v>
      </c>
      <c r="JP205" s="1674" t="e">
        <f>SUM(JP159,JP162,JP157,IP134,KK126,WU129,ABB131,EH124,TT121,JP119,FM113,#REF!,JO8,JM12,NN16,NE20,#REF!,HT35,#REF!,IF46,#REF!,JN54,JF58,HX62,#REF!,#REF!,#REF!,#REF!)*0.7</f>
        <v>#REF!</v>
      </c>
      <c r="JQ205" s="1674" t="e">
        <f>SUM(JQ159,JQ162,JQ157,IQ134,KL126,WV129,ABC131,EI124,TU121,JQ119,FN113,#REF!,JP8,JN12,NO16,NF20,#REF!,HU35,#REF!,IG46,#REF!,JO54,JG58,HY62,#REF!,#REF!,#REF!,#REF!)*0.7</f>
        <v>#REF!</v>
      </c>
      <c r="JR205" s="1674" t="e">
        <f>SUM(JR159,JR162,JR157,IR134,KM126,WW129,ABD131,EJ124,TV121,JR119,FO113,#REF!,JQ8,JO12,NP16,NG20,#REF!,HV35,#REF!,IH46,#REF!,JP54,JH58,HZ62,#REF!,#REF!,#REF!,#REF!)*0.7</f>
        <v>#REF!</v>
      </c>
      <c r="JS205" s="1674" t="e">
        <f>SUM(JS159,JS162,JS157,IS134,KN126,WX129,ABE131,EK124,TW121,JS119,FP113,#REF!,JR8,JP12,NQ16,NH20,MI25,HW35,#REF!,II46,#REF!,JQ54,JI58,IA62,#REF!,#REF!,#REF!,#REF!)*0.7</f>
        <v>#REF!</v>
      </c>
      <c r="JT205" s="1674" t="e">
        <f>SUM(JT159,JT162,JT157,IT134,KO126,WY129,ABF131,EL124,TX121,JT119,FQ113,#REF!,JS8,JQ12,NR16,NI20,MJ25,HX35,#REF!,IJ46,#REF!,JR54,JJ58,IB62,#REF!,#REF!,#REF!,#REF!)*0.7</f>
        <v>#REF!</v>
      </c>
      <c r="JU205" s="1674" t="e">
        <f>SUM(JU159,JU162,JU157,IU134,KP126,WZ129,ABG131,EM124,TY121,JU119,FR113,#REF!,JT8,JR12,NS16,NJ20,MK25,HY35,#REF!,IK46,#REF!,JS54,JK58,IC62,#REF!,#REF!,#REF!,#REF!)*0.7</f>
        <v>#REF!</v>
      </c>
      <c r="JV205" s="1674" t="e">
        <f>SUM(JV159,JV162,JV157,IV134,KQ126,XA129,ABH131,EN124,TZ121,JV119,FS113,#REF!,JU8,JS12,NT16,NK20,ML25,HZ35,#REF!,IL46,#REF!,JT54,JL58,ID62,#REF!,#REF!,#REF!,#REF!)*0.7</f>
        <v>#REF!</v>
      </c>
      <c r="JW205" s="1674" t="e">
        <f>SUM(JW159,JW162,JW157,IW134,KR126,XB129,ABI131,EO124,UA121,JW119,FT113,#REF!,JV8,#REF!,NU16,NL20,MM25,IA35,#REF!,IM46,JD50,JU54,JM58,IE62,#REF!,#REF!,#REF!,#REF!)*0.7</f>
        <v>#REF!</v>
      </c>
      <c r="JX205" s="1674" t="e">
        <f>SUM(JX159,JX162,JX157,IX134,KS126,XC129,ABJ131,EP124,UB121,JX119,FU113,#REF!,JW8,#REF!,NV16,NM20,MN25,IB35,#REF!,IN46,JE50,JV54,JN58,IF62,#REF!,#REF!,#REF!,#REF!)*0.7</f>
        <v>#REF!</v>
      </c>
      <c r="JY205" s="1674" t="e">
        <f>SUM(JY159,JY162,JY157,IY134,KT126,XD129,ABK131,EQ124,UC121,JY119,FV113,#REF!,JX8,#REF!,NW16,NN20,MO25,IC35,#REF!,IO46,JF50,#REF!,JO58,IG62,#REF!,#REF!,#REF!,#REF!)*0.7</f>
        <v>#REF!</v>
      </c>
      <c r="JZ205" s="1674" t="e">
        <f>SUM(JZ159,JZ162,JZ157,IZ134,KU126,XE129,ABL131,#REF!,UD121,JZ119,FW113,#REF!,JY8,#REF!,NX16,NO20,MP25,ID35,#REF!,IP46,JG50,#REF!,JP58,IH62,#REF!,#REF!,#REF!,#REF!)*0.7</f>
        <v>#REF!</v>
      </c>
      <c r="KA205" s="1674" t="e">
        <f>SUM(KA159,KA162,KA157,JA134,KV126,XF129,ABM131,GW124,UE121,KA119,FX113,#REF!,JZ8,#REF!,NY16,NP20,MQ25,IE35,#REF!,IQ46,JH50,#REF!,JQ58,II62,#REF!,#REF!,#REF!,#REF!)*0.7</f>
        <v>#REF!</v>
      </c>
      <c r="KB205" s="1674" t="e">
        <f>SUM(KB159,KB162,KB157,JB134,KW126,XG129,ABN131,GX124,UF121,KB119,FY113,#REF!,KA8,#REF!,NZ16,NQ20,MR25,IF35,#REF!,IR46,JI50,#REF!,JR58,IJ62,#REF!,#REF!,#REF!,#REF!)*0.7</f>
        <v>#REF!</v>
      </c>
      <c r="KC205" s="1674" t="e">
        <f>SUM(KC159,KC162,KC157,JC134,KX126,XH129,ABO131,GY124,UG121,KC119,FZ113,#REF!,KB8,#REF!,OA16,NR20,MS25,IG35,#REF!,IS46,JJ50,#REF!,JS58,IK62,#REF!,#REF!,#REF!,#REF!)*0.7</f>
        <v>#REF!</v>
      </c>
      <c r="KD205" s="1674" t="e">
        <f>SUM(KD159,KD162,KD157,JD134,KY126,XI129,ABP131,#REF!,UH121,KD119,GA113,#REF!,KC8,#REF!,OB16,NS20,MT25,IH35,#REF!,IT46,JK50,#REF!,JT58,IL62,#REF!,#REF!,#REF!,#REF!)*0.7</f>
        <v>#REF!</v>
      </c>
      <c r="KE205" s="1674" t="e">
        <f>SUM(KE159,KE162,KE157,JE134,KZ126,XJ129,ABQ131,#REF!,UI121,KE119,GB113,#REF!,KD8,#REF!,OC16,NT20,MU25,II35,#REF!,IU46,JL50,#REF!,JU58,IM62,#REF!,#REF!,#REF!,#REF!)*0.7</f>
        <v>#REF!</v>
      </c>
      <c r="KF205" s="1674" t="e">
        <f>SUM(KF159,KF162,KF157,JF134,LA126,XK129,ABR131,HT124,UJ121,KF119,GC113,#REF!,KE8,#REF!,OD16,NU20,MV25,IJ35,#REF!,IV46,#REF!,#REF!,JV58,IN62,#REF!,#REF!,#REF!,#REF!)*0.7</f>
        <v>#REF!</v>
      </c>
      <c r="KG205" s="1674" t="e">
        <f>SUM(KG159,KG162,KG157,JG134,LB126,XL129,ABS131,HU124,UK121,KG119,GD113,#REF!,KF8,#REF!,OE16,NV20,MW25,IK35,#REF!,IW46,JM50,#REF!,JW58,IO62,#REF!,#REF!,#REF!,#REF!)*0.7</f>
        <v>#REF!</v>
      </c>
      <c r="KH205" s="1674" t="e">
        <f>SUM(KH159,KH162,KH157,JH134,LC126,XM129,ABT131,HV124,UL121,KH119,GE113,#REF!,KG8,#REF!,OF16,NW20,MX25,IL35,#REF!,IX46,JN50,#REF!,JX58,IP62,#REF!,#REF!,#REF!,#REF!)*0.7</f>
        <v>#REF!</v>
      </c>
      <c r="KI205" s="1674" t="e">
        <f>SUM(KI159,KI162,KI157,JI134,LD126,XN129,ABU131,HW124,UM121,KI119,GF113,#REF!,KH8,#REF!,OG16,NX20,MY25,IM35,#REF!,IY46,JO50,JW54,JY58,IQ62,#REF!,#REF!,#REF!,#REF!)*0.7</f>
        <v>#REF!</v>
      </c>
      <c r="KJ205" s="1674" t="e">
        <f>SUM(KJ159,KJ162,KJ157,JJ134,LE126,XO129,ABV131,HX124,UN121,KJ119,GG113,#REF!,KI8,JT12,OH16,NY20,MZ25,IN35,#REF!,IZ46,JP50,JX54,JZ58,IR62,#REF!,#REF!,#REF!,#REF!)*0.7</f>
        <v>#REF!</v>
      </c>
      <c r="KK205" s="1674" t="e">
        <f>SUM(KK159,KK162,KK157,JK134,LF126,XP129,ABW131,HY124,UO121,KK119,GH113,#REF!,KJ8,JU12,OI16,NZ20,NA25,IO35,#REF!,JA46,JQ50,JY54,KA58,IS62,#REF!,#REF!,#REF!,#REF!)*0.7</f>
        <v>#REF!</v>
      </c>
      <c r="KL205" s="1674" t="e">
        <f>SUM(KL159,KL162,KL157,JL134,LG126,XQ129,ABX131,HZ124,UP121,KL119,GI113,#REF!,KK8,JV12,OJ16,OA20,NB25,IP35,#REF!,JB46,JR50,JZ54,KB58,IT62,#REF!,#REF!,#REF!,#REF!)*0.7</f>
        <v>#REF!</v>
      </c>
      <c r="KM205" s="1674" t="e">
        <f>SUM(KM159,KM162,KM157,JM134,LH126,XR129,ABY131,IA124,UQ121,KM119,GJ113,#REF!,KL8,JW12,OK16,OB20,NC25,IQ35,#REF!,JC46,JS50,KA54,KC58,IU62,#REF!,#REF!,#REF!,#REF!)*0.7</f>
        <v>#REF!</v>
      </c>
      <c r="KN205" s="1674" t="e">
        <f>SUM(KN159,KN162,KN157,JN134,LI126,XS129,ABZ131,IB124,UR121,KN119,GK113,#REF!,KM8,JX12,OL16,OC20,ND25,IR35,#REF!,JD46,JT50,KB54,#REF!,IV62,#REF!,#REF!,#REF!,#REF!)*0.7</f>
        <v>#REF!</v>
      </c>
      <c r="KO205" s="1674" t="e">
        <f>SUM(KO159,KO162,KO157,JO134,LJ126,XT129,ACA131,IC124,US121,KO119,GL113,#REF!,KN8,JY12,OM16,OD20,NE25,IS35,#REF!,JE46,JU50,KC54,#REF!,IW62,#REF!,#REF!,#REF!,#REF!)*0.7</f>
        <v>#REF!</v>
      </c>
      <c r="KP205" s="1674" t="e">
        <f>SUM(KP159,KP162,KP157,JP134,LK126,XU129,ACB131,ID124,UT121,KP119,GM113,#REF!,KO8,JZ12,ON16,OE20,NF25,IT35,#REF!,JF46,JV50,KD54,#REF!,IX62,#REF!,#REF!,#REF!,#REF!)*0.7</f>
        <v>#REF!</v>
      </c>
      <c r="KQ205" s="1674" t="e">
        <f>SUM(KQ159,KQ162,KQ157,JQ134,LL126,XV129,ACC131,#REF!,UU121,KQ119,GN113,#REF!,KP8,KA12,OO16,OF20,NG25,IU35,#REF!,JG46,JW50,#REF!,#REF!,IY62,#REF!,#REF!,#REF!,#REF!)*0.7</f>
        <v>#REF!</v>
      </c>
      <c r="KR205" s="1674" t="e">
        <f>SUM(KR159,KR162,KR157,JR134,LM126,XW129,ACD131,#REF!,UV121,KR119,GO113,#REF!,KQ8,KB12,OP16,OG20,NH25,IV35,#REF!,JH46,JX50,#REF!,#REF!,IZ62,#REF!,#REF!,#REF!,#REF!)*0.7</f>
        <v>#REF!</v>
      </c>
      <c r="KS205" s="1674" t="e">
        <f>SUM(KS159,KS162,KS157,JS134,LN126,XX129,ACE131,IG124,UW121,KS119,GP113,#REF!,KR8,KC12,OQ16,OH20,NI25,IW35,#REF!,JI46,JY50,#REF!,#REF!,JA62,#REF!,#REF!,#REF!,#REF!)*0.7</f>
        <v>#REF!</v>
      </c>
      <c r="KT205" s="1674" t="e">
        <f>SUM(KT159,KT162,KT157,JT134,LO126,XY129,ACF131,IH124,UX121,KT119,GQ113,#REF!,KS8,KD12,OR16,OI20,NJ25,IX35,#REF!,JJ46,JZ50,#REF!,#REF!,#REF!,#REF!,#REF!,#REF!,#REF!)*0.7</f>
        <v>#REF!</v>
      </c>
      <c r="KU205" s="1674" t="e">
        <f>SUM(KU159,KU162,KU157,JU134,JP126,XZ129,ACG131,II124,UY121,KU119,#REF!,#REF!,KT8,KE12,OS16,OJ20,NK25,IY35,#REF!,JK46,KA50,#REF!,#REF!,#REF!,#REF!,#REF!,#REF!,#REF!)*0.7</f>
        <v>#REF!</v>
      </c>
      <c r="KV205" s="1674" t="e">
        <f>SUM(KV159,KV162,KV157,JV134,JQ126,YA129,ACH131,#REF!,UZ121,KV119,#REF!,#REF!,KU8,KF12,OT16,OK20,NL25,IZ35,#REF!,JL46,KB50,#REF!,#REF!,JB62,#REF!,#REF!,#REF!,#REF!)*0.7</f>
        <v>#REF!</v>
      </c>
      <c r="KW205" s="1674" t="e">
        <f>SUM(KW159,KW162,KW157,JW134,JR126,YB129,ACI131,#REF!,VA121,KW119,#REF!,#REF!,KV8,KG12,OU16,OL20,NM25,JA35,#REF!,JM46,KC50,#REF!,KD58,JC62,#REF!,#REF!,#REF!,#REF!)*0.7</f>
        <v>#REF!</v>
      </c>
      <c r="KX205" s="1674" t="e">
        <f>SUM(KX159,KX162,KX157,JX134,JS126,YC129,ACJ131,IL124,VB121,KX119,#REF!,#REF!,KW8,KH12,OV16,OM20,NN25,JB35,#REF!,JN46,KD50,#REF!,KE58,JD62,#REF!,#REF!,#REF!,#REF!)*0.7</f>
        <v>#REF!</v>
      </c>
      <c r="KY205" s="1674" t="e">
        <f>SUM(KY159,KY162,KY157,JY134,JT126,YD129,ACK131,IM124,VC121,KY119,#REF!,#REF!,KX8,KI12,OW16,ON20,NO25,JC35,#REF!,JO46,KE50,#REF!,KF58,JE62,#REF!,#REF!,#REF!,#REF!)*0.7</f>
        <v>#REF!</v>
      </c>
      <c r="KZ205" s="1674" t="e">
        <f>SUM(KZ159,KZ162,KZ157,JZ134,JU126,YE129,ACL131,IN124,VD121,KZ119,#REF!,#REF!,KY8,KJ12,OX16,OO20,NP25,JD35,#REF!,JP46,KF50,#REF!,KG58,JF62,#REF!,#REF!,#REF!,#REF!)*0.7</f>
        <v>#REF!</v>
      </c>
      <c r="LA205" s="1674" t="e">
        <f>SUM(LA159,LA162,LA157,KA134,JV126,YF129,ACM131,IO124,VE121,LA119,#REF!,#REF!,KZ8,KK12,OY16,OP20,NQ25,JE35,#REF!,JQ46,KG50,#REF!,KH58,JG62,#REF!,#REF!,#REF!,#REF!)*0.7</f>
        <v>#REF!</v>
      </c>
      <c r="LB205" s="1674" t="e">
        <f>SUM(LB159,LB162,LB157,KB134,JW126,YG129,ACN131,IP124,VF121,LB119,#REF!,#REF!,LA8,KL12,OZ16,OQ20,NR25,JF35,#REF!,JR46,KH50,#REF!,KI58,JH62,#REF!,#REF!,#REF!,#REF!)*0.7</f>
        <v>#REF!</v>
      </c>
      <c r="LC205" s="1674" t="e">
        <f>SUM(LC159,LC162,LC157,KC134,JX126,YH129,ACO131,IQ124,VG121,LC119,#REF!,#REF!,LB8,KM12,PA16,OR20,NS25,JG35,#REF!,KE46,KI50,#REF!,KJ58,JI62,#REF!,#REF!,#REF!,#REF!)*0.7</f>
        <v>#REF!</v>
      </c>
      <c r="LD205" s="1674" t="e">
        <f>SUM(LD159,LD162,LD157,KD134,JY126,YI129,ACP131,IR124,VH121,LD119,#REF!,#REF!,LC8,KN12,PB16,OS20,NT25,JH35,#REF!,KF46,#REF!,#REF!,KK58,JJ62,#REF!,#REF!,#REF!,#REF!)*0.7</f>
        <v>#REF!</v>
      </c>
      <c r="LE205" s="1674" t="e">
        <f>SUM(LE159,LE162,LE157,KE134,JZ126,YJ129,ACQ131,IS124,VI121,LE119,#REF!,#REF!,LD8,KO12,PC16,OT20,NU25,JI35,#REF!,KG46,#REF!,#REF!,KL58,JK62,#REF!,#REF!,#REF!,#REF!)*0.7</f>
        <v>#REF!</v>
      </c>
      <c r="LF205" s="1674" t="e">
        <f>SUM(LF159,LF162,LF157,KF134,KA126,YK129,ACR131,IT124,VJ121,LF119,#REF!,#REF!,LE8,KP12,PD16,OU20,NV25,JJ35,#REF!,KH46,#REF!,#REF!,KM58,JL62,#REF!,#REF!,#REF!,#REF!)*0.7</f>
        <v>#REF!</v>
      </c>
      <c r="LG205" s="1674" t="e">
        <f>SUM(LG159,LG162,LG157,KG134,KB126,YL129,ACS131,IU124,VK121,LG119,#REF!,#REF!,LF8,KQ12,PE16,OV20,NW25,JK35,#REF!,KI46,#REF!,#REF!,KN58,JM62,#REF!,#REF!,#REF!,#REF!)*0.7</f>
        <v>#REF!</v>
      </c>
      <c r="LH205" s="1674" t="e">
        <f>SUM(LH159,LH162,LH157,KH134,KC126,YM129,ACT131,IV124,VL121,LH119,#REF!,#REF!,LG8,KR12,PF16,OW20,NX25,JL35,#REF!,KJ46,#REF!,#REF!,KO58,JN62,#REF!,#REF!,#REF!,#REF!)*0.7</f>
        <v>#REF!</v>
      </c>
      <c r="LI205" s="1674" t="e">
        <f>SUM(LI159,LI162,LI157,KI134,KD126,YN129,ACU131,IW124,VM121,LI119,#REF!,#REF!,LH8,KS12,PG16,OX20,NY25,JM35,#REF!,KK46,#REF!,#REF!,KP58,JO62,#REF!,#REF!,#REF!,#REF!)*0.7</f>
        <v>#REF!</v>
      </c>
      <c r="LJ205" s="1674" t="e">
        <f>SUM(LJ159,LJ162,LJ157,KJ134,KE126,YO129,ACV131,IX124,VN121,LJ119,#REF!,#REF!,LI8,KT12,PH16,OY20,NZ25,JN35,#REF!,KL46,#REF!,#REF!,KQ58,JP62,#REF!,#REF!,#REF!,#REF!)*0.7</f>
        <v>#REF!</v>
      </c>
      <c r="LK205" s="1674" t="e">
        <f>SUM(LK159,LK162,LK157,KK134,#REF!,YP129,ACW131,IY124,VO121,LK119,#REF!,#REF!,LJ8,KU12,PI16,OZ20,OA25,JO35,#REF!,KM46,#REF!,#REF!,KR58,JQ62,#REF!,#REF!,#REF!,#REF!)*0.7</f>
        <v>#REF!</v>
      </c>
      <c r="LL205" s="1674" t="e">
        <f>SUM(LL159,LL162,LL157,KL134,#REF!,YQ129,ACX131,IZ124,VP121,LL119,#REF!,#REF!,LK8,KV12,PJ16,PA20,OB25,JP35,#REF!,KN46,#REF!,#REF!,#REF!,JR62,#REF!,#REF!,#REF!,#REF!)*0.7</f>
        <v>#REF!</v>
      </c>
      <c r="LM205" s="1674" t="e">
        <f>SUM(LM159,LM162,LM157,KM134,LP126,YR129,ACY131,NI124,VQ121,LM119,#REF!,#REF!,LL8,KW12,PK16,OX20,OB25,KC35,#REF!,LA46,#REF!,#REF!,KW58,KE62,#REF!,#REF!,#REF!,#REF!)*0.7</f>
        <v>#REF!</v>
      </c>
      <c r="LN205" s="1674" t="e">
        <f>SUM(LN159,LN162,LN157,KN134,LQ126,YS129,ACZ131,NJ124,VR121,LN119,#REF!,#REF!,LM8,KX12,PL16,OY20,OC25,KD35,#REF!,LB46,#REF!,#REF!,KX58,KF62,#REF!,#REF!,#REF!,#REF!)*0.7</f>
        <v>#REF!</v>
      </c>
      <c r="LO205" s="1674" t="e">
        <f>SUM(LO159,LO162,LO157,KO134,LR126,YT129,ADA131,NK124,VS121,LO119,#REF!,#REF!,LN8,KY12,PM16,OZ20,OD25,KE35,#REF!,LC46,#REF!,#REF!,KY58,KG62,#REF!,#REF!,#REF!,#REF!)*0.7</f>
        <v>#REF!</v>
      </c>
      <c r="LP205" s="1674" t="e">
        <f>SUM(LP159,LP162,LP157,KP134,LS126,YU129,ADB131,NL124,VT121,LP119,#REF!,#REF!,LO8,KZ12,PN16,PA20,OE25,KF35,#REF!,LD46,#REF!,#REF!,KZ58,KH62,#REF!,#REF!,#REF!,#REF!)*0.7</f>
        <v>#REF!</v>
      </c>
      <c r="LQ205" s="1674" t="e">
        <f>SUM(LQ159,LQ162,LQ157,KQ134,LT126,YV129,ADC131,NM124,VU121,LQ119,#REF!,#REF!,LP8,LA12,PO16,PB20,OF25,KG35,#REF!,LE46,#REF!,#REF!,LA58,KI62,#REF!,#REF!,#REF!,#REF!)*0.7</f>
        <v>#REF!</v>
      </c>
      <c r="LR205" s="1674" t="e">
        <f>SUM(LR159,LR162,LR157,KR134,LU126,YW129,ADD131,NN124,VV121,LR119,#REF!,#REF!,LQ8,LB12,PP16,PC20,OG25,KH35,#REF!,LF46,#REF!,#REF!,LB58,KJ62,#REF!,#REF!,#REF!,#REF!)*0.7</f>
        <v>#REF!</v>
      </c>
      <c r="LS205" s="1674" t="e">
        <f>SUM(LS159,LS162,LS157,KS134,LV126,YX129,ADE131,NO124,VW121,LS119,#REF!,#REF!,LR8,LC12,PQ16,PD20,OH25,KI35,#REF!,LG46,#REF!,#REF!,LC58,KK62,#REF!,#REF!,#REF!,#REF!)*0.7</f>
        <v>#REF!</v>
      </c>
      <c r="LT205" s="1674" t="e">
        <f>SUM(LT159,LT162,LT157,KT134,LW126,YY129,ADF131,NP124,VX121,LT119,#REF!,#REF!,LS8,LD12,PR16,PE20,OI25,KJ35,#REF!,LH46,#REF!,#REF!,LD58,KL62,#REF!,#REF!,#REF!,#REF!)*0.7</f>
        <v>#REF!</v>
      </c>
      <c r="LU205" s="1674" t="e">
        <f>SUM(LU159,LU162,LU157,KU134,LX126,YZ129,ADG131,NQ124,VY121,LU119,#REF!,#REF!,LT8,LE12,PS16,PF20,OJ25,KK35,#REF!,LI46,#REF!,#REF!,LE58,KM62,#REF!,#REF!,#REF!,#REF!)*0.7</f>
        <v>#REF!</v>
      </c>
      <c r="LV205" s="1674" t="e">
        <f>SUM(LV159,LV162,LV157,KV134,LY126,ZA129,ADH131,#REF!,VZ121,LV119,#REF!,#REF!,LU8,LF12,PT16,PG20,OK25,KL35,#REF!,LJ46,#REF!,#REF!,LF58,KN62,#REF!,#REF!,#REF!,#REF!)*0.7</f>
        <v>#REF!</v>
      </c>
      <c r="LW205" s="1674" t="e">
        <f>SUM(LW159,LW162,LW157,KW134,LZ126,ZB129,ADI131,#REF!,WA121,LW119,#REF!,#REF!,LV8,LG12,PU16,PH20,OL25,KM35,#REF!,LK46,#REF!,#REF!,LG58,KO62,#REF!,#REF!,#REF!,#REF!)*0.7</f>
        <v>#REF!</v>
      </c>
      <c r="LX205" s="1674" t="e">
        <f>SUM(LX159,LX162,LX157,KX134,MA126,ZC129,ADJ131,NT124,WB121,LX119,#REF!,#REF!,LW8,LH12,PV16,PI20,OM25,KN35,#REF!,LL46,#REF!,#REF!,LH58,KP62,#REF!,#REF!,#REF!,#REF!)*0.7</f>
        <v>#REF!</v>
      </c>
      <c r="LY205" s="1674" t="e">
        <f>SUM(LY159,LY162,LY157,KY134,MB126,ZD129,ADK131,NU124,WC121,LY119,#REF!,#REF!,LX8,LI12,PW16,PJ20,ON25,KO35,#REF!,LM46,#REF!,#REF!,LI58,KQ62,#REF!,#REF!,#REF!,#REF!)*0.7</f>
        <v>#REF!</v>
      </c>
      <c r="LZ205" s="1674" t="e">
        <f>SUM(LZ159,LZ162,LZ157,KZ134,MC126,ZE129,ADL131,#REF!,WD121,LZ119,#REF!,#REF!,LY8,LJ12,PX16,PK20,OO25,KP35,#REF!,LN46,#REF!,#REF!,#REF!,KR62,#REF!,#REF!,#REF!,#REF!)*0.7</f>
        <v>#REF!</v>
      </c>
      <c r="MA205" s="1674" t="e">
        <f>SUM(MA159,MA162,MA157,LA134,MD126,ZF129,ADM131,#REF!,WE121,MA119,#REF!,#REF!,LZ8,LK12,PY16,PL20,OP25,KQ35,#REF!,LO46,#REF!,#REF!,#REF!,KS62,#REF!,#REF!,#REF!,#REF!)*0.7</f>
        <v>#REF!</v>
      </c>
      <c r="MB205" s="1674" t="e">
        <f>SUM(MB159,MB162,MB157,LB134,ME126,ZG129,ADN131,#REF!,WF121,MB119,#REF!,#REF!,MA8,LL12,PZ16,PM20,OQ25,KR35,#REF!,LP46,#REF!,#REF!,#REF!,KT62,#REF!,#REF!,#REF!,#REF!)*0.7</f>
        <v>#REF!</v>
      </c>
      <c r="MC205" s="1674" t="e">
        <f>SUM(MC159,MC162,MC157,LC134,MF126,ZH129,ADO131,#REF!,WG121,MC119,#REF!,#REF!,MB8,LM12,QA16,PN20,OR25,KS35,#REF!,LQ46,#REF!,#REF!,#REF!,KU62,#REF!,#REF!,#REF!,#REF!)*0.7</f>
        <v>#REF!</v>
      </c>
      <c r="MD205" s="1674" t="e">
        <f>SUM(MD159,MD162,MD157,LD134,MG126,ZI129,ADP131,#REF!,WH121,MD119,#REF!,#REF!,MC8,LN12,QB16,PO20,OS25,KT35,#REF!,LR46,#REF!,#REF!,#REF!,KV62,#REF!,#REF!,#REF!,#REF!)*0.7</f>
        <v>#REF!</v>
      </c>
      <c r="ME205" s="1674" t="e">
        <f>SUM(ME159,ME162,ME157,LE134,MH126,ZJ129,ADQ131,#REF!,WI121,ME119,#REF!,#REF!,MD8,LO12,QC16,PP20,OT25,KU35,#REF!,#REF!,#REF!,#REF!,#REF!,KW62,#REF!,#REF!,#REF!,#REF!)*0.7</f>
        <v>#REF!</v>
      </c>
      <c r="MF205" s="1674" t="e">
        <f>SUM(MF159,MF162,MF157,LF134,MI126,ZK129,ADR131,#REF!,WJ121,MF119,#REF!,#REF!,ME8,LP12,QD16,PQ20,OU25,KV35,#REF!,#REF!,LX50,#REF!,#REF!,KX62,#REF!,#REF!,#REF!,#REF!)*0.7</f>
        <v>#REF!</v>
      </c>
      <c r="MG205" s="1674" t="e">
        <f>SUM(MG159,MG162,MG157,LG134,MJ126,ZL129,ADS131,#REF!,WK121,MG119,#REF!,#REF!,MF8,LQ12,QE16,PR20,OV25,KW35,#REF!,#REF!,LY50,#REF!,#REF!,KY62,#REF!,#REF!,#REF!,#REF!)*0.7</f>
        <v>#REF!</v>
      </c>
      <c r="MH205" s="1674" t="e">
        <f>SUM(MH159,MH162,MH157,LH134,MK126,ZM129,ADT131,#REF!,WL121,MH119,#REF!,#REF!,MG8,LR12,QF16,PS20,OW25,KX35,#REF!,#REF!,LZ50,#REF!,#REF!,KZ62,#REF!,#REF!,#REF!,#REF!)*0.7</f>
        <v>#REF!</v>
      </c>
      <c r="MI205" s="1674" t="e">
        <f>SUM(MI159,MI162,MI157,LI134,ML126,ZN129,ADU131,#REF!,WM121,MI119,#REF!,#REF!,MH8,LS12,QG16,PT20,OX25,KY35,#REF!,#REF!,MA50,#REF!,#REF!,LA62,#REF!,#REF!,#REF!,#REF!)*0.7</f>
        <v>#REF!</v>
      </c>
      <c r="MJ205" s="1674" t="e">
        <f>SUM(MJ159,MJ162,MJ157,LJ134,MM126,ZO129,ADV131,#REF!,WN121,MJ119,#REF!,#REF!,MI8,LT12,QH16,PU20,OY25,KZ35,#REF!,#REF!,MB50,#REF!,#REF!,LB62,#REF!,#REF!,#REF!,#REF!)*0.7</f>
        <v>#REF!</v>
      </c>
      <c r="MK205" s="1674" t="e">
        <f>SUM(MK159,MK162,MK157,LK134,MN126,ZP129,ADW131,#REF!,WO121,MK119,#REF!,#REF!,MJ8,LU12,QI16,PV20,OZ25,LA35,#REF!,#REF!,MC50,#REF!,#REF!,LC62,#REF!,#REF!,#REF!,#REF!)*0.7</f>
        <v>#REF!</v>
      </c>
      <c r="ML205" s="1674" t="e">
        <f>SUM(ML159,ML162,ML157,LL134,MO126,ZQ129,ADX131,#REF!,WP121,ML119,#REF!,#REF!,MK8,LV12,QJ16,PW20,PA25,LB35,#REF!,#REF!,MD50,#REF!,#REF!,LD62,#REF!,#REF!,#REF!,#REF!)*0.7</f>
        <v>#REF!</v>
      </c>
      <c r="MM205" s="1674" t="e">
        <f>SUM(MM159,MM162,MM157,LM134,MP126,ZR129,ADY131,#REF!,WQ121,MM119,#REF!,#REF!,ML8,LW12,QK16,PX20,PB25,LC35,#REF!,#REF!,ME50,#REF!,#REF!,LE62,#REF!,#REF!,#REF!,#REF!)*0.7</f>
        <v>#REF!</v>
      </c>
      <c r="MN205" s="1674" t="e">
        <f>SUM(MN159,MN162,MN157,LN134,MQ126,ZS129,ADZ131,#REF!,WR121,MN119,#REF!,#REF!,MM8,LX12,QL16,PY20,PC25,LD35,#REF!,#REF!,MF50,#REF!,#REF!,LF62,#REF!,#REF!,#REF!,#REF!)*0.7</f>
        <v>#REF!</v>
      </c>
      <c r="MO205" s="1674" t="e">
        <f>SUM(MO159,MO162,MO157,LO134,MR126,ZT129,AEA131,#REF!,WS121,MO119,GR113,#REF!,MN8,LY12,QM16,PZ20,PD25,LE35,#REF!,#REF!,MG50,#REF!,#REF!,LG62,#REF!,#REF!,#REF!,#REF!)*0.7</f>
        <v>#REF!</v>
      </c>
      <c r="MP205" s="1674" t="e">
        <f>SUM(MP159,MP162,MP157,LP134,MS126,ZU129,AEB131,#REF!,WT121,MP119,GS113,#REF!,MO8,LZ12,QN16,QA20,PE25,LF35,#REF!,#REF!,MH50,#REF!,#REF!,LH62,#REF!,#REF!,#REF!,#REF!)*0.7</f>
        <v>#REF!</v>
      </c>
      <c r="MQ205" s="1674" t="e">
        <f>SUM(MQ159,MQ162,MQ157,LQ134,MT126,ZV129,AEC131,#REF!,WU121,MQ119,GT113,#REF!,MP8,MA12,QO16,QB20,PF25,LG35,#REF!,LS46,MI50,#REF!,#REF!,LI62,#REF!,#REF!,#REF!,#REF!)*0.7</f>
        <v>#REF!</v>
      </c>
      <c r="MR205" s="1674" t="e">
        <f>SUM(MR159,MR162,MR157,LR134,MU126,ZW129,AED131,#REF!,WV121,MR119,GU113,#REF!,MQ8,MB12,QP16,QC20,PG25,LH35,#REF!,LT46,MJ50,#REF!,#REF!,LJ62,#REF!,#REF!,#REF!,#REF!)*0.7</f>
        <v>#REF!</v>
      </c>
      <c r="MS205" s="1674" t="e">
        <f>SUM(MS159,MS162,MS157,LS134,MV126,ZX129,AEE131,#REF!,WW121,MS119,GV113,#REF!,MR8,MC12,QQ16,QD20,PH25,LI35,#REF!,LU46,MK50,#REF!,#REF!,LK62,#REF!,#REF!,#REF!,#REF!)*0.7</f>
        <v>#REF!</v>
      </c>
      <c r="MT205" s="1674" t="e">
        <f>SUM(MT159,MT162,MT157,LT134,MW126,ZY129,AEF131,#REF!,WX121,MT119,GW113,#REF!,MS8,MD12,QR16,QE20,PI25,LJ35,#REF!,LV46,ML50,#REF!,#REF!,LL62,#REF!,#REF!,#REF!,#REF!)*0.7</f>
        <v>#REF!</v>
      </c>
      <c r="MU205" s="1674" t="e">
        <f>SUM(MU159,MU162,MU157,LU134,MX126,ZZ129,AEG131,#REF!,WY121,MU119,GX113,#REF!,MT8,ME12,QS16,QF20,PJ25,LK35,#REF!,LW46,MM50,#REF!,#REF!,LM62,#REF!,#REF!,#REF!,#REF!)*0.7</f>
        <v>#REF!</v>
      </c>
      <c r="MV205" s="1674" t="e">
        <f>SUM(MV159,MV162,MV157,LV134,MY126,AAA129,AEH131,#REF!,WZ121,MV119,GY113,#REF!,MU8,MF12,QT16,QG20,PK25,LL35,#REF!,LX46,MN50,#REF!,#REF!,LN62,#REF!,#REF!,#REF!,#REF!)*0.7</f>
        <v>#REF!</v>
      </c>
      <c r="MW205" s="1674" t="e">
        <f>SUM(MW159,MW162,MW157,LW134,MZ126,AAB129,AEI131,#REF!,XA121,MW119,GZ113,#REF!,MV8,MG12,QU16,QH20,PL25,LM35,#REF!,LY46,MO50,#REF!,#REF!,LO62,#REF!,#REF!,#REF!,#REF!)*0.7</f>
        <v>#REF!</v>
      </c>
      <c r="MX205" s="1674" t="e">
        <f>SUM(MX159,MX162,MX157,LX134,NA126,AAC129,AEJ131,#REF!,XB121,MX119,HA113,#REF!,MW8,MH12,QV16,QI20,PM25,LN35,#REF!,LZ46,MP50,#REF!,#REF!,LP62,#REF!,#REF!,#REF!,#REF!)*0.7</f>
        <v>#REF!</v>
      </c>
      <c r="MY205" s="1674" t="e">
        <f>SUM(MY159,MY162,MY157,LY134,NB126,AAD129,AEK131,#REF!,XC121,MY119,HB113,#REF!,MX8,MI12,QW16,QJ20,PN25,LO35,#REF!,MA46,MQ50,#REF!,#REF!,LQ62,#REF!,#REF!,#REF!,#REF!)*0.7</f>
        <v>#REF!</v>
      </c>
      <c r="MZ205" s="1674" t="e">
        <f>SUM(MZ159,MZ162,MZ157,LZ134,NC126,AAE129,AEL131,#REF!,XD121,MZ119,HC113,BN109,MY8,MJ12,QX16,QK20,PO25,LP35,#REF!,MB46,MR50,#REF!,#REF!,LR62,#REF!,#REF!,#REF!,#REF!)*0.7</f>
        <v>#REF!</v>
      </c>
      <c r="NA205" s="1674" t="e">
        <f>SUM(NA159,NA162,NA157,MA134,ND126,AAF129,AEM131,#REF!,XE121,NA119,HD113,BO109,MZ8,MK12,QY16,QL20,PP25,LQ35,#REF!,MC46,MS50,#REF!,#REF!,LS62,#REF!,#REF!,#REF!,#REF!)*0.7</f>
        <v>#REF!</v>
      </c>
      <c r="NB205" s="1674" t="e">
        <f>SUM(NB159,NB162,NB157,MB134,NE126,AAG129,AEN131,#REF!,XF121,NB119,HE113,BP109,NA8,ML12,QZ16,QM20,PQ25,LR35,#REF!,MD46,MT50,#REF!,#REF!,LT62,#REF!,#REF!,#REF!,#REF!)*0.7</f>
        <v>#REF!</v>
      </c>
      <c r="NC205" s="1674" t="e">
        <f>SUM(NC159,NC162,NC157,MC134,NF126,AAH129,AEO131,#REF!,XG121,NC119,HF113,BQ109,NB8,MM12,RA16,QN20,PR25,LS35,#REF!,ME46,MU50,#REF!,#REF!,LU62,#REF!,#REF!,#REF!,#REF!)*0.7</f>
        <v>#REF!</v>
      </c>
      <c r="ND205" s="1674" t="e">
        <f>SUM(ND159,ND162,ND157,MD134,NG126,AAI129,AEP131,#REF!,XH121,ND119,HG113,BR109,NC8,MN12,RB16,QO20,PS25,LT35,#REF!,MF46,MV50,#REF!,#REF!,LV62,#REF!,#REF!,#REF!,#REF!)*0.7</f>
        <v>#REF!</v>
      </c>
      <c r="NE205" s="1674" t="e">
        <f>SUM(NE159,NE162,NE157,ME134,NH126,AAJ129,AEQ131,#REF!,XI121,NE119,HH113,BS109,ND8,MO12,RC16,QP20,PT25,LU35,#REF!,MG46,MW50,#REF!,#REF!,LW62,#REF!,#REF!,#REF!,#REF!)*0.7</f>
        <v>#REF!</v>
      </c>
      <c r="NF205" s="1674" t="e">
        <f>SUM(NF159,NF162,NF157,MF134,NI126,AAK129,AER131,#REF!,XJ121,NF119,HI113,BT109,NE8,MP12,RD16,QQ20,PU25,LV35,#REF!,MH46,MX50,#REF!,#REF!,LX62,#REF!,#REF!,#REF!,#REF!)*0.7</f>
        <v>#REF!</v>
      </c>
      <c r="NG205" s="1674" t="e">
        <f>SUM(NG159,NG162,NG157,MG134,NJ126,AAL129,AES131,#REF!,XK121,NG119,HJ113,BU109,NF8,MQ12,RE16,QR20,PV25,LW35,#REF!,MI46,MY50,#REF!,#REF!,LY62,#REF!,#REF!,#REF!,#REF!)*0.7</f>
        <v>#REF!</v>
      </c>
      <c r="NH205" s="1674" t="e">
        <f>SUM(NH159,NH162,NH157,MH134,NK126,AAM129,AET131,#REF!,XL121,NH119,HK113,BV109,NG8,MR12,RF16,QS20,PW25,LX35,#REF!,MJ46,MZ50,#REF!,#REF!,LZ62,#REF!,#REF!,#REF!,#REF!)*0.7</f>
        <v>#REF!</v>
      </c>
      <c r="NI205" s="1674" t="e">
        <f>SUM(NI159,NI162,NI157,MI134,NL126,AAN129,AEU131,#REF!,XM121,NI119,HL113,BW109,NH8,MS12,RG16,QT20,PX25,LY35,#REF!,MK46,NA50,#REF!,#REF!,MA62,#REF!,#REF!,#REF!,#REF!)*0.7</f>
        <v>#REF!</v>
      </c>
      <c r="NJ205" s="1674" t="e">
        <f>SUM(NJ159,NJ162,NJ157,MJ134,NM126,AAO129,AEV131,#REF!,XN121,NJ119,HM113,BX109,NI8,MT12,RH16,QU20,PY25,LZ35,#REF!,ML46,NB50,#REF!,#REF!,MB62,#REF!,#REF!,#REF!,#REF!)*0.7</f>
        <v>#REF!</v>
      </c>
      <c r="NK205" s="1674" t="e">
        <f>SUM(NK159,NK162,NK157,MK134,NN126,AAP129,AEW131,#REF!,XO121,NK119,HN113,BY109,NJ8,MU12,RI16,QV20,PZ25,MA35,#REF!,MM46,NC50,#REF!,#REF!,MC62,#REF!,#REF!,#REF!,#REF!)*0.7</f>
        <v>#REF!</v>
      </c>
      <c r="NL205" s="1674" t="e">
        <f>SUM(NL159,NL162,NL157,ML134,NO126,AAQ129,AEX131,#REF!,XP121,NL119,HO113,BZ109,NK8,MV12,RJ16,QW20,QA25,MB35,#REF!,MN46,ND50,#REF!,#REF!,MD62,#REF!,#REF!,#REF!,#REF!)*0.7</f>
        <v>#REF!</v>
      </c>
      <c r="NM205" s="1674" t="e">
        <f>SUM(NM159,NM162,NM157,MM134,NP126,AAR129,AEY131,#REF!,XQ121,NM119,HP113,CA109,NL8,MW12,RK16,QX20,QB25,MC35,#REF!,MO46,NE50,#REF!,#REF!,ME62,#REF!,#REF!,#REF!,#REF!)*0.7</f>
        <v>#REF!</v>
      </c>
      <c r="NN205" s="1674" t="e">
        <f>SUM(NN159,NN162,NN157,MN134,NQ126,AAS129,AEZ131,#REF!,XR121,NN119,HQ113,CB109,NM8,MX12,RL16,QY20,QC25,MD35,LT41,MP46,NF50,#REF!,#REF!,MF62,#REF!,#REF!,#REF!,#REF!)*0.7</f>
        <v>#REF!</v>
      </c>
      <c r="NO205" s="1674" t="e">
        <f>SUM(NO159,NO162,NO157,MO134,NQ126,YA129,AFA131,#REF!,XS121,NR119,HR113,CC109,NP8,MY12,RM16,PH20,NY25,ME35,MS41,NQ46,OE50,OI54,NW58,NE62,#REF!,#REF!,#REF!,#REF!)*0.7</f>
        <v>#REF!</v>
      </c>
      <c r="NP205" s="1674" t="e">
        <f>SUM(NP159,NP162,NP157,MP134,NR126,YB129,AFB131,#REF!,XT121,NS119,HS113,CD109,NQ8,MZ12,RN16,PI20,NZ25,MF35,MT41,NR46,OF50,OJ54,NX58,NF62,#REF!,#REF!,#REF!,#REF!)*0.7</f>
        <v>#REF!</v>
      </c>
      <c r="NQ205" s="1674" t="e">
        <f>SUM(NQ159,NQ162,NQ157,MQ134,NS126,YC129,AFC131,#REF!,XU121,NT119,HT113,CE109,NR8,NA12,RO16,PJ20,OA25,MG35,MU41,NS46,OG50,OK54,NY58,NG62,#REF!,#REF!,#REF!,#REF!)*0.7</f>
        <v>#REF!</v>
      </c>
      <c r="NR205" s="1674" t="e">
        <f>SUM(NR159,NR162,NR157,MR134,NT126,YD129,AFD131,#REF!,XV121,NU119,HU113,CF109,NS8,NB12,RP16,PK20,OB25,MH35,MV41,NT46,OH50,OL54,NZ58,NH62,#REF!,#REF!,#REF!,#REF!)*0.7</f>
        <v>#REF!</v>
      </c>
      <c r="NS205" s="1674" t="e">
        <f>SUM(NS159,NS162,NS157,MS134,NU126,YE129,AFE131,#REF!,XW121,NV119,HV113,CG109,NT8,NC12,RQ16,PL20,OC25,MI35,MW41,NU46,OI50,OM54,OA58,NI62,#REF!,#REF!,#REF!,#REF!)*0.7</f>
        <v>#REF!</v>
      </c>
      <c r="NT205" s="1674" t="e">
        <f>SUM(NT159,NT162,NT157,MT134,NV126,YF129,AFF131,#REF!,XX121,NW119,HW113,CH109,NU8,ND12,RR16,PM20,OD25,MJ35,MX41,NV46,OJ50,ON54,OB58,NJ62,#REF!,#REF!,#REF!,#REF!)*0.7</f>
        <v>#REF!</v>
      </c>
      <c r="NU205" s="1674" t="e">
        <f>SUM(NU159,NU162,NU157,MU134,NW126,YG129,AFG131,#REF!,XY121,NX119,HX113,CI109,NV8,NE12,RS16,PN20,OE25,MK35,MY41,NW46,OK50,OO54,OC58,NK62,#REF!,#REF!,#REF!,#REF!)*0.7</f>
        <v>#REF!</v>
      </c>
      <c r="NV205" s="1674" t="e">
        <f>SUM(NV159,NV162,NV157,MV134,NX126,YH129,AFH131,#REF!,XZ121,NY119,HY113,CJ109,NW8,NF12,RT16,PO20,OF25,ML35,MZ41,NX46,OL50,OP54,OD58,NL62,#REF!,#REF!,#REF!,#REF!)*0.7</f>
        <v>#REF!</v>
      </c>
      <c r="NW205" s="1674" t="e">
        <f>SUM(NW159,NW162,NW157,MW134,NY126,YI129,AFI131,#REF!,YA121,NZ119,HZ113,CK109,NX8,NG12,RU16,PP20,OG25,MM35,NA41,NY46,OM50,OQ54,OE58,NM62,#REF!,#REF!,#REF!,#REF!)*0.7</f>
        <v>#REF!</v>
      </c>
      <c r="NX205" s="1674" t="e">
        <f>SUM(NX159,NX162,NX157,MX134,NZ126,YJ129,AFJ131,#REF!,YB121,OA119,IA113,CL109,NY8,NH12,RV16,PQ20,OH25,MN35,NB41,NZ46,ON50,OR54,OF58,NN62,#REF!,#REF!,#REF!,#REF!)*0.7</f>
        <v>#REF!</v>
      </c>
      <c r="NY205" s="1674" t="e">
        <f>SUM(NY159,NY162,NY157,MY134,OA126,YK129,AFK131,#REF!,YC121,OB119,IB113,CM109,NZ8,NI12,RW16,PR20,OI25,MO35,NC41,OA46,OO50,OS54,OG58,NO62,#REF!,#REF!,#REF!,#REF!)*0.7</f>
        <v>#REF!</v>
      </c>
      <c r="NZ205" s="1674" t="e">
        <f>SUM(NZ159,NZ162,NZ157,MZ134,OB126,YL129,AFL131,#REF!,YD121,OC119,IC113,CN109,OA8,NJ12,RX16,PS20,OJ25,MP35,ND41,OB46,OP50,OT54,OH58,NP62,#REF!,#REF!,#REF!,#REF!)*0.7</f>
        <v>#REF!</v>
      </c>
      <c r="OA205" s="1674" t="e">
        <f>SUM(OA159,OA162,OA157,NA134,OC126,YM129,AFM131,#REF!,YE121,OD119,ID113,CO109,OB8,NK12,RY16,PT20,OK25,MQ35,NE41,OC46,OQ50,OU54,OI58,NQ62,#REF!,#REF!,#REF!,#REF!)*0.7</f>
        <v>#REF!</v>
      </c>
      <c r="OB205" s="1674" t="e">
        <f>SUM(OB159,OB162,OB157,NB134,OD126,YN129,AFN131,#REF!,YF121,OE119,IE113,CP109,OC8,NL12,RZ16,PU20,OL25,MR35,NF41,OD46,OR50,OV54,OJ58,NR62,#REF!,#REF!,#REF!,#REF!)*0.7</f>
        <v>#REF!</v>
      </c>
      <c r="OC205" s="1674" t="e">
        <f>SUM(OC159,OC162,OC157,NC134,OE126,YO129,AFO131,#REF!,YG121,OF119,IF113,CQ109,OD8,NM12,SA16,PV20,OM25,MS35,NG41,OE46,OS50,OW54,OK58,NS62,#REF!,#REF!,#REF!,#REF!)*0.7</f>
        <v>#REF!</v>
      </c>
      <c r="OD205" s="1674" t="e">
        <f>SUM(OD159,OD162,OD157,ND134,OF126,YP129,AFP131,#REF!,YH121,OG119,IG113,CR109,OE8,NN12,SB16,PW20,ON25,MT35,NH41,OF46,OT50,OX54,OL58,NT62,#REF!,#REF!,#REF!,#REF!)*0.7</f>
        <v>#REF!</v>
      </c>
      <c r="OE205" s="1674" t="e">
        <f>SUM(OE159,OE162,OE157,NE134,OG126,YQ129,AFQ131,#REF!,YI121,OH119,IH113,CS109,OF8,NO12,SC16,PX20,OO25,MU35,NI41,OG46,OU50,OY54,OM58,NU62,#REF!,#REF!,#REF!,#REF!)*0.7</f>
        <v>#REF!</v>
      </c>
      <c r="OF205" s="1674" t="e">
        <f>SUM(OF159,OF162,OF157,NF134,OH126,YR129,AFR131,#REF!,YJ121,OI119,II113,CT109,OG8,NP12,SD16,PY20,OP25,MV35,NJ41,OH46,OV50,OZ54,ON58,NV62,#REF!,#REF!,#REF!,#REF!)*0.7</f>
        <v>#REF!</v>
      </c>
      <c r="OG205" s="1674" t="e">
        <f>SUM(OG159,OG162,OG157,NG134,OI126,YS129,AFS131,#REF!,YK121,OJ119,IJ113,CU109,OH8,NQ12,SE16,PZ20,OQ25,MW35,NK41,OI46,OW50,PA54,OO58,NW62,#REF!,#REF!,#REF!,#REF!)*0.7</f>
        <v>#REF!</v>
      </c>
      <c r="OH205" s="1674" t="e">
        <f>SUM(OH159,OH162,OH157,NH134,OJ126,YT129,AFT131,#REF!,YL121,OK119,IK113,CV109,OI8,NR12,SF16,QA20,OR25,MX35,NL41,OJ46,OX50,PB54,OP58,NX62,#REF!,#REF!,#REF!,#REF!)*0.7</f>
        <v>#REF!</v>
      </c>
      <c r="OI205" s="1674" t="e">
        <f>SUM(OI159,OI162,OI157,NI134,OK126,YU129,AFU131,#REF!,YM121,OL119,IL113,CW109,OJ8,NS12,SG16,QB20,OS25,MY35,NM41,OK46,OY50,PC54,OQ58,NY62,#REF!,#REF!,#REF!,#REF!)*0.7</f>
        <v>#REF!</v>
      </c>
      <c r="OJ205" s="1674" t="e">
        <f>SUM(OJ159,OJ162,OJ157,NJ134,OL126,YV129,AFV131,#REF!,YN121,OM119,IM113,CX109,OK8,NT12,SH16,QC20,OT25,MZ35,NN41,OL46,OZ50,PD54,OR58,NZ62,#REF!,#REF!,#REF!,#REF!)*0.7</f>
        <v>#REF!</v>
      </c>
      <c r="OK205" s="1674" t="e">
        <f>SUM(OK159,OK162,OK157,NK134,OM126,YW129,AFW131,#REF!,YO121,ON119,IN113,CY109,OL8,NU12,SI16,QD20,OU25,NA35,NO41,OM46,PA50,PE54,OS58,OA62,#REF!,#REF!,#REF!,#REF!)*0.7</f>
        <v>#REF!</v>
      </c>
      <c r="OL205" s="1674" t="e">
        <f>SUM(OL159,OL162,OL157,NL134,ON126,YX129,AFX131,#REF!,YP121,OO119,IO113,CZ109,OM8,NV12,SJ16,QE20,OV25,NB35,NP41,ON46,PB50,PF54,OT58,OB62,#REF!,#REF!,#REF!,#REF!)*0.7</f>
        <v>#REF!</v>
      </c>
      <c r="OM205" s="1674" t="e">
        <f>SUM(OM159,OM162,OM157,NM134,OO126,YY129,AFY131,#REF!,YQ121,OP119,IP113,DA109,ON8,NW12,SK16,QF20,OW25,NC35,NQ41,OO46,PC50,PG54,OU58,OC62,#REF!,#REF!,#REF!,#REF!)*0.7</f>
        <v>#REF!</v>
      </c>
      <c r="ON205" s="1674" t="e">
        <f>SUM(ON159,ON162,ON157,NN134,OP126,YZ129,AFZ131,#REF!,YR121,OQ119,IQ113,DB109,OO8,NX12,SL16,QG20,OX25,ND35,NR41,OP46,PD50,PH54,OV58,OD62,#REF!,#REF!,#REF!,#REF!)*0.7</f>
        <v>#REF!</v>
      </c>
      <c r="OO205" s="1674" t="e">
        <f>SUM(OO159,OO162,OO157,NO134,OQ126,ZA129,AGA131,#REF!,YS121,OR119,IR113,DC109,OP8,NY12,SM16,QH20,OY25,NE35,NS41,OQ46,PE50,PI54,OW58,OE62,#REF!,#REF!,#REF!,#REF!)*0.7</f>
        <v>#REF!</v>
      </c>
      <c r="OP205" s="1674" t="e">
        <f>SUM(OP159,OP162,OP157,NP134,OR126,ZB129,AGB131,#REF!,YT121,OS119,IS113,DD109,OQ8,NZ12,SN16,QI20,OZ25,NF35,NT41,OR46,PF50,PJ54,OX58,OF62,#REF!,#REF!,#REF!,#REF!)*0.7</f>
        <v>#REF!</v>
      </c>
      <c r="OQ205" s="1674" t="e">
        <f>SUM(OQ159,OQ162,OQ157,NQ134,OS126,ZC129,AGC131,#REF!,YU121,OT119,IT113,DE109,OR8,OA12,SO16,QJ20,PA25,NG35,NU41,OS46,PG50,PK54,OY58,OG62,#REF!,#REF!,#REF!,#REF!)*0.7</f>
        <v>#REF!</v>
      </c>
      <c r="OR205" s="1674" t="e">
        <f>SUM(OR159,OR162,OR157,NR134,OT126,ZD129,AGD131,#REF!,YV121,OU119,IU113,DF109,OS8,OB12,SP16,QK20,PB25,NH35,NV41,OT46,PH50,PL54,OZ58,OH62,#REF!,#REF!,#REF!,#REF!)*0.7</f>
        <v>#REF!</v>
      </c>
      <c r="OS205" s="1674" t="e">
        <f>SUM(OS159,OS162,OS157,NS134,OU126,ZE129,AGE131,#REF!,YW121,OV119,IV113,DG109,OT8,OC12,SQ16,QL20,PC25,NI35,NW41,OU46,PI50,PM54,PA58,OI62,#REF!,#REF!,#REF!,#REF!)*0.7</f>
        <v>#REF!</v>
      </c>
      <c r="OT205" s="1674" t="e">
        <f>SUM(OT159,OT162,OT157,NT134,OV126,ZF129,AGF131,#REF!,YX121,OW119,IW113,DH109,OU8,OD12,SR16,QM20,PD25,NJ35,NX41,OV46,PJ50,PN54,PB58,OJ62,#REF!,#REF!,#REF!,#REF!)*0.7</f>
        <v>#REF!</v>
      </c>
      <c r="OU205" s="1674" t="e">
        <f>SUM(OU159,OU162,OU157,NU134,OW126,ZG129,AGG131,#REF!,YY121,OX119,IX113,DI109,OV8,OE12,SS16,QN20,PE25,NK35,NY41,OW46,PK50,PO54,PC58,OK62,#REF!,#REF!,#REF!,#REF!)*0.7</f>
        <v>#REF!</v>
      </c>
      <c r="OV205" s="1674" t="e">
        <f>SUM(OV159,OV162,OV157,NV134,OX126,ZH129,AGH131,#REF!,YZ121,OY119,IY113,DJ109,OW8,OF12,ST16,QO20,PF25,NL35,NZ41,OX46,PL50,PP54,PD58,OL62,#REF!,#REF!,#REF!,#REF!)*0.7</f>
        <v>#REF!</v>
      </c>
      <c r="OW205" s="1674" t="e">
        <f>SUM(OW159,OW162,OW157,NW134,OY126,ZI129,AGI131,#REF!,ZA121,OZ119,IZ113,DK109,OX8,OG12,SU16,QP20,PG25,NM35,OA41,OY46,PM50,PQ54,PE58,OM62,#REF!,#REF!,#REF!,#REF!)*0.7</f>
        <v>#REF!</v>
      </c>
      <c r="OX205" s="1674" t="e">
        <f>SUM(OX159,OX162,OX157,NX134,OZ126,ZJ129,AGJ131,#REF!,ZB121,PA119,JA113,DL109,OY8,OH12,SV16,QQ20,PH25,NN35,OB41,OZ46,PN50,PR54,PF58,ON62,#REF!,#REF!,#REF!,#REF!)*0.7</f>
        <v>#REF!</v>
      </c>
      <c r="OY205" s="1674" t="e">
        <f>SUM(OY159,OY162,OY157,NY134,PZ126,#REF!,OZ131,#REF!,#REF!,OY119,JB113,DM109,NF8,OI12,SW16,PI20,PJ25,NO35,OC41,OW46,PC50,PS54,PJ58,OO62,#REF!,#REF!,#REF!,#REF!)*0.7</f>
        <v>#REF!</v>
      </c>
      <c r="OZ205" s="1674" t="e">
        <f>SUM(OZ159,OZ162,OZ157,NZ134,QA126,#REF!,PA131,#REF!,#REF!,OZ119,JC113,DN109,NG8,OJ12,SX16,PJ20,PK25,NP35,OD41,OX46,PD50,PT54,PK58,OP62,#REF!,#REF!,#REF!,#REF!)*0.7</f>
        <v>#REF!</v>
      </c>
      <c r="PA205" s="1674" t="e">
        <f>SUM(PA159,PA162,PA157,OA134,QB126,#REF!,PB131,#REF!,#REF!,PA119,JD113,DO109,NH8,OK12,SY16,PK20,PL25,NQ35,OE41,OY46,PE50,PU54,PL58,OQ62,#REF!,#REF!,#REF!,#REF!)*0.7</f>
        <v>#REF!</v>
      </c>
      <c r="PB205" s="1674" t="e">
        <f>SUM(PB159,PB162,PB157,OB134,QC126,#REF!,PC131,#REF!,PB121,PB119,JE113,DP109,NI8,OL12,SZ16,PL20,PM25,NR35,OF41,OZ46,PF50,PV54,PM58,OR62,#REF!,#REF!,#REF!,#REF!)*0.7</f>
        <v>#REF!</v>
      </c>
      <c r="PC205" s="1674" t="e">
        <f>SUM(PC159,PC162,PC157,OC134,QD126,#REF!,PD131,#REF!,PC121,PC119,JF113,DQ109,NJ8,OM12,TA16,PM20,PN25,NS35,OG41,PA46,PG50,PW54,PN58,OS62,#REF!,#REF!,#REF!,#REF!)*0.7</f>
        <v>#REF!</v>
      </c>
      <c r="PD205" s="1674" t="e">
        <f>SUM(PD159,PD162,PD157,OD134,QE126,#REF!,PE131,#REF!,PD121,PD119,JG113,DR109,NK8,ON12,TB16,PN20,PO25,NT35,OH41,PB46,PH50,PX54,PO58,OT62,#REF!,#REF!,#REF!,#REF!)*0.7</f>
        <v>#REF!</v>
      </c>
      <c r="PE205" s="1674" t="e">
        <f>SUM(PE159,PE162,PE157,OE134,QF126,#REF!,PF131,#REF!,PE121,PE119,JH113,DS109,NL8,OO12,TC16,PO20,PP25,NU35,OI41,PC46,PI50,PY54,PP58,OU62,#REF!,#REF!,#REF!,#REF!)*0.7</f>
        <v>#REF!</v>
      </c>
      <c r="PF205" s="1674" t="e">
        <f>SUM(PF159,PF162,PF157,OF134,QG126,#REF!,PG131,#REF!,PF121,PF119,JI113,DT109,NM8,OP12,TD16,PP20,PQ25,NV35,OJ41,PD46,PJ50,PZ54,PQ58,OV62,#REF!,#REF!,#REF!,#REF!)*0.7</f>
        <v>#REF!</v>
      </c>
      <c r="PG205" s="1674" t="e">
        <f>SUM(PG159,PG162,PG157,OG134,QH126,#REF!,PH131,#REF!,PG121,PG119,JJ113,DU109,NN8,OQ12,TE16,PQ20,PR25,NW35,OK41,PE46,PK50,QA54,PR58,OW62,#REF!,#REF!,#REF!,#REF!)*0.7</f>
        <v>#REF!</v>
      </c>
      <c r="PH205" s="1674" t="e">
        <f>SUM(PH159,PH162,PH157,OH134,QI126,#REF!,PI131,#REF!,PH121,PH119,JK113,DV109,NO8,OR12,TF16,PR20,PS25,NX35,OL41,PF46,PL50,QB54,PS58,OX62,#REF!,#REF!,#REF!,#REF!)*0.7</f>
        <v>#REF!</v>
      </c>
      <c r="PI205" s="1674" t="e">
        <f>SUM(PI159,PI162,PI157,OI134,QJ126,#REF!,PJ131,#REF!,PI121,PI119,JL113,DW109,NP8,OS12,TG16,PS20,PT25,NY35,OM41,PG46,PM50,QC54,PT58,OY62,#REF!,#REF!,#REF!,#REF!)*0.7</f>
        <v>#REF!</v>
      </c>
      <c r="PJ205" s="1674" t="e">
        <f>SUM(PJ159,PJ162,PJ157,OJ134,QK126,#REF!,PK131,#REF!,PJ121,PJ119,JM113,DX109,NQ8,OT12,TH16,PT20,PU25,NZ35,ON41,PH46,PN50,QD54,PU58,OZ62,#REF!,#REF!,#REF!,#REF!)*0.7</f>
        <v>#REF!</v>
      </c>
      <c r="PK205" s="1674" t="e">
        <f>SUM(PK159,PK162,PK157,OK134,QL126,#REF!,PL131,#REF!,PK121,PK119,JN113,DY109,NR8,OU12,TI16,PU20,PV25,OA35,OO41,PI46,PO50,QE54,PV58,PA62,#REF!,#REF!,#REF!,#REF!)*0.7</f>
        <v>#REF!</v>
      </c>
      <c r="PL205" s="1674" t="e">
        <f>SUM(PL159,PL162,PL157,OL134,QM126,#REF!,PL131,#REF!,PL121,PL119,JO113,#REF!,NT8,OV12,TJ16,PT20,PT25,NW35,OP41,PJ46,PN50,QF54,PW58,PB62,#REF!,#REF!,#REF!,#REF!)*0.7</f>
        <v>#REF!</v>
      </c>
      <c r="PM205" s="1674" t="e">
        <f>SUM(PM159,PM162,PM157,OM134,QN126,#REF!,PM131,#REF!,PM121,PM119,JP113,#REF!,NU8,OW12,TK16,PU20,PU25,NX35,OQ41,PK46,PO50,QG54,PX58,PC62,#REF!,#REF!,#REF!,#REF!)*0.7</f>
        <v>#REF!</v>
      </c>
      <c r="PN205" s="1674" t="e">
        <f>SUM(PN159,PN162,PN157,ON134,QO126,#REF!,PN131,#REF!,PN121,PN119,JQ113,#REF!,NV8,OX12,TL16,PV20,PV25,NY35,OR41,PL46,PP50,QH54,PY58,PD62,#REF!,#REF!,#REF!,#REF!)*0.7</f>
        <v>#REF!</v>
      </c>
      <c r="PO205" s="1674" t="e">
        <f>SUM(PO159,PO162,PO157,OO134,QP126,#REF!,PO131,#REF!,PO121,PO119,JR113,#REF!,NW8,OY12,TM16,PW20,PW25,NZ35,OS41,PM46,PQ50,QI54,PZ58,PE62,#REF!,#REF!,#REF!,#REF!)*0.7</f>
        <v>#REF!</v>
      </c>
      <c r="PP205" s="1674" t="e">
        <f>SUM(PP159,PP162,PP157,OP134,QQ126,#REF!,PP131,#REF!,PP121,PP119,JS113,#REF!,NX8,OZ12,TN16,PX20,PX25,OA35,OT41,PN46,PR50,QJ54,QA58,PF62,#REF!,#REF!,#REF!,#REF!)*0.7</f>
        <v>#REF!</v>
      </c>
      <c r="PQ205" s="1674" t="e">
        <f>SUM(PQ159,PQ162,PQ157,OQ134,QR126,#REF!,PQ131,#REF!,PQ121,PQ119,JT113,#REF!,NY8,PA12,TO16,PY20,PY25,OB35,OU41,PO46,PS50,QK54,QB58,PG62,#REF!,#REF!,#REF!,#REF!)*0.7</f>
        <v>#REF!</v>
      </c>
      <c r="PR205" s="1674" t="e">
        <f>SUM(PR159,PR162,PR157,OR134,QS126,#REF!,PR131,#REF!,PR121,PR119,JU113,#REF!,NZ8,PB12,TP16,PZ20,PZ25,OC35,OV41,PP46,PT50,QL54,QC58,PH62,#REF!,#REF!,#REF!,#REF!)*0.7</f>
        <v>#REF!</v>
      </c>
      <c r="PS205" s="1674" t="e">
        <f>SUM(PS159,PS162,PS157,OS134,QT126,#REF!,PS131,#REF!,PS121,PS119,JV113,#REF!,OA8,PC12,TQ16,QA20,QA25,OD35,OW41,PQ46,PU50,QM54,QD58,PI62,#REF!,#REF!,#REF!,#REF!)*0.7</f>
        <v>#REF!</v>
      </c>
      <c r="PT205" s="1674" t="e">
        <f>SUM(PT159,PT162,PT157,OT134,QU126,#REF!,PT131,#REF!,PT121,PT119,JW113,#REF!,OB8,PD12,TR16,QB20,QB25,OE35,OX41,PR46,PV50,QN54,QE58,PJ62,#REF!,#REF!,#REF!,#REF!)*0.7</f>
        <v>#REF!</v>
      </c>
      <c r="PU205" s="1674" t="e">
        <f>SUM(PU159,PU162,PU157,OU134,QV126,#REF!,PU131,#REF!,PU121,PU119,JX113,#REF!,OC8,PE12,TS16,QC20,QC25,OF35,OY41,PS46,PW50,QO54,QF58,PK62,#REF!,#REF!,#REF!,#REF!)*0.7</f>
        <v>#REF!</v>
      </c>
      <c r="PV205" s="1674" t="e">
        <f>SUM(PV159,PV162,PV157,OV134,QW126,#REF!,PV131,#REF!,PV121,PV119,JY113,#REF!,OD8,PF12,TT16,QD20,QD25,OG35,OZ41,PT46,PX50,QP54,QG58,PL62,#REF!,#REF!,#REF!,#REF!)*0.7</f>
        <v>#REF!</v>
      </c>
      <c r="PW205" s="1674" t="e">
        <f>SUM(PW159,PW162,PW157,OW134,QX126,#REF!,PW131,#REF!,PW121,PW119,JZ113,#REF!,OE8,PG12,TU16,QE20,QE25,OH35,PA41,PU46,PY50,QQ54,QH58,PM62,#REF!,#REF!,#REF!,#REF!)*0.7</f>
        <v>#REF!</v>
      </c>
      <c r="PX205" s="1674" t="e">
        <f>SUM(PX159,PX162,PX157,OX134,QY126,#REF!,PX131,#REF!,PX121,PX119,KA113,#REF!,OF8,PH12,TV16,QF20,QF25,OI35,PB41,PV46,PZ50,QR54,QI58,PN62,#REF!,#REF!,#REF!,#REF!)*0.7</f>
        <v>#REF!</v>
      </c>
      <c r="PY205" s="1674" t="e">
        <f>SUM(PY159,PY162,PY157,OY134,QZ126,#REF!,PY131,#REF!,PY121,PY119,KB113,#REF!,OG8,PI12,TW16,QG20,QG25,OJ35,PC41,PW46,QA50,QS54,QJ58,PO62,#REF!,#REF!,#REF!,#REF!)*0.7</f>
        <v>#REF!</v>
      </c>
      <c r="PZ205" s="1674" t="e">
        <f>SUM(PZ159,PZ162,PZ157,OZ134,RA126,#REF!,PZ131,#REF!,PZ121,PZ119,KC113,#REF!,OH8,PJ12,TX16,QH20,QH25,OK35,PD41,PX46,QB50,QT54,QK58,PP62,#REF!,#REF!,#REF!,#REF!)*0.7</f>
        <v>#REF!</v>
      </c>
      <c r="QA205" s="1674" t="e">
        <f>SUM(QA159,QA162,QA157,PA134,RB126,#REF!,QA131,#REF!,QA121,QA119,KD113,#REF!,OI8,PK12,TY16,QI20,QI25,OL35,PE41,PY46,QC50,QU54,QL58,PQ62,#REF!,#REF!,#REF!,#REF!)*0.7</f>
        <v>#REF!</v>
      </c>
      <c r="QB205" s="1674" t="e">
        <f>SUM(QB159,QB162,QB157,PB134,RC126,#REF!,QB131,#REF!,QB121,QB119,KE113,#REF!,OJ8,PL12,TZ16,QJ20,QJ25,OM35,PF41,PZ46,QD50,QV54,QM58,PR62,#REF!,#REF!,#REF!,#REF!)*0.7</f>
        <v>#REF!</v>
      </c>
      <c r="QC205" s="1674" t="e">
        <f>SUM(QC159,QC162,QC157,PC134,RD126,#REF!,QC131,#REF!,QC121,QC119,KF113,#REF!,OK8,PM12,UA16,QK20,QK25,ON35,PG41,QA46,QE50,QW54,QN58,PS62,#REF!,#REF!,#REF!,#REF!)*0.7</f>
        <v>#REF!</v>
      </c>
      <c r="QD205" s="1674" t="e">
        <f>SUM(QD159,QD162,QD157,PD134,RE126,#REF!,QD131,#REF!,QD121,QD119,KG113,#REF!,OL8,PN12,UB16,QL20,QL25,OO35,PH41,QB46,QF50,QX54,QO58,PT62,#REF!,#REF!,#REF!,#REF!)*0.7</f>
        <v>#REF!</v>
      </c>
      <c r="QE205" s="1674" t="e">
        <f>SUM(QE159,QE162,QE157,PE134,RF126,#REF!,QE131,#REF!,QE121,QE119,KH113,#REF!,OM8,PO12,UC16,QM20,QM25,OP35,PI41,QC46,QG50,QY54,QP58,PU62,#REF!,#REF!,#REF!,#REF!)*0.7</f>
        <v>#REF!</v>
      </c>
      <c r="QF205" s="1674" t="e">
        <f>SUM(QF159,QF162,QF157,PF134,RG126,#REF!,QF131,#REF!,QF121,QF119,KI113,#REF!,ON8,PP12,UD16,QN20,QN25,OQ35,PJ41,QD46,QH50,QZ54,QQ58,PV62,#REF!,#REF!,#REF!,#REF!)*0.7</f>
        <v>#REF!</v>
      </c>
      <c r="QG205" s="1674" t="e">
        <f>SUM(QG159,QG162,QG157,PG134,RH126,#REF!,QG131,#REF!,QG121,QG119,KJ113,#REF!,OO8,PQ12,UE16,QO20,QO25,OR35,PK41,QE46,QI50,RA54,QR58,PW62,#REF!,#REF!,#REF!,#REF!)*0.7</f>
        <v>#REF!</v>
      </c>
      <c r="QH205" s="1674" t="e">
        <f>SUM(QH159,QH162,QH157,PH134,RI126,#REF!,QH131,#REF!,QH121,QH119,KK113,#REF!,OP8,PR12,UF16,QP20,QP25,OS35,PL41,QF46,QJ50,RB54,QS58,PX62,#REF!,#REF!,#REF!,#REF!)*0.7</f>
        <v>#REF!</v>
      </c>
      <c r="QI205" s="1674" t="e">
        <f>SUM(QI159,QI162,QI157,PI134,RJ126,#REF!,QI131,#REF!,QI121,QI119,KL113,#REF!,OQ8,PS12,UG16,QQ20,QQ25,OT35,PM41,QG46,QK50,RC54,QT58,PY62,#REF!,#REF!,#REF!,#REF!)*0.7</f>
        <v>#REF!</v>
      </c>
      <c r="QJ205" s="1674" t="e">
        <f>SUM(QJ159,QJ162,QJ157,PJ134,RK126,#REF!,QJ131,#REF!,QJ121,QJ119,KM113,#REF!,OR8,PT12,UH16,QR20,QR25,OU35,PN41,QH46,QL50,RD54,QU58,PZ62,#REF!,#REF!,#REF!,#REF!)*0.7</f>
        <v>#REF!</v>
      </c>
      <c r="QK205" s="1674" t="e">
        <f>SUM(QK159,QK162,QK157,PK134,RL126,#REF!,QK131,#REF!,QK121,QK119,KN113,#REF!,OS8,PU12,UI16,QS20,QS25,OV35,PO41,QI46,QM50,RE54,QV58,QA62,#REF!,#REF!,#REF!,#REF!)*0.7</f>
        <v>#REF!</v>
      </c>
      <c r="QL205" s="1674" t="e">
        <f>SUM(QL159,QL162,QL157,PL134,RM126,#REF!,QL131,#REF!,QL121,QL119,KO113,#REF!,OT8,PV12,UJ16,QT20,QT25,OW35,PP41,QJ46,QN50,RF54,QW58,QB62,#REF!,#REF!,#REF!,#REF!)*0.7</f>
        <v>#REF!</v>
      </c>
      <c r="QM205" s="1674" t="e">
        <f>SUM(QM159,QM162,QM157,PM134,RN126,#REF!,QM131,#REF!,QM121,QM119,KP113,#REF!,OU8,PW12,UK16,QU20,QU25,OX35,PQ41,QK46,QO50,RG54,QX58,QC62,#REF!,#REF!,#REF!,#REF!)*0.7</f>
        <v>#REF!</v>
      </c>
      <c r="QN205" s="1674" t="e">
        <f>SUM(QN159,QN162,QN157,PN134,RO126,#REF!,QN131,#REF!,QN121,QN119,KQ113,#REF!,OV8,PX12,UL16,QV20,QV25,OY35,PR41,QL46,QP50,RH54,QY58,QD62,#REF!,#REF!,#REF!,#REF!)*0.7</f>
        <v>#REF!</v>
      </c>
      <c r="QO205" s="1674" t="e">
        <f>SUM(QO159,QO162,QO157,PO134,RP126,#REF!,QO131,#REF!,QO121,QO119,KR113,#REF!,OW8,PY12,UM16,QW20,QW25,OZ35,PS41,QM46,QQ50,RI54,QZ58,QE62,#REF!,#REF!,#REF!,#REF!)*0.7</f>
        <v>#REF!</v>
      </c>
      <c r="QP205" s="1674" t="e">
        <f>SUM(QP159,QP162,QP157,PP134,RQ126,#REF!,QP131,#REF!,QP121,QP119,KS113,#REF!,OX8,PZ12,UN16,QX20,QX25,PA35,PT41,QN46,QR50,RJ54,RA58,QF62,#REF!,#REF!,#REF!,#REF!)*0.7</f>
        <v>#REF!</v>
      </c>
      <c r="QQ205" s="1674" t="e">
        <f>SUM(QQ159,QQ162,QQ157,PQ134,RR126,#REF!,QQ131,#REF!,QQ121,QQ119,KT113,#REF!,OY8,QA12,UO16,QY20,QY25,PB35,PU41,QO46,QS50,RK54,RB58,QG62,#REF!,#REF!,#REF!,#REF!)*0.7</f>
        <v>#REF!</v>
      </c>
      <c r="QR205" s="1674" t="e">
        <f>SUM(QR159,QR162,QR157,PR134,RS126,#REF!,#REF!,#REF!,QR121,QR119,KU113,#REF!,OZ8,QB12,UP16,QZ20,QZ25,PC35,PV41,QP46,QT50,RL54,RC58,QH62,#REF!,#REF!,#REF!,#REF!)*0.7</f>
        <v>#REF!</v>
      </c>
      <c r="QS205" s="1674" t="e">
        <f>SUM(QS159,QS162,QS157,PS134,RT126,#REF!,#REF!,#REF!,QS121,QS119,KV113,#REF!,PA8,QC12,UQ16,RA20,RA25,PD35,PW41,QQ46,QU50,RM54,RD58,QI62,#REF!,#REF!,#REF!,#REF!)*0.7</f>
        <v>#REF!</v>
      </c>
      <c r="QT205" s="1674" t="e">
        <f>SUM(QT159,QT162,QT157,PT134,RU126,NQ129,#REF!,#REF!,QT121,QT119,KW113,#REF!,PB8,QD12,UR16,RB20,RB25,PE35,PX41,QR46,QV50,RN54,RE58,QJ62,#REF!,#REF!,#REF!,#REF!)*0.7</f>
        <v>#REF!</v>
      </c>
      <c r="QU205" s="1674" t="e">
        <f>SUM(QU159,QU162,QU157,PU134,RV126,NR129,#REF!,#REF!,QU121,QU119,KX113,#REF!,PC8,QE12,US16,RC20,RC25,PF35,PY41,QS46,QW50,RO54,RF58,QK62,#REF!,#REF!,#REF!,#REF!)*0.7</f>
        <v>#REF!</v>
      </c>
      <c r="QV205" s="1674" t="e">
        <f>SUM(QV159,QV162,QV157,PV134,RW126,NS129,#REF!,#REF!,QV121,QV119,KY113,#REF!,PD8,QF12,UT16,RD20,RD25,PG35,PZ41,QT46,QX50,RP54,RG58,QL62,#REF!,#REF!,#REF!,#REF!)*0.7</f>
        <v>#REF!</v>
      </c>
      <c r="QW205" s="1674" t="e">
        <f>SUM(QW159,QW162,QW157,PW134,RX126,NT129,#REF!,#REF!,QW121,QW119,KZ113,#REF!,PE8,QG12,UU16,RE20,RE25,PH35,QA41,QU46,QY50,RQ54,RH58,QM62,#REF!,#REF!,#REF!,#REF!)*0.7</f>
        <v>#REF!</v>
      </c>
      <c r="QX205" s="1674" t="e">
        <f>SUM(QX159,QX162,QX157,PX134,RY126,NU129,#REF!,#REF!,QX121,QX119,LA113,#REF!,PF8,QH12,UV16,RF20,RF25,PI35,QB41,QV46,QZ50,RR54,RI58,QN62,#REF!,#REF!,#REF!,#REF!)*0.7</f>
        <v>#REF!</v>
      </c>
      <c r="QY205" s="1674" t="e">
        <f>SUM(QY159,QY162,QY157,PY134,RZ126,NV129,#REF!,#REF!,QY121,QY119,LB113,#REF!,PG8,QI12,UW16,RG20,RG25,PJ35,QC41,QW46,RA50,RS54,RJ58,QO62,#REF!,#REF!,#REF!,#REF!)*0.7</f>
        <v>#REF!</v>
      </c>
      <c r="QZ205" s="1674" t="e">
        <f>SUM(QZ159,QZ162,QZ157,PZ134,SA126,NW129,#REF!,#REF!,QZ121,QZ119,LC113,#REF!,PH8,QJ12,UX16,RH20,RH25,PK35,QD41,QX46,RB50,RT54,RK58,QP62,#REF!,#REF!,#REF!,#REF!)*0.7</f>
        <v>#REF!</v>
      </c>
      <c r="RA205" s="1674" t="e">
        <f>SUM(RA159,RA162,RA157,QA134,SB126,NX129,#REF!,#REF!,RA121,RA119,LD113,#REF!,PI8,QK12,UY16,RI20,RI25,PL35,QE41,QY46,RC50,RU54,RL58,QQ62,#REF!,#REF!,#REF!,#REF!)*0.7</f>
        <v>#REF!</v>
      </c>
      <c r="RB205" s="1674" t="e">
        <f>SUM(RB159,RB162,RB157,QB134,SC126,NY129,#REF!,#REF!,RB121,RB119,LE113,#REF!,PJ8,QL12,UZ16,RJ20,RJ25,PM35,QF41,QZ46,RD50,RV54,RM58,QR62,#REF!,#REF!,#REF!,#REF!)*0.7</f>
        <v>#REF!</v>
      </c>
      <c r="RC205" s="1674" t="e">
        <f>SUM(RC159,RC162,RC157,QC134,SD126,NZ129,#REF!,#REF!,RC121,RC119,LF113,#REF!,PK8,QM12,VA16,RK20,RK25,PN35,QG41,RA46,RE50,RW54,RN58,QS62,#REF!,#REF!,#REF!,#REF!)*0.7</f>
        <v>#REF!</v>
      </c>
      <c r="RD205" s="1674" t="e">
        <f>SUM(RD159,RD162,RD157,QD134,SE126,OA129,#REF!,#REF!,RD121,RD119,LG113,#REF!,PL8,QN12,VB16,RL20,RL25,PO35,QH41,RB46,RF50,RX54,RO58,QT62,#REF!,#REF!,#REF!,#REF!)*0.7</f>
        <v>#REF!</v>
      </c>
      <c r="RE205" s="1674" t="e">
        <f>SUM(RE159,RE162,RE157,QE134,SF126,OB129,#REF!,#REF!,RE121,RE119,LH113,#REF!,PM8,QO12,VC16,RM20,RM25,PP35,QI41,RC46,RG50,RY54,RP58,QU62,#REF!,#REF!,#REF!,#REF!)*0.7</f>
        <v>#REF!</v>
      </c>
      <c r="RF205" s="1674" t="e">
        <f>SUM(RF159,RF162,RF157,QF134,SG126,OC129,#REF!,#REF!,RF121,RF119,LI113,#REF!,PN8,QP12,VD16,RN20,RN25,PQ35,QJ41,RD46,RH50,RZ54,RQ58,QV62,#REF!,#REF!,#REF!,#REF!)*0.7</f>
        <v>#REF!</v>
      </c>
      <c r="RG205" s="1674" t="e">
        <f>SUM(RG159,RG162,RG157,QG134,SH126,OD129,#REF!,#REF!,RG121,RG119,LJ113,#REF!,PO8,QQ12,VE16,RO20,RO25,PR35,QK41,RE46,RI50,SA54,RR58,QW62,#REF!,#REF!,#REF!,#REF!)*0.7</f>
        <v>#REF!</v>
      </c>
      <c r="RH205" s="1674" t="e">
        <f>SUM(RH159,RH162,RH157,QH134,SI126,OE129,#REF!,#REF!,RH121,RH119,LK113,#REF!,PP8,QR12,VF16,RP20,RP25,PS35,QL41,RF46,RJ50,SB54,RS58,QX62,#REF!,#REF!,#REF!,#REF!)*0.7</f>
        <v>#REF!</v>
      </c>
      <c r="RI205" s="1674" t="e">
        <f>SUM(RI159,RI162,RI157,QI134,SJ126,OF129,#REF!,#REF!,RI121,RI119,LL113,DZ109,PQ8,QS12,VG16,RQ20,RQ25,PT35,QM41,RG46,RK50,SC54,RT58,QY62,#REF!,#REF!,#REF!,#REF!)*0.7</f>
        <v>#REF!</v>
      </c>
      <c r="RJ205" s="1674" t="e">
        <f>SUM(RJ159,RJ162,RJ157,QJ134,SK126,OG129,#REF!,#REF!,RJ121,RJ119,LM113,EA109,PR8,QT12,VH16,RR20,RR25,PU35,QN41,RH46,RL50,SD54,RU58,QZ62,#REF!,#REF!,#REF!,#REF!)*0.7</f>
        <v>#REF!</v>
      </c>
      <c r="RK205" s="1674" t="e">
        <f>SUM(RK159,RK162,RK157,QK134,SL126,OH129,#REF!,#REF!,RK121,RK119,LN113,EB109,PS8,QU12,VI16,RS20,RS25,PV35,QO41,RI46,RM50,SE54,RV58,RA62,#REF!,#REF!,#REF!,#REF!)*0.7</f>
        <v>#REF!</v>
      </c>
      <c r="RL205" s="1674" t="e">
        <f>SUM(RL159,RL162,RL157,QL134,SM126,OI129,#REF!,#REF!,RL121,RL119,LO113,EC109,PT8,QV12,VJ16,RT20,RT25,PW35,QP41,RJ46,RN50,SF54,RW58,RB62,#REF!,#REF!,#REF!,#REF!)*0.7</f>
        <v>#REF!</v>
      </c>
      <c r="RM205" s="1674" t="e">
        <f>SUM(RM159,RM162,RM157,QM134,SN126,OJ129,#REF!,#REF!,RM121,RM119,LP113,ED109,PU8,QW12,VK16,RU20,RU25,PX35,QQ41,RK46,RO50,SG54,RX58,RC62,#REF!,#REF!,#REF!,#REF!)*0.7</f>
        <v>#REF!</v>
      </c>
      <c r="RN205" s="1674" t="e">
        <f>SUM(RN159,RN162,RN157,QN134,SO126,OK129,#REF!,#REF!,RN121,RN119,LQ113,EE109,PV8,QX12,VL16,RV20,RV25,PY35,QR41,RL46,RP50,SH54,RY58,RD62,#REF!,#REF!,#REF!,#REF!)*0.7</f>
        <v>#REF!</v>
      </c>
      <c r="RO205" s="1674" t="e">
        <f>SUM(RO159,RO162,RO157,QO134,SP126,OL129,#REF!,#REF!,RO121,RO119,LR113,EF109,PW8,QY12,VM16,RW20,RW25,PZ35,QS41,RM46,RQ50,SI54,RZ58,RE62,#REF!,#REF!,#REF!,#REF!)*0.7</f>
        <v>#REF!</v>
      </c>
      <c r="RP205" s="1674" t="e">
        <f>SUM(RP159,RP162,RP157,QP134,SQ126,OM129,#REF!,#REF!,RP121,RP119,LS113,EG109,PX8,QZ12,VN16,RX20,RX25,QA35,QT41,RN46,RR50,SJ54,SA58,RF62,#REF!,#REF!,#REF!,#REF!)*0.7</f>
        <v>#REF!</v>
      </c>
      <c r="RQ205" s="1674" t="e">
        <f>SUM(RQ159,RQ162,RQ157,QQ134,SR126,ON129,#REF!,KV124,RQ121,RQ119,LT113,EH109,PY8,RA12,VO16,RY20,RY25,QB35,QU41,RO46,RS50,SK54,SB58,RG62,#REF!,#REF!,#REF!,#REF!)*0.7</f>
        <v>#REF!</v>
      </c>
      <c r="RR205" s="1674" t="e">
        <f>SUM(RR159,RR162,RR157,QR134,SS126,OO129,#REF!,KW124,RR121,RR119,LU113,EI109,PZ8,RB12,VP16,RZ20,RZ25,QC35,QV41,RP46,RT50,SL54,SC58,RH62,#REF!,#REF!,#REF!,#REF!)*0.7</f>
        <v>#REF!</v>
      </c>
      <c r="RS205" s="1674" t="e">
        <f>SUM(RS159,RS162,RS157,QS134,ST126,OP129,#REF!,KX124,RS121,RS119,LV113,EJ109,QA8,RC12,VQ16,SA20,SA25,QD35,QW41,RQ46,RU50,SM54,SD58,RI62,#REF!,#REF!,#REF!,#REF!)*0.7</f>
        <v>#REF!</v>
      </c>
      <c r="RT205" s="1674" t="e">
        <f>SUM(RT159,RT162,RT157,QT134,SU126,OQ129,#REF!,KY124,RT121,RT119,LW113,EK109,QB8,RD12,VR16,SB20,SB25,QE35,QX41,RR46,RV50,SN54,SE58,RJ62,#REF!,#REF!,#REF!,#REF!)*0.7</f>
        <v>#REF!</v>
      </c>
      <c r="RU205" s="1674" t="e">
        <f>SUM(RU159,RU162,RU157,QU134,SV126,OR129,#REF!,KZ124,RU121,RU119,LX113,EL109,QC8,RE12,VS16,SC20,SC25,QF35,QY41,RS46,RW50,SO54,SF58,RK62,#REF!,#REF!,#REF!,#REF!)*0.7</f>
        <v>#REF!</v>
      </c>
      <c r="RV205" s="1674" t="e">
        <f>SUM(RV159,RV162,RV157,QV134,SW126,OS129,#REF!,LA124,RV121,RV119,LY113,EM109,QD8,RF12,VT16,SD20,SD25,QG35,QZ41,RT46,RX50,SP54,SG58,RL62,#REF!,#REF!,#REF!,#REF!)*0.7</f>
        <v>#REF!</v>
      </c>
      <c r="RW205" s="1674" t="e">
        <f>SUM(RW159,RW162,RW157,QW134,SX126,OT129,#REF!,LB124,RW121,RW119,LZ113,EN109,QE8,RG12,VU16,SE20,SE25,QH35,RA41,RU46,RY50,SQ54,SH58,RM62,#REF!,#REF!,#REF!,#REF!)*0.7</f>
        <v>#REF!</v>
      </c>
      <c r="RX205" s="1674" t="e">
        <f>SUM(RX159,RX162,RX157,QX134,SY126,OU129,#REF!,LC124,RX121,RX119,MA113,EO109,QF8,RH12,VV16,SF20,SF25,QI35,RB41,RV46,RZ50,SR54,SI58,RN62,#REF!,#REF!,#REF!,#REF!)*0.7</f>
        <v>#REF!</v>
      </c>
      <c r="RY205" s="1674" t="e">
        <f>SUM(RY159,RY162,RY157,QY134,SZ126,OV129,#REF!,LD124,RY121,RY119,MB113,EP109,QG8,RI12,VW16,SG20,SG25,QJ35,RC41,RW46,SA50,SS54,SJ58,RO62,#REF!,#REF!,#REF!,#REF!)*0.7</f>
        <v>#REF!</v>
      </c>
      <c r="RZ205" s="1674" t="e">
        <f>SUM(RZ159,RZ162,RZ157,QZ134,TA126,OW129,#REF!,LE124,RZ121,RZ119,MC113,EQ109,QH8,RJ12,VX16,SH20,SH25,QK35,RD41,RX46,SB50,ST54,SK58,RP62,#REF!,#REF!,#REF!,#REF!)*0.7</f>
        <v>#REF!</v>
      </c>
      <c r="SA205" s="1674" t="e">
        <f>SUM(SA159,SA162,SA157,RA134,TB126,OX129,#REF!,LF124,SA121,SA119,MD113,ER109,QI8,RK12,VY16,SI20,SI25,QL35,RE41,RY46,SC50,SU54,SL58,RQ62,#REF!,#REF!,#REF!,#REF!)*0.7</f>
        <v>#REF!</v>
      </c>
      <c r="SB205" s="1674" t="e">
        <f>SUM(SB159,SB162,SB157,RB134,TC126,OY129,#REF!,LG124,SB121,SB119,ME113,ES109,QJ8,RL12,VZ16,SJ20,SJ25,QM35,RF41,RZ46,SD50,SV54,SM58,RR62,#REF!,#REF!,#REF!,#REF!)*0.7</f>
        <v>#REF!</v>
      </c>
      <c r="SC205" s="1674" t="e">
        <f>SUM(SC159,SC162,SC157,RC134,TD126,OZ129,#REF!,LH124,SC121,SC119,MF113,ET109,QK8,RM12,WA16,SK20,SK25,QN35,RG41,SA46,SE50,SW54,SN58,RS62,#REF!,#REF!,#REF!,#REF!)*0.7</f>
        <v>#REF!</v>
      </c>
      <c r="SD205" s="1674" t="e">
        <f>SUM(SD159,SD162,SD157,RD134,TE126,PA129,#REF!,LI124,SD121,SD119,MG113,EU109,QL8,RN12,WB16,SL20,SL25,QO35,RH41,SB46,SF50,SX54,SO58,RT62,#REF!,#REF!,#REF!,#REF!)*0.7</f>
        <v>#REF!</v>
      </c>
      <c r="SE205" s="1674" t="e">
        <f>SUM(SE159,SE162,SE157,RE134,TF126,PB129,#REF!,LJ124,SE121,SE119,MH113,EV109,QM8,RO12,WC16,SM20,SM25,QP35,RI41,SC46,SG50,SY54,SP58,RU62,#REF!,#REF!,#REF!,#REF!)*0.7</f>
        <v>#REF!</v>
      </c>
      <c r="SF205" s="1674" t="e">
        <f>SUM(SF159,SF162,SF157,RF134,TG126,PC129,#REF!,LK124,SF121,SF119,MI113,EW109,QN8,RP12,WD16,SN20,SN25,QQ35,RJ41,SD46,SH50,SZ54,SQ58,RV62,#REF!,#REF!,#REF!,#REF!)*0.7</f>
        <v>#REF!</v>
      </c>
      <c r="SG205" s="1674" t="e">
        <f>SUM(SG159,SG162,SG157,RG134,TH126,PD129,#REF!,LL124,SG121,SG119,MJ113,EX109,QO8,RQ12,WE16,SO20,SO25,QR35,RK41,SE46,SI50,TA54,SR58,RW62,#REF!,#REF!,#REF!,#REF!)*0.7</f>
        <v>#REF!</v>
      </c>
      <c r="SH205" s="1674" t="e">
        <f>SUM(SH159,SH162,SH157,RH134,TI126,PE129,#REF!,LM124,SH121,SH119,MK113,EY109,QP8,RR12,WF16,SP20,SP25,QS35,RL41,SF46,SJ50,TB54,SS58,RX62,#REF!,#REF!,#REF!,#REF!)*0.7</f>
        <v>#REF!</v>
      </c>
      <c r="SI205" s="1674" t="e">
        <f>SUM(SI159,SI162,SI157,RI134,TJ126,PF129,#REF!,LN124,SI121,SI119,ML113,EZ109,QQ8,RS12,WG16,SQ20,SQ25,QT35,RM41,SG46,SK50,TC54,ST58,RY62,#REF!,#REF!,#REF!,#REF!)*0.7</f>
        <v>#REF!</v>
      </c>
      <c r="SJ205" s="1674" t="e">
        <f>SUM(SJ159,SJ162,SJ157,RJ134,TK126,PG129,#REF!,LO124,SJ121,SJ119,MM113,FA109,QR8,RT12,WH16,SR20,SR25,QU35,RN41,SH46,SL50,TD54,SU58,RZ62,#REF!,#REF!,#REF!,#REF!)*0.7</f>
        <v>#REF!</v>
      </c>
      <c r="SK205" s="1674" t="e">
        <f>SUM(SK159,SK162,SK157,RK134,TL126,PH129,#REF!,LP124,SK121,SK119,MN113,FB109,QS8,RU12,WI16,SS20,SS25,QV35,RO41,SI46,SM50,TE54,SV58,SA62,#REF!,#REF!,#REF!,#REF!)*0.7</f>
        <v>#REF!</v>
      </c>
      <c r="SL205" s="1674" t="e">
        <f>SUM(SL159,SL162,SL157,RL134,TM126,PI129,#REF!,LQ124,SL121,SL119,MO113,FC109,QT8,RV12,WJ16,ST20,ST25,QW35,RP41,SJ46,SN50,TF54,SW58,SB62,#REF!,#REF!,#REF!,#REF!)*0.7</f>
        <v>#REF!</v>
      </c>
      <c r="SM205" s="1674" t="e">
        <f>SUM(SM159,SM162,SM157,RM134,TN126,PJ129,#REF!,#REF!,SM121,SM119,MP113,FD109,QU8,RW12,WK16,SU20,SU25,QX35,RQ41,SK46,SO50,TG54,SX58,SC62,#REF!,#REF!,#REF!,#REF!)*0.7</f>
        <v>#REF!</v>
      </c>
      <c r="SN205" s="1674" t="e">
        <f>SUM(SN159,SN162,SN157,RN134,TO126,PK129,#REF!,#REF!,SN121,SN119,MQ113,FE109,QV8,RX12,WL16,SV20,SV25,QY35,RR41,SL46,SP50,TH54,SY58,SD62,#REF!,#REF!,#REF!,#REF!)*0.7</f>
        <v>#REF!</v>
      </c>
      <c r="SO205" s="1674" t="e">
        <f>SUM(SO159,SO162,SO157,RO134,TP126,PL129,#REF!,#REF!,SO121,SO119,MR113,FF109,QW8,RY12,WM16,SW20,SW25,QZ35,RS41,SM46,SQ50,TI54,SZ58,SE62,#REF!,#REF!,#REF!,#REF!)*0.7</f>
        <v>#REF!</v>
      </c>
      <c r="SP205" s="1674" t="e">
        <f>SUM(SP159,SP162,SP157,RP134,TQ126,PM129,#REF!,#REF!,SP121,SP119,MS113,FG109,QX8,RZ12,WN16,SX20,SX25,RA35,RT41,SN46,SR50,TJ54,TA58,SF62,#REF!,#REF!,#REF!,#REF!)*0.7</f>
        <v>#REF!</v>
      </c>
      <c r="SQ205" s="1674" t="e">
        <f>SUM(SQ159,SQ162,SQ157,RQ134,TR126,PN129,#REF!,#REF!,SQ121,SQ119,MT113,FH109,QY8,SA12,WO16,SY20,SY25,RB35,RU41,SO46,SS50,TK54,TB58,SG62,#REF!,#REF!,#REF!,#REF!)*0.7</f>
        <v>#REF!</v>
      </c>
      <c r="SR205" s="1674" t="e">
        <f>SUM(SR159,SR162,SR157,RR134,TS126,PO129,#REF!,#REF!,SR121,SR119,MU113,FI109,QZ8,SB12,WP16,SZ20,SZ25,RC35,RV41,SP46,ST50,TL54,TC58,SH62,#REF!,#REF!,#REF!,#REF!)*0.7</f>
        <v>#REF!</v>
      </c>
      <c r="SS205" s="1674" t="e">
        <f>SUM(SS159,SS162,SS157,RS134,TT126,PP129,#REF!,#REF!,SS121,SS119,MV113,FJ109,RA8,SC12,WQ16,TA20,TA25,RD35,RW41,SQ46,SU50,TM54,TD58,SI62,#REF!,#REF!,#REF!,#REF!)*0.7</f>
        <v>#REF!</v>
      </c>
      <c r="ST205" s="1674" t="e">
        <f>SUM(ST159,ST162,ST157,RT134,TU126,PQ129,#REF!,#REF!,ST121,ST119,MW113,FK109,RB8,SD12,WR16,TB20,TB25,RE35,RX41,SR46,SV50,TN54,TE58,SJ62,#REF!,#REF!,#REF!,#REF!)*0.7</f>
        <v>#REF!</v>
      </c>
      <c r="SU205" s="1674" t="e">
        <f>SUM(SU159,SU162,SU157,RU134,TV126,PR129,#REF!,#REF!,SU121,SU119,MX113,FL109,RC8,SE12,WS16,TC20,TC25,RF35,RY41,SS46,SW50,TO54,TF58,SK62,#REF!,#REF!,#REF!,#REF!)*0.7</f>
        <v>#REF!</v>
      </c>
      <c r="SV205" s="1674" t="e">
        <f>SUM(SV159,SV162,SV157,RV134,TW126,PS129,#REF!,#REF!,SV121,SV119,MY113,FM109,RD8,SF12,WT16,TD20,TD25,RG35,RZ41,ST46,SX50,TP54,TG58,SL62,#REF!,#REF!,#REF!,#REF!)*0.7</f>
        <v>#REF!</v>
      </c>
      <c r="SW205" s="1674" t="e">
        <f>SUM(SW159,SW162,SW157,RW134,TX126,PT129,#REF!,#REF!,SW121,SW119,MZ113,FN109,RE8,SG12,WU16,TE20,TE25,RH35,SA41,SU46,SY50,TQ54,TH58,SM62,#REF!,#REF!,#REF!,#REF!)*0.7</f>
        <v>#REF!</v>
      </c>
      <c r="SX205" s="1674" t="e">
        <f>SUM(SX159,SX162,SX157,RX134,TY126,PU129,#REF!,#REF!,SX121,SX119,NA113,FO109,RF8,SH12,WV16,TF20,TF25,RI35,SB41,SV46,SZ50,TR54,TI58,SN62,#REF!,#REF!,#REF!,#REF!)*0.7</f>
        <v>#REF!</v>
      </c>
      <c r="SY205" s="1674" t="e">
        <f>SUM(SY159,SY162,SY157,RY134,TZ126,PV129,#REF!,#REF!,SY121,SY119,NB113,FP109,RG8,SI12,WW16,TG20,TG25,RJ35,SC41,SW46,TA50,TS54,TJ58,SO62,#REF!,#REF!,#REF!,#REF!)*0.7</f>
        <v>#REF!</v>
      </c>
      <c r="SZ205" s="1674" t="e">
        <f>SUM(RH8,SK12,WX16,TD20,TF25,RK35,SE41,SP62,TK58,TT54,SX46,TB50,#REF!,#REF!,#REF!,#REF!,#REF!,#REF!,#REF!,#REF!,FQ109,NC113,SZ119,SZ121,#REF!,PT129,UA126,#REF!,RZ134,SZ157,SZ159,SZ162)*0.7</f>
        <v>#REF!</v>
      </c>
      <c r="TA205" s="1674" t="e">
        <f>SUM(RI8,SL12,WY16,TE20,TG25,RL35,SF41,SQ62,TL58,TU54,SY46,TC50,#REF!,#REF!,#REF!,#REF!,#REF!,#REF!,#REF!,#REF!,FR109,ND113,TA119,TA121,#REF!,PU129,UB126,#REF!,SA134,TA157,TA159,TA162)*0.7</f>
        <v>#REF!</v>
      </c>
      <c r="TB205" s="1674" t="e">
        <f>SUM(RJ8,SM12,WZ16,TF20,TH25,RM35,SG41,SR62,TM58,TV54,SZ46,TD50,#REF!,#REF!,#REF!,#REF!,#REF!,#REF!,#REF!,#REF!,FS109,NE113,TB119,TB121,#REF!,PV129,UC126,#REF!,SB134,TB157,TB159,TB162)*0.7</f>
        <v>#REF!</v>
      </c>
      <c r="TC205" s="1674" t="e">
        <f>SUM(RK8,SN12,XA16,TG20,TI25,RN35,SH41,SS62,TN58,TW54,TA46,TE50,#REF!,#REF!,#REF!,#REF!,#REF!,#REF!,#REF!,#REF!,FT109,NF113,TC119,TC121,#REF!,PW129,UD126,#REF!,SC134,TC157,TC159,TC162)*0.7</f>
        <v>#REF!</v>
      </c>
      <c r="TD205" s="1674" t="e">
        <f>SUM(RL8,SO12,XB16,TH20,TJ25,RO35,SI41,ST62,TO58,TX54,TB46,TF50,#REF!,#REF!,#REF!,#REF!,#REF!,#REF!,#REF!,#REF!,FU109,NG113,TD119,TD121,#REF!,PX129,UE126,#REF!,SD134,TD157,TD159,TD162)*0.7</f>
        <v>#REF!</v>
      </c>
      <c r="TE205" s="1674" t="e">
        <f>SUM(RM8,SP12,XC16,TI20,TK25,RP35,SJ41,SU62,TP58,TY54,TC46,TG50,#REF!,#REF!,#REF!,#REF!,#REF!,#REF!,#REF!,#REF!,FV109,NH113,TE119,TE121,#REF!,PY129,UF126,#REF!,SE134,TE157,TE159,TE162)*0.7</f>
        <v>#REF!</v>
      </c>
      <c r="TF205" s="1674" t="e">
        <f>SUM(RN8,SQ12,XD16,TJ20,TL25,RQ35,SK41,SV62,TQ58,TZ54,TD46,TH50,#REF!,#REF!,#REF!,#REF!,#REF!,#REF!,#REF!,#REF!,FW109,NI113,TF119,TF121,#REF!,PZ129,UG126,#REF!,SF134,TF157,TF159,TF162)*0.7</f>
        <v>#REF!</v>
      </c>
      <c r="TG205" s="1674" t="e">
        <f>SUM(RO8,SR12,XE16,TK20,TM25,RR35,SL41,SW62,TR58,UA54,TE46,TI50,#REF!,#REF!,#REF!,#REF!,#REF!,#REF!,#REF!,#REF!,FX109,NJ113,TG119,TG121,#REF!,QA129,UH126,#REF!,SG134,TG157,TG159,TG162)*0.7</f>
        <v>#REF!</v>
      </c>
      <c r="TH205" s="1674" t="e">
        <f>SUM(RP8,SS12,XF16,TL20,TN25,RS35,SM41,SX62,TS58,UB54,TF46,TJ50,#REF!,#REF!,#REF!,#REF!,#REF!,#REF!,#REF!,#REF!,FY109,NK113,TH119,TH121,#REF!,QB129,UI126,#REF!,SH134,TH157,TH159,TH162)*0.7</f>
        <v>#REF!</v>
      </c>
      <c r="TI205" s="1674" t="e">
        <f>SUM(RQ8,ST12,XG16,TM20,TO25,RT35,SN41,SY62,TT58,UC54,TG46,TK50,#REF!,#REF!,#REF!,#REF!,#REF!,#REF!,#REF!,#REF!,FZ109,NL113,TI119,TI121,#REF!,QC129,UJ126,#REF!,SI134,TI157,TI159,TI162)*0.7</f>
        <v>#REF!</v>
      </c>
      <c r="TJ205" s="1674" t="e">
        <f>SUM(RR8,SU12,XH16,TN20,TP25,RU35,SO41,SZ62,TU58,UD54,TH46,TL50,#REF!,#REF!,#REF!,#REF!,#REF!,#REF!,#REF!,#REF!,GA109,NM113,TJ119,TJ121,#REF!,QD129,UK126,#REF!,SJ134,TJ157,TJ159,TJ162)*0.7</f>
        <v>#REF!</v>
      </c>
      <c r="TK205" s="1674" t="e">
        <f>SUM(RS8,SV12,XI16,TO20,TQ25,RV35,SP41,TA62,TV58,UE54,TI46,TM50,#REF!,#REF!,#REF!,#REF!,#REF!,#REF!,#REF!,#REF!,GB109,NN113,TK119,TK121,#REF!,QE129,UL126,#REF!,SK134,TK157,TK159,TK162)*0.7</f>
        <v>#REF!</v>
      </c>
      <c r="TL205" s="1674" t="e">
        <f>SUM(RT8,SW12,XJ16,TP20,TR25,RW35,SQ41,TB62,TW58,UF54,TJ46,TN50,#REF!,#REF!,#REF!,#REF!,#REF!,#REF!,#REF!,#REF!,GC109,NO113,TL119,TL121,#REF!,QF129,UM126,#REF!,SL134,TL157,TL159,TL162)*0.7</f>
        <v>#REF!</v>
      </c>
      <c r="TM205" s="1674" t="e">
        <f>SUM(RU8,SX12,XK16,TQ20,TS25,RX35,SR41,TC62,TX58,UG54,TK46,TO50,#REF!,#REF!,#REF!,#REF!,#REF!,#REF!,#REF!,#REF!,GD109,NP113,TM119,TM121,#REF!,QG129,UN126,#REF!,SM134,TM157,TM159,TM162)*0.7</f>
        <v>#REF!</v>
      </c>
      <c r="TN205" s="1674" t="e">
        <f>SUM(RV8,SY12,XL16,TR20,TT25,RY35,SS41,TD62,TY58,UH54,TL46,TP50,#REF!,#REF!,#REF!,#REF!,#REF!,#REF!,#REF!,#REF!,GE109,NQ113,TN119,TN121,#REF!,QH129,UO126,#REF!,SN134,TN157,TN159,TN162)*0.7</f>
        <v>#REF!</v>
      </c>
      <c r="TO205" s="1674" t="e">
        <f>SUM(RW8,SZ12,XM16,TS20,TU25,RZ35,ST41,TE62,TZ58,UI54,TM46,TQ50,#REF!,#REF!,#REF!,#REF!,#REF!,#REF!,#REF!,#REF!,GF109,NR113,TO119,TO121,#REF!,QI129,UP126,TK131,SO134,TO157,TO159,TO162)*0.7</f>
        <v>#REF!</v>
      </c>
      <c r="TP205" s="1674" t="e">
        <f>SUM(RX8,TA12,XN16,TT20,TV25,SA35,SU41,TF62,UA58,UJ54,TN46,TR50,#REF!,#REF!,#REF!,#REF!,#REF!,#REF!,#REF!,#REF!,GG109,NS113,TP119,TP121,#REF!,QJ129,UQ126,TL131,SP134,TP157,TP159,TP162)*0.7</f>
        <v>#REF!</v>
      </c>
      <c r="TQ205" s="1674" t="e">
        <f>SUM(RY8,TB12,XO16,TU20,TW25,SB35,SV41,TG62,UB58,UK54,TO46,TS50,#REF!,#REF!,#REF!,#REF!,#REF!,#REF!,#REF!,#REF!,GH109,NT113,TQ119,TQ121,#REF!,QK129,UR126,TM131,SQ134,TQ157,TQ159,TQ162)*0.7</f>
        <v>#REF!</v>
      </c>
      <c r="TR205" s="1674" t="e">
        <f>SUM(RZ8,TC12,XP16,TV20,TX25,SC35,SW41,TH62,UC58,UL54,TP46,TT50,#REF!,#REF!,#REF!,#REF!,#REF!,#REF!,#REF!,#REF!,GI109,NU113,TR119,TR121,#REF!,QL129,US126,TN131,SR134,TR157,TR159,TR162)*0.7</f>
        <v>#REF!</v>
      </c>
      <c r="TS205" s="1674" t="e">
        <f>SUM(SA8,TD12,XQ16,TW20,TY25,SD35,SX41,TI62,UD58,UM54,TQ46,TU50,#REF!,#REF!,#REF!,#REF!,#REF!,#REF!,#REF!,#REF!,GJ109,NV113,TS119,TS121,#REF!,QM129,UT126,TO131,SS134,TS157,TS159,TS162)*0.7</f>
        <v>#REF!</v>
      </c>
      <c r="TT205" s="1674" t="e">
        <f>SUM(SB8,TE12,XR16,TX20,TZ25,SE35,SY41,TJ62,UE58,UN54,TR46,TV50,#REF!,#REF!,#REF!,#REF!,#REF!,#REF!,#REF!,#REF!,GK109,NW113,TT119,TT121,#REF!,QN129,UU126,TP131,ST134,TT157,TT159,TT162)*0.7</f>
        <v>#REF!</v>
      </c>
      <c r="TU205" s="1674" t="e">
        <f>SUM(SC8,TF12,XS16,TY20,UA25,SF35,SZ41,TK62,UF58,UO54,TS46,TW50,#REF!,#REF!,#REF!,#REF!,#REF!,#REF!,#REF!,#REF!,GL109,NX113,TU119,TU121,#REF!,QO129,UV126,TQ131,SU134,TU157,TU159,TU162)*0.7</f>
        <v>#REF!</v>
      </c>
      <c r="TV205" s="1674" t="e">
        <f>SUM(SD8,TG12,XT16,TZ20,UB25,SG35,TA41,TL62,UG58,UP54,TT46,TX50,#REF!,#REF!,#REF!,#REF!,#REF!,#REF!,#REF!,#REF!,GM109,NY113,TV119,TV121,#REF!,QP129,UW126,TR131,SV134,TV157,TV159,TV162)*0.7</f>
        <v>#REF!</v>
      </c>
      <c r="TW205" s="1674" t="e">
        <f>SUM(SE8,TH12,XU16,UA20,UC25,SH35,TB41,TM62,UH58,UQ54,TU46,TY50,#REF!,#REF!,#REF!,#REF!,#REF!,#REF!,#REF!,#REF!,GN109,NZ113,TW119,TW121,#REF!,QQ129,UX126,TS131,SW134,TW157,TW159,TW162)*0.7</f>
        <v>#REF!</v>
      </c>
      <c r="TX205" s="1674" t="e">
        <f>SUM(SF8,TI12,XV16,UB20,UD25,SI35,TC41,TN62,UI58,UR54,TV46,TZ50,#REF!,#REF!,#REF!,#REF!,#REF!,#REF!,#REF!,#REF!,GO109,OA113,TX119,TX121,#REF!,QR129,UY126,TT131,SX134,TX157,TX159,TX162)*0.7</f>
        <v>#REF!</v>
      </c>
      <c r="TY205" s="1674" t="e">
        <f>SUM(SG8,TJ12,XW16,UC20,UE25,SJ35,TD41,TO62,UJ58,US54,TW46,UA50,#REF!,#REF!,#REF!,#REF!,#REF!,#REF!,#REF!,#REF!,GP109,OB113,TY119,TY121,#REF!,QS129,UZ126,TU131,SY134,TY157,TY159,TY162)*0.7</f>
        <v>#REF!</v>
      </c>
      <c r="TZ205" s="1674" t="e">
        <f>SUM(SH8,TK12,XX16,UD20,UF25,SK35,TE41,TP62,UK58,UT54,TX46,UB50,#REF!,#REF!,#REF!,#REF!,#REF!,#REF!,#REF!,#REF!,GQ109,OC113,TZ119,TZ121,#REF!,QT129,VA126,TV131,SZ134,TZ157,TZ159,TZ162)*0.7</f>
        <v>#REF!</v>
      </c>
      <c r="UA205" s="1674" t="e">
        <f>SUM(SI8,TL12,XY16,UE20,UG25,SL35,TF41,TQ62,UL58,UU54,TY46,UC50,#REF!,#REF!,#REF!,#REF!,#REF!,#REF!,#REF!,#REF!,GR109,OD113,UA119,UA121,#REF!,QU129,VB126,TW131,TA134,UA157,UA159,UA162)*0.7</f>
        <v>#REF!</v>
      </c>
      <c r="UB205" s="1674" t="e">
        <f>SUM(SJ8,TM12,XZ16,UF20,UH25,SM35,TG41,TR62,UM58,UV54,TZ46,UD50,#REF!,#REF!,#REF!,#REF!,#REF!,#REF!,#REF!,#REF!,GS109,OE113,UB119,UB121,#REF!,QV129,VC126,TX131,TB134,UB157,UB159,UB162)*0.7</f>
        <v>#REF!</v>
      </c>
      <c r="UC205" s="1674" t="e">
        <f>SUM(SK8,TN12,YA16,UG20,UI25,SN35,TH41,TS62,UN58,UW54,UA46,UE50,#REF!,#REF!,#REF!,#REF!,#REF!,#REF!,#REF!,#REF!,GT109,OF113,UC119,UC121,#REF!,QW129,VD126,TY131,TC134,UC157,UC159,UC162)*0.7</f>
        <v>#REF!</v>
      </c>
      <c r="UD205" s="1674" t="e">
        <f>SUM(SL8,TO12,YB16,UH20,UJ25,SO35,TI41,TT62,UO58,UX54,UB46,UF50,#REF!,#REF!,#REF!,#REF!,#REF!,#REF!,#REF!,#REF!,GU109,OG113,UD119,UD121,#REF!,QX129,VE126,TZ131,TD134,UD157,UD159,UD162)*0.7</f>
        <v>#REF!</v>
      </c>
      <c r="UE205" s="1674" t="e">
        <f>SUM(SM8,TP12,YC16,UI20,UK25,SP35,TJ41,TU62,UP58,UY54,UC46,UG50,#REF!,#REF!,#REF!,#REF!,#REF!,#REF!,#REF!,#REF!,GV109,OH113,UE119,UE121,#REF!,QY129,VF126,UA131,TE134,UE157,UE159,UE162)*0.7</f>
        <v>#REF!</v>
      </c>
      <c r="UF205" s="1674" t="e">
        <f>SUM(SN8,TQ12,YD16,UJ20,UL25,SQ35,TK41,TV62,UQ58,UZ54,UD46,UH50,#REF!,#REF!,#REF!,#REF!,#REF!,#REF!,#REF!,#REF!,GW109,OI113,UF119,UF121,#REF!,QZ129,VG126,UB131,TF134,UF157,UF159,UF162)*0.7</f>
        <v>#REF!</v>
      </c>
      <c r="UG205" s="1674" t="e">
        <f>SUM(SO8,TR12,YE16,UK20,UM25,SR35,TL41,TW62,UR58,VA54,UE46,UI50,#REF!,#REF!,#REF!,#REF!,#REF!,#REF!,#REF!,#REF!,GX109,OJ113,UG119,UG121,#REF!,RA129,VH126,UC131,TG134,UG157,UG159,UG162)*0.7</f>
        <v>#REF!</v>
      </c>
      <c r="UH205" s="1674" t="e">
        <f>SUM(SP8,TS12,YF16,UL20,UN25,SS35,TM41,TX62,US58,VB54,UF46,UJ50,#REF!,#REF!,#REF!,#REF!,#REF!,#REF!,#REF!,#REF!,GY109,OK113,UH119,UH121,#REF!,RB129,VI126,UD131,TH134,UH157,UH159,UH162)*0.7</f>
        <v>#REF!</v>
      </c>
      <c r="UI205" s="1674" t="e">
        <f>SUM(SQ8,TT12,YG16,UM20,UO25,ST35,TN41,TY62,UT58,VC54,UG46,UK50,#REF!,#REF!,#REF!,#REF!,#REF!,#REF!,#REF!,#REF!,GZ109,OL113,UI119,UI121,#REF!,RC129,VJ126,UE131,TI134,UI157,UI159,UI162)*0.7</f>
        <v>#REF!</v>
      </c>
      <c r="UJ205" s="1674" t="e">
        <f>SUM(SR8,TU12,YH16,UN20,UP25,SU35,TO41,TZ62,UU58,VD54,UH46,UL50,#REF!,#REF!,#REF!,#REF!,#REF!,#REF!,#REF!,#REF!,HA109,OM113,UJ119,UJ121,#REF!,RD129,VK126,UF131,TJ134,UJ157,UJ159,UJ162)*0.7</f>
        <v>#REF!</v>
      </c>
      <c r="UK205" s="1674" t="e">
        <f>SUM(SS8,TV12,YI16,UO20,UQ25,SV35,TP41,UA62,UV58,VE54,UI46,UM50,#REF!,#REF!,#REF!,#REF!,#REF!,#REF!,#REF!,#REF!,HB109,ON113,UK119,UK121,#REF!,RE129,VL126,UG131,TK134,UK157,UK159,UK162)*0.7</f>
        <v>#REF!</v>
      </c>
      <c r="UL205" s="1674" t="e">
        <f>SUM(ST8,TW12,YJ16,UP20,UR25,SW35,TQ41,UB62,UW58,VF54,UJ46,UN50,#REF!,#REF!,#REF!,#REF!,#REF!,#REF!,#REF!,#REF!,HC109,OO113,UL119,UL121,#REF!,RF129,VM126,UH131,TL134,UL157,UL159,UL162)*0.7</f>
        <v>#REF!</v>
      </c>
      <c r="UM205" s="1674" t="e">
        <f>SUM(SU8,TX12,YK16,UQ20,US25,SX35,TR41,UC62,UX58,VG54,UK46,UO50,#REF!,#REF!,#REF!,#REF!,#REF!,#REF!,#REF!,#REF!,HD109,OP113,UM119,UM121,#REF!,RG129,VN126,UI131,TM134,UM157,UM159,UM162)*0.7</f>
        <v>#REF!</v>
      </c>
      <c r="UN205" s="1674" t="e">
        <f>SUM(SV8,TY12,YL16,UR20,UT25,SY35,TS41,UD62,UY58,VH54,UL46,UP50,#REF!,#REF!,#REF!,#REF!,#REF!,#REF!,#REF!,#REF!,HE109,OQ113,UN119,UN121,#REF!,RH129,VO126,UJ131,TN134,UN157,UN159,UN162)*0.7</f>
        <v>#REF!</v>
      </c>
      <c r="UO205" s="1674" t="e">
        <f>SUM(SW8,TZ12,YM16,US20,UU25,SZ35,TT41,UE62,UZ58,VI54,UM46,UQ50,#REF!,#REF!,#REF!,#REF!,#REF!,#REF!,#REF!,#REF!,HF109,OR113,UO119,UO121,#REF!,RI129,VP126,UK131,TO134,UO157,UO159,UO162)*0.7</f>
        <v>#REF!</v>
      </c>
      <c r="UP205" s="1674" t="e">
        <f>SUM(SX8,UA12,YN16,UT20,UV25,TA35,TU41,UF62,VA58,VJ54,UN46,UR50,#REF!,#REF!,#REF!,#REF!,#REF!,#REF!,#REF!,#REF!,HG109,OS113,UP119,UP121,OX124,RJ129,VQ126,UL131,TP134,UP157,UP159,UP162)*0.7</f>
        <v>#REF!</v>
      </c>
      <c r="UQ205" s="1674" t="e">
        <f>SUM(SY8,UB12,YO16,UU20,UW25,TB35,TV41,UG62,VB58,VK54,UO46,US50,#REF!,#REF!,#REF!,#REF!,#REF!,#REF!,#REF!,#REF!,HH109,OT113,UQ119,UQ121,OY124,RK129,VR126,UM131,TQ134,UQ157,UQ159,UQ162)*0.7</f>
        <v>#REF!</v>
      </c>
      <c r="UR205" s="1674" t="e">
        <f>SUM(SZ8,UC12,YP16,UV20,UX25,TC35,TW41,UH62,VC58,VL54,UP46,UT50,#REF!,#REF!,#REF!,#REF!,#REF!,#REF!,#REF!,#REF!,HI109,OU113,UR119,UR121,OZ124,RL129,VS126,UN131,TR134,UR157,UR159,UR162)*0.7</f>
        <v>#REF!</v>
      </c>
      <c r="US205" s="1674" t="e">
        <f>SUM(TA8,UD12,YQ16,UW20,UY25,TD35,TX41,UI62,VD58,VM54,UQ46,UU50,#REF!,#REF!,#REF!,#REF!,#REF!,#REF!,#REF!,#REF!,HJ109,OV113,US119,US121,PA124,RM129,VT126,UO131,TS134,US157,US159,US162)*0.7</f>
        <v>#REF!</v>
      </c>
      <c r="UT205" s="1674" t="e">
        <f>SUM(TB8,UE12,YR16,UX20,UZ25,TE35,TY41,UJ62,VE58,VN54,UR46,UV50,#REF!,#REF!,#REF!,#REF!,#REF!,#REF!,#REF!,#REF!,HK109,OW113,UT119,UT121,PB124,RN129,VU126,UP131,TT134,UT157,UT159,UT162)*0.7</f>
        <v>#REF!</v>
      </c>
      <c r="UU205" s="1674" t="e">
        <f>SUM(TC8,UF12,YS16,UY20,VA25,TF35,TZ41,UK62,VF58,VO54,US46,UW50,#REF!,#REF!,#REF!,#REF!,#REF!,#REF!,#REF!,#REF!,HL109,OX113,UU119,UU121,PC124,RO129,VV126,UQ131,TU134,UU157,UU159,UU162)*0.7</f>
        <v>#REF!</v>
      </c>
      <c r="UV205" s="1674" t="e">
        <f>SUM(TD8,UG12,YT16,UZ20,VB25,TG35,UA41,UL62,VG58,VP54,UT46,UX50,#REF!,#REF!,#REF!,#REF!,#REF!,#REF!,#REF!,#REF!,HM109,OY113,UV119,UV121,PD124,RP129,VW126,UR131,TV134,UV157,UV159,UV162)*0.7</f>
        <v>#REF!</v>
      </c>
      <c r="UW205" s="1674" t="e">
        <f>SUM(TE8,UH12,YU16,VA20,VC25,TH35,UB41,UM62,VH58,VQ54,UU46,UY50,#REF!,#REF!,#REF!,#REF!,#REF!,#REF!,#REF!,#REF!,HN109,OZ113,UW119,UW121,PE124,RQ129,VX126,US131,TW134,UW157,UW159,UW162)*0.7</f>
        <v>#REF!</v>
      </c>
      <c r="UX205" s="1674" t="e">
        <f>SUM(TF8,UI12,YV16,VB20,VD25,TI35,UC41,UN62,VI58,VR54,UV46,UZ50,#REF!,#REF!,#REF!,#REF!,#REF!,#REF!,#REF!,#REF!,HO109,PA113,UX119,UX121,PF124,RR129,VY126,UT131,TX134,UX157,UX159,UX162)*0.7</f>
        <v>#REF!</v>
      </c>
      <c r="UY205" s="1674" t="e">
        <f>SUM(TG8,UJ12,YW16,VC20,VE25,TJ35,UD41,UO62,VJ58,VS54,UW46,VA50,#REF!,#REF!,#REF!,#REF!,#REF!,#REF!,#REF!,#REF!,HP109,PB113,UY119,UY121,PG124,RS129,VZ126,UU131,TY134,UY157,UY159,UY162)*0.7</f>
        <v>#REF!</v>
      </c>
      <c r="UZ205" s="1674" t="e">
        <f>SUM(TH8,UK12,YX16,VD20,VF25,TK35,UE41,UP62,VK58,VT54,UX46,VB50,#REF!,#REF!,#REF!,#REF!,#REF!,#REF!,#REF!,#REF!,HQ109,PC113,UZ119,UZ121,PH124,RT129,WA126,UV131,TZ134,UZ157,UZ159,UZ162)*0.7</f>
        <v>#REF!</v>
      </c>
      <c r="VA205" s="1674" t="e">
        <f>SUM(TI8,UL12,YY16,VE20,VG25,TL35,UF41,UQ62,VL58,VU54,UY46,VC50,#REF!,#REF!,#REF!,#REF!,#REF!,#REF!,#REF!,#REF!,HR109,PD113,VA119,VA121,PI124,RU129,WB126,UW131,UA134,VA157,VA159,VA162)*0.7</f>
        <v>#REF!</v>
      </c>
      <c r="VB205" s="1674" t="e">
        <f>SUM(TJ8,UM12,YZ16,VF20,VH25,TM35,UG41,UR62,VM58,VV54,UZ46,VD50,#REF!,#REF!,#REF!,#REF!,#REF!,#REF!,#REF!,#REF!,HS109,PE113,VB119,VB121,PJ124,RV129,WC126,UX131,UB134,VB157,VB159,VB162)*0.7</f>
        <v>#REF!</v>
      </c>
      <c r="VC205" s="1674" t="e">
        <f>SUM(TK8,UN12,ZA16,VG20,VI25,TN35,UH41,US62,VN58,VW54,VA46,VE50,#REF!,#REF!,#REF!,#REF!,#REF!,#REF!,#REF!,#REF!,HT109,PF113,VC119,VC121,PK124,RW129,WD126,UY131,UC134,VC157,VC159,VC162)*0.7</f>
        <v>#REF!</v>
      </c>
      <c r="VD205" s="1674" t="e">
        <f>SUM(TL8,UO12,ZB16,VH20,VJ25,TO35,UI41,UT62,VO58,VX54,VB46,VF50,#REF!,#REF!,#REF!,#REF!,#REF!,#REF!,#REF!,#REF!,HU109,PG113,VD119,VD121,PL124,RX129,WE126,UZ131,UD134,VD157,VD159,VD162)*0.7</f>
        <v>#REF!</v>
      </c>
      <c r="VE205" s="1674" t="e">
        <f>SUM(TM8,UP12,ZC16,VI20,VK25,TP35,UJ41,UU62,VP58,VY54,VC46,VG50,#REF!,#REF!,#REF!,#REF!,#REF!,#REF!,#REF!,#REF!,HV109,PH113,VE119,VE121,PM124,RY129,WF126,VA131,UE134,VE157,VE159,VE162)*0.7</f>
        <v>#REF!</v>
      </c>
      <c r="VF205" s="1674" t="e">
        <f>SUM(TN8,UQ12,ZD16,VJ20,VL25,TQ35,UK41,UV62,VQ58,VZ54,VD46,VH50,#REF!,#REF!,#REF!,#REF!,#REF!,#REF!,#REF!,#REF!,HW109,PI113,VF119,VF121,PN124,RZ129,WG126,VB131,UF134,VF157,VF159,VF162)*0.7</f>
        <v>#REF!</v>
      </c>
      <c r="VG205" s="1674" t="e">
        <f>SUM(TO8,UR12,ZE16,VK20,VM25,TR35,UL41,UW62,VR58,WA54,VE46,VI50,#REF!,#REF!,#REF!,#REF!,#REF!,#REF!,#REF!,#REF!,HX109,PJ113,VG119,VG121,PO124,SA129,WH126,VC131,UG134,VG157,VG159,VG162)*0.7</f>
        <v>#REF!</v>
      </c>
      <c r="VH205" s="1674" t="e">
        <f>SUM(TP8,US12,ZF16,VL20,VN25,TS35,UM41,UX62,VS58,WB54,VF46,VJ50,#REF!,#REF!,#REF!,#REF!,#REF!,#REF!,#REF!,#REF!,HY109,PK113,VH119,VH121,PP124,SB129,WI126,VD131,UH134,VH157,VH159,VH162)*0.7</f>
        <v>#REF!</v>
      </c>
      <c r="VI205" s="1674" t="e">
        <f>SUM(TQ8,UT12,ZG16,VM20,VO25,TT35,UN41,UY62,VT58,WC54,VG46,VK50,#REF!,#REF!,#REF!,#REF!,#REF!,#REF!,#REF!,#REF!,HZ109,PL113,VI119,VI121,PQ124,SC129,WJ126,VE131,UI134,VI157,VI159,VI162)*0.7</f>
        <v>#REF!</v>
      </c>
      <c r="VJ205" s="1674" t="e">
        <f>SUM(TR8,UU12,ZH16,VN20,VP25,TU35,UO41,UZ62,VU58,WD54,VH46,VL50,#REF!,#REF!,#REF!,#REF!,#REF!,#REF!,#REF!,#REF!,IA109,PM113,VJ119,VJ121,PR124,SD129,WK126,VF131,UJ134,VJ157,VJ159,VJ162)*0.7</f>
        <v>#REF!</v>
      </c>
      <c r="VK205" s="1674" t="e">
        <f>SUM(TS8,UV12,ZI16,VO20,VQ25,TV35,UP41,VA62,VV58,WE54,VI46,VM50,#REF!,#REF!,#REF!,#REF!,#REF!,#REF!,#REF!,#REF!,IB109,PN113,VK119,VK121,PS124,SE129,WL126,VG131,UK134,VK157,VK159,VK162)*0.7</f>
        <v>#REF!</v>
      </c>
      <c r="VL205" s="1674" t="e">
        <f>SUM(TT8,UW12,ZJ16,VP20,VR25,TW35,UQ41,VB62,VW58,WF54,VJ46,VN50,#REF!,#REF!,#REF!,#REF!,#REF!,#REF!,#REF!,#REF!,IC109,PO113,VL119,VL121,PT124,SF129,WM126,VH131,UL134,VL157,VL159,VL162)*0.7</f>
        <v>#REF!</v>
      </c>
      <c r="VM205" s="1674" t="e">
        <f>SUM(TU8,UX12,ZK16,VQ20,VS25,TX35,UR41,VC62,VX58,WG54,VK46,VO50,#REF!,#REF!,#REF!,#REF!,#REF!,#REF!,#REF!,#REF!,ID109,PP113,VM119,VM121,PU124,SG129,WN126,VI131,UM134,VM157,VM159,VM162)*0.7</f>
        <v>#REF!</v>
      </c>
      <c r="VN205" s="1674" t="e">
        <f>SUM(TV8,UY12,ZL16,VR20,VT25,TY35,US41,VD62,VY58,WH54,VL46,VP50,#REF!,#REF!,#REF!,#REF!,#REF!,#REF!,#REF!,#REF!,IE109,PQ113,VN119,VN121,PV124,SH129,WO126,VJ131,UN134,VN157,VN159,VN162)*0.7</f>
        <v>#REF!</v>
      </c>
      <c r="VO205" s="1674" t="e">
        <f>SUM(TW8,UZ12,ZM16,VS20,VU25,TZ35,UT41,VE62,VZ58,WI54,VM46,VQ50,#REF!,#REF!,#REF!,#REF!,#REF!,#REF!,#REF!,#REF!,IF109,PR113,VO119,VO121,PW124,SI129,WP126,VK131,UO134,VO157,VO159,VO162)*0.7</f>
        <v>#REF!</v>
      </c>
      <c r="VP205" s="1674" t="e">
        <f>SUM(TX8,VA12,ZN16,VT20,VV25,UA35,UU41,VF62,WA58,WJ54,VN46,VR50,#REF!,#REF!,#REF!,#REF!,#REF!,#REF!,#REF!,#REF!,IG109,PS113,VP119,VP121,PX124,SJ129,WQ126,VL131,UP134,VP157,VP159,VP162)*0.7</f>
        <v>#REF!</v>
      </c>
      <c r="VQ205" s="1674" t="e">
        <f>SUM(TY8,VB12,ZO16,VU20,VW25,UB35,UV41,VG62,WB58,WK54,VO46,VS50,#REF!,#REF!,#REF!,#REF!,#REF!,#REF!,#REF!,#REF!,IH109,PT113,VQ119,VQ121,PY124,SK129,WR126,VM131,UQ134,VQ157,VQ159,VQ162)*0.7</f>
        <v>#REF!</v>
      </c>
      <c r="VR205" s="1674" t="e">
        <f>SUM(TZ8,VC12,ZP16,VV20,VX25,UC35,UW41,VH62,WC58,WL54,VP46,VT50,#REF!,#REF!,#REF!,#REF!,#REF!,#REF!,#REF!,#REF!,II109,PU113,VR119,VR121,PZ124,SL129,WS126,VN131,UR134,VR157,VR159,VR162)*0.7</f>
        <v>#REF!</v>
      </c>
      <c r="VS205" s="1674" t="e">
        <f>SUM(UA8,VD12,ZQ16,VW20,VY25,UD35,UX41,VI62,WD58,WM54,VQ46,VU50,#REF!,#REF!,#REF!,#REF!,#REF!,#REF!,#REF!,#REF!,IJ109,PV113,VS119,VS121,QA124,SM129,WT126,VO131,US134,VS157,VS159,VS162)*0.7</f>
        <v>#REF!</v>
      </c>
      <c r="VT205" s="1674" t="e">
        <f>SUM(UB8,VE12,ZR16,VX20,VZ25,UE35,UY41,VJ62,WE58,WN54,VR46,VV50,#REF!,#REF!,#REF!,#REF!,#REF!,#REF!,#REF!,#REF!,IK109,PW113,VT119,VT121,QB124,SN129,WU126,VP131,UT134,VT157,VT159,VT162)*0.7</f>
        <v>#REF!</v>
      </c>
      <c r="VU205" s="1674" t="e">
        <f>SUM(UC8,VF12,ZS16,VY20,WA25,UF35,UZ41,VK62,WF58,WO54,VS46,VW50,#REF!,#REF!,#REF!,#REF!,#REF!,#REF!,#REF!,#REF!,IL109,PX113,VU119,VU121,QC124,SO129,WV126,VQ131,UU134,VU157,VU159,VU162)*0.7</f>
        <v>#REF!</v>
      </c>
      <c r="VV205" s="1674" t="e">
        <f>SUM(UD8,VG12,ZT16,VZ20,WB25,UG35,VA41,VL62,WG58,WP54,VT46,VX50,#REF!,#REF!,#REF!,#REF!,#REF!,#REF!,#REF!,#REF!,IM109,PY113,VV119,VV121,QD124,SP129,WW126,VR131,UV134,VV157,VV159,VV162)*0.7</f>
        <v>#REF!</v>
      </c>
      <c r="VW205" s="1674" t="e">
        <f>SUM(UE8,VH12,ZU16,WA20,WC25,UH35,VB41,VM62,WH58,WQ54,VU46,VY50,#REF!,#REF!,#REF!,#REF!,#REF!,#REF!,#REF!,#REF!,IN109,PZ113,VW119,VW121,QE124,SQ129,WX126,VS131,UW134,VW157,VW159,VW162)*0.7</f>
        <v>#REF!</v>
      </c>
      <c r="VX205" s="1674" t="e">
        <f>SUM(UF8,VI12,ZV16,WB20,WD25,UI35,VC41,VN62,WI58,WR54,VV46,VZ50,#REF!,#REF!,#REF!,#REF!,#REF!,#REF!,#REF!,#REF!,IO109,QA113,VX119,VX121,QF124,SR129,WY126,VT131,UX134,VX157,VX159,VX162)*0.7</f>
        <v>#REF!</v>
      </c>
      <c r="VY205" s="1674" t="e">
        <f>SUM(UG8,VJ12,ZW16,WC20,WE25,UJ35,VD41,VO62,WJ58,WS54,VW46,WA50,#REF!,#REF!,#REF!,#REF!,#REF!,#REF!,#REF!,#REF!,IP109,QB113,VY119,VY121,QG124,SS129,WZ126,VU131,UY134,VY157,VY159,VY162)*0.7</f>
        <v>#REF!</v>
      </c>
      <c r="VZ205" s="1674" t="e">
        <f>SUM(UH8,VK12,ZX16,WD20,WF25,UK35,VE41,VP62,WK58,WT54,VX46,WB50,#REF!,#REF!,#REF!,#REF!,#REF!,#REF!,#REF!,#REF!,IQ109,QC113,VZ119,VZ121,QH124,ST129,XA126,VV131,UZ134,VZ157,VZ159,VZ162)*0.7</f>
        <v>#REF!</v>
      </c>
      <c r="WA205" s="1674" t="e">
        <f>SUM(UI8,VL12,ZY16,WE20,WG25,UL35,VF41,VQ62,WL58,WU54,VY46,WC50,#REF!,#REF!,#REF!,#REF!,#REF!,#REF!,#REF!,#REF!,IR109,QD113,WA119,WA121,QI124,SU129,XB126,VW131,VA134,WA157,WA159,WA162)*0.7</f>
        <v>#REF!</v>
      </c>
      <c r="WB205" s="1674" t="e">
        <f>SUM(UJ8,VM12,ZZ16,WF20,WH25,UM35,VG41,VR62,WM58,WV54,VZ46,WD50,#REF!,#REF!,#REF!,#REF!,#REF!,#REF!,#REF!,#REF!,IS109,QE113,WB119,WB121,QJ124,SV129,XC126,VX131,VB134,WB157,WB159,WB162)*0.7</f>
        <v>#REF!</v>
      </c>
      <c r="WC205" s="1674" t="e">
        <f>SUM(UK8,VN12,AAA16,WG20,WI25,UN35,VH41,VS62,WN58,WW54,WA46,WE50,#REF!,#REF!,#REF!,#REF!,#REF!,#REF!,#REF!,#REF!,IT109,QF113,WC119,WC121,QK124,SW129,XD126,VY131,VC134,WC157,WC159,WC162)*0.7</f>
        <v>#REF!</v>
      </c>
      <c r="WD205" s="1674" t="e">
        <f>SUM(UL8,VO12,AAB16,WH20,WJ25,UO35,VI41,VT62,WO58,WX54,WB46,WF50,#REF!,#REF!,#REF!,#REF!,#REF!,#REF!,#REF!,#REF!,IU109,QG113,WD119,WD121,QL124,SX129,XE126,VZ131,VD134,WD157,WD159,WD162)*0.7</f>
        <v>#REF!</v>
      </c>
      <c r="WE205" s="1674" t="e">
        <f>SUM(UM8,VP12,AAC16,WI20,WK25,UP35,VJ41,VU62,WP58,WY54,WC46,WG50,#REF!,#REF!,#REF!,#REF!,#REF!,#REF!,#REF!,#REF!,IV109,QH113,WE119,WE121,QM124,SY129,XF126,WA131,VE134,WE157,WE159,WE162)*0.7</f>
        <v>#REF!</v>
      </c>
      <c r="WF205" s="1674" t="e">
        <f>SUM(UN8,VQ12,AAD16,WJ20,WL25,UQ35,VK41,VV62,WQ58,WZ54,WD46,WH50,#REF!,#REF!,#REF!,#REF!,#REF!,#REF!,#REF!,#REF!,IW109,QI113,WF119,WF121,QN124,SZ129,XG126,WB131,VF134,WF157,WF159,WF162)*0.7</f>
        <v>#REF!</v>
      </c>
      <c r="WG205" s="1674" t="e">
        <f>SUM(UO8,VR12,AAE16,WK20,WM25,UR35,VL41,VW62,WR58,XA54,WE46,WI50,#REF!,#REF!,#REF!,#REF!,#REF!,#REF!,#REF!,#REF!,IX109,QJ113,WG119,WG121,QO124,TA129,XH126,WC131,VG134,WG157,WG159,WG162)*0.7</f>
        <v>#REF!</v>
      </c>
      <c r="WH205" s="1674" t="e">
        <f>SUM(UP8,VS12,AAF16,WL20,WN25,US35,VM41,VX62,WS58,XB54,WF46,WJ50,#REF!,#REF!,#REF!,#REF!,#REF!,#REF!,#REF!,#REF!,IY109,QK113,WH119,WH121,QP124,TB129,XI126,WD131,VH134,WH157,WH159,WH162)*0.7</f>
        <v>#REF!</v>
      </c>
      <c r="WI205" s="1674" t="e">
        <f>SUM(UQ8,VT12,AAG16,WM20,WO25,UT35,VN41,VY62,WT58,XC54,WG46,WK50,#REF!,#REF!,#REF!,#REF!,#REF!,#REF!,#REF!,#REF!,IZ109,QL113,WI119,WI121,QQ124,TC129,XJ126,WE131,VI134,WI157,WI159,WI162)*0.7</f>
        <v>#REF!</v>
      </c>
      <c r="WJ205" s="1674" t="e">
        <f>SUM(UR8,VU12,AAH16,WN20,WP25,UU35,VO41,VZ62,WU58,XD54,WH46,WL50,#REF!,#REF!,#REF!,#REF!,#REF!,#REF!,#REF!,#REF!,JA109,QM113,WJ119,WJ121,QR124,TD129,XK126,WF131,VJ134,WJ157,WJ159,WJ162)*0.7</f>
        <v>#REF!</v>
      </c>
      <c r="WK205" s="1674" t="e">
        <f>SUM(US8,VV12,AAI16,WO20,WQ25,UV35,VP41,WA62,WV58,XE54,WI46,WM50,#REF!,#REF!,#REF!,#REF!,#REF!,#REF!,#REF!,#REF!,JB109,QN113,WK119,WK121,QS124,TE129,XL126,WG131,VK134,WK157,WK159,WK162)*0.7</f>
        <v>#REF!</v>
      </c>
      <c r="WL205" s="1674" t="e">
        <f>SUM(UT8,VW12,AAJ16,WP20,WR25,UW35,VQ41,WB62,WW58,XF54,WJ46,WN50,#REF!,#REF!,#REF!,#REF!,#REF!,#REF!,#REF!,#REF!,JC109,QO113,WL119,WL121,QT124,TF129,XM126,WH131,VL134,WL157,WL159,WL162)*0.7</f>
        <v>#REF!</v>
      </c>
      <c r="WM205" s="1674" t="e">
        <f>SUM(UU8,VX12,AAK16,WQ20,WS25,UX35,VR41,WC62,WX58,XG54,WK46,WO50,#REF!,#REF!,#REF!,#REF!,#REF!,#REF!,#REF!,#REF!,JD109,QP113,WM119,WM121,QU124,TG129,XN126,WI131,VM134,WM157,WM159,WM162)*0.7</f>
        <v>#REF!</v>
      </c>
      <c r="WN205" s="1674" t="e">
        <f>SUM(UV8,VY12,AAL16,WR20,WT25,UY35,VS41,WD62,WY58,XH54,WL46,WP50,#REF!,#REF!,#REF!,#REF!,#REF!,#REF!,#REF!,#REF!,JE109,QQ113,WN119,WN121,QV124,TH129,XO126,WJ131,VN134,WN157,WN159,WN162)*0.7</f>
        <v>#REF!</v>
      </c>
      <c r="WO205" s="1674" t="e">
        <f>SUM(UW8,VZ12,AAM16,WS20,WU25,UZ35,VT41,WE62,WZ58,XI54,WM46,WQ50,#REF!,#REF!,#REF!,#REF!,#REF!,#REF!,#REF!,#REF!,JF109,QR113,WO119,WO121,QW124,TI129,XP126,WK131,VO134,WO157,WO159,WO162)*0.7</f>
        <v>#REF!</v>
      </c>
      <c r="WP205" s="1674" t="e">
        <f>SUM(UX8,WA12,AAN16,WT20,WV25,VA35,VU41,WF62,XA58,XJ54,WN46,WR50,#REF!,#REF!,#REF!,#REF!,#REF!,#REF!,#REF!,#REF!,JG109,QS113,WP119,WP121,QX124,TJ129,XQ126,WL131,VP134,WP157,WP159,WP162)*0.7</f>
        <v>#REF!</v>
      </c>
      <c r="WQ205" s="1674" t="e">
        <f>SUM(UY8,WB12,AAO16,WU20,WW25,VB35,VV41,WG62,XB58,XK54,WO46,WS50,#REF!,#REF!,#REF!,#REF!,#REF!,#REF!,#REF!,#REF!,JH109,QT113,WQ119,WQ121,QY124,TK129,XR126,WM131,VQ134,WQ157,WQ159,WQ162)*0.7</f>
        <v>#REF!</v>
      </c>
      <c r="WR205" s="1674" t="e">
        <f>SUM(UZ8,WC12,AAP16,WV20,WX25,VC35,VW41,WH62,XC58,XL54,WP46,WT50,#REF!,#REF!,#REF!,#REF!,#REF!,#REF!,#REF!,#REF!,JI109,QU113,WR119,WR121,QZ124,TL129,XS126,WN131,VR134,WR157,WR159,WR162)*0.7</f>
        <v>#REF!</v>
      </c>
      <c r="WS205" s="1674" t="e">
        <f>SUM(VA8,WD12,AAQ16,WW20,WY25,VD35,VX41,WI62,XD58,XM54,WQ46,WU50,#REF!,#REF!,#REF!,#REF!,#REF!,#REF!,#REF!,#REF!,JJ109,QV113,WS119,WS121,RA124,TM129,XT126,WO131,VS134,WS157,WS159,WS162)*0.7</f>
        <v>#REF!</v>
      </c>
      <c r="WT205" s="1674" t="e">
        <f>SUM(VB8,WE12,AAR16,WX20,WZ25,VE35,VY41,WJ62,XE58,XN54,WR46,WV50,#REF!,#REF!,#REF!,#REF!,#REF!,#REF!,#REF!,#REF!,JK109,QW113,WT119,WT121,RB124,TN129,XU126,WP131,VT134,WT157,WT159,WT162)*0.7</f>
        <v>#REF!</v>
      </c>
      <c r="WU205" s="1674" t="e">
        <f>SUM(VC8,WF12,AAS16,WY20,XA25,VF35,VZ41,WK62,XF58,XO54,WS46,WW50,#REF!,#REF!,#REF!,#REF!,#REF!,#REF!,#REF!,#REF!,JL109,QX113,WU119,WU121,RC124,TO129,XV126,WQ131,VU134,WU157,WU159,WU162)*0.7</f>
        <v>#REF!</v>
      </c>
      <c r="WV205" s="1674" t="e">
        <f>SUM(VD8,WG12,AAT16,WZ20,XB25,VG35,WA41,WL62,XG58,XP54,WT46,WX50,#REF!,#REF!,#REF!,#REF!,#REF!,#REF!,#REF!,#REF!,JM109,QY113,WV119,WV121,RD124,TP129,XW126,WR131,VV134,WV157,WV159,WV162)*0.7</f>
        <v>#REF!</v>
      </c>
      <c r="WW205" s="1674" t="e">
        <f>SUM(VE8,WH12,AAU16,XA20,XC25,VH35,WB41,WM62,XH58,XQ54,WU46,WY50,#REF!,#REF!,#REF!,#REF!,#REF!,#REF!,#REF!,#REF!,JN109,QZ113,WW119,WW121,RE124,TQ129,XX126,WS131,VW134,WW157,WW159,WW162)*0.7</f>
        <v>#REF!</v>
      </c>
      <c r="WX205" s="1674" t="e">
        <f>SUM(VF8,WI12,AAV16,XB20,XD25,VI35,WC41,WN62,XI58,XR54,WV46,WZ50,#REF!,#REF!,#REF!,#REF!,#REF!,#REF!,#REF!,#REF!,JO109,RA113,WX119,WX121,RF124,TR129,XY126,WT131,VX134,WX157,WX159,WX162)*0.7</f>
        <v>#REF!</v>
      </c>
      <c r="WY205" s="1674" t="e">
        <f>SUM(VG8,WJ12,AAW16,XC20,XE25,VJ35,WD41,WO62,XJ58,XS54,WW46,XA50,#REF!,#REF!,#REF!,#REF!,#REF!,#REF!,#REF!,#REF!,JP109,RB113,WY119,WY121,RG124,TS129,XZ126,WU131,VY134,WY157,WY159,WY162)*0.7</f>
        <v>#REF!</v>
      </c>
      <c r="WZ205" s="1674" t="e">
        <f>SUM(VH8,WK12,AAX16,XD20,XF25,VK35,WE41,WP62,XK58,XT54,WX46,XB50,#REF!,#REF!,#REF!,#REF!,#REF!,#REF!,#REF!,#REF!,JQ109,RC113,WZ119,WZ121,RH124,TT129,YA126,WV131,VZ134,WZ157,WZ159,WZ162)*0.7</f>
        <v>#REF!</v>
      </c>
      <c r="XA205" s="1674" t="e">
        <f>SUM(VI8,WL12,AAY16,XE20,XG25,VL35,WF41,WQ62,XL58,XU54,WY46,XC50,#REF!,#REF!,#REF!,#REF!,#REF!,#REF!,#REF!,#REF!,JR109,RD113,XA119,XA121,RI124,TU129,YB126,WW131,WA134,XA157,XA159,XA162)*0.7</f>
        <v>#REF!</v>
      </c>
      <c r="XB205" s="1674" t="e">
        <f>SUM(VJ8,WM12,AAZ16,XF20,XH25,VM35,WG41,WR62,XM58,XV54,WZ46,XD50,#REF!,#REF!,#REF!,#REF!,#REF!,#REF!,#REF!,#REF!,JS109,RE113,XB119,XB121,RJ124,TV129,YC126,WX131,WB134,XB157,XB159,XB162)*0.7</f>
        <v>#REF!</v>
      </c>
      <c r="XC205" s="1674" t="e">
        <f>SUM(VK8,WN12,ABA16,XG20,XI25,VN35,WH41,WS62,XN58,XW54,XA46,XE50,#REF!,#REF!,#REF!,#REF!,#REF!,#REF!,#REF!,#REF!,JT109,RF113,XC119,XC121,RK124,TW129,YD126,WY131,WC134,XC157,XC159,XC162)*0.7</f>
        <v>#REF!</v>
      </c>
      <c r="XD205" s="1674" t="e">
        <f>SUM(VL8,WO12,ABB16,XH20,XJ25,VO35,WI41,WT62,XO58,XX54,XB46,XF50,#REF!,#REF!,#REF!,#REF!,#REF!,#REF!,#REF!,#REF!,JU109,RG113,XD119,XD121,RL124,TX129,YE126,WZ131,WD134,XD157,XD159,XD162)*0.7</f>
        <v>#REF!</v>
      </c>
      <c r="XE205" s="1674" t="e">
        <f>SUM(VM8,WP12,ABC16,XI20,XK25,VP35,WJ41,WU62,XP58,XY54,XC46,XG50,#REF!,#REF!,#REF!,#REF!,#REF!,#REF!,#REF!,#REF!,JV109,RH113,XE119,XE121,RM124,TY129,YF126,XA131,WE134,XE157,XE159,XE162)*0.7</f>
        <v>#REF!</v>
      </c>
      <c r="XF205" s="1674" t="e">
        <f>SUM(VN8,WQ12,ABD16,XJ20,XL25,VQ35,WK41,WV62,XQ58,XZ54,XD46,XH50,#REF!,#REF!,#REF!,#REF!,#REF!,#REF!,#REF!,#REF!,JW109,RI113,XF119,XF121,RN124,TZ129,YG126,XB131,WF134,XF157,XF159,XF162)*0.7</f>
        <v>#REF!</v>
      </c>
      <c r="XG205" s="1674" t="e">
        <f>SUM(VO8,WR12,ABE16,XK20,XM25,VR35,WL41,WW62,XR58,YA54,XE46,XI50,#REF!,#REF!,#REF!,#REF!,#REF!,#REF!,#REF!,#REF!,JX109,RJ113,XG119,XG121,RO124,UA129,YH126,XC131,WG134,XG157,XG159,XG162)*0.7</f>
        <v>#REF!</v>
      </c>
      <c r="XH205" s="1674" t="e">
        <f>SUM(VP8,WS12,ABF16,XL20,XN25,VS35,WM41,WX62,XS58,YB54,XF46,XJ50,#REF!,#REF!,#REF!,#REF!,#REF!,#REF!,#REF!,#REF!,JY109,RK113,XH119,XH121,RP124,UB129,YI126,XD131,WH134,XH157,XH159,XH162)*0.7</f>
        <v>#REF!</v>
      </c>
      <c r="XI205" s="1674" t="e">
        <f>SUM(VQ8,WT12,ABG16,XM20,XO25,VT35,WN41,WY62,XT58,YC54,XG46,XK50,#REF!,#REF!,#REF!,#REF!,#REF!,#REF!,#REF!,#REF!,JZ109,RL113,XI119,XI121,RQ124,UC129,YJ126,XE131,WI134,XI157,XI159,XI162)*0.7</f>
        <v>#REF!</v>
      </c>
      <c r="XJ205" s="1674" t="e">
        <f>SUM(VR8,WU12,ABH16,XN20,XP25,VU35,WO41,WZ62,XU58,YD54,XH46,XL50,#REF!,#REF!,#REF!,#REF!,#REF!,#REF!,#REF!,#REF!,KA109,RM113,XJ119,XJ121,RR124,UD129,YK126,XF131,WJ134,XJ157,XJ159,XJ162)*0.7</f>
        <v>#REF!</v>
      </c>
      <c r="XK205" s="1674" t="e">
        <f>SUM(VS8,WV12,ABI16,XO20,XQ25,VV35,WP41,XA62,XV58,YE54,XI46,XM50,#REF!,#REF!,#REF!,#REF!,#REF!,#REF!,#REF!,#REF!,KB109,RN113,XK119,XK121,RS124,UE129,YL126,XG131,WK134,XK157,XK159,XK162)*0.7</f>
        <v>#REF!</v>
      </c>
      <c r="XL205" s="1674" t="e">
        <f>SUM(VT8,WW12,ABJ16,XP20,XR25,VW35,WQ41,XB62,XW58,YF54,XJ46,XN50,#REF!,#REF!,#REF!,#REF!,#REF!,#REF!,#REF!,#REF!,KC109,RO113,XL119,XL121,RT124,UF129,YM126,XH131,WL134,XL157,XL159,XL162)*0.7</f>
        <v>#REF!</v>
      </c>
      <c r="XM205" s="1674" t="e">
        <f>SUM(VU8,WX12,ABK16,XQ20,XS25,VX35,WR41,XC62,XX58,YG54,XK46,XO50,#REF!,#REF!,#REF!,#REF!,#REF!,#REF!,#REF!,#REF!,KD109,RP113,XM119,XM121,RU124,UG129,YN126,XI131,WM134,XM157,XM159,XM162)*0.7</f>
        <v>#REF!</v>
      </c>
      <c r="XN205" s="1674" t="e">
        <f>SUM(VV8,WY12,ABL16,XR20,XT25,VY35,WS41,XD62,XY58,YH54,XL46,XP50,#REF!,#REF!,#REF!,#REF!,#REF!,#REF!,#REF!,#REF!,KE109,RQ113,XN119,XN121,RV124,UH129,YO126,XJ131,WN134,XN157,XN159,XN162)*0.7</f>
        <v>#REF!</v>
      </c>
      <c r="XO205" s="1674" t="e">
        <f>SUM(VW8,WZ12,ABM16,XS20,XU25,VZ35,WT41,XE62,XZ58,YI54,XM46,XQ50,#REF!,#REF!,#REF!,#REF!,#REF!,#REF!,#REF!,#REF!,KF109,RR113,XO119,XO121,RW124,UI129,YP126,XK131,WO134,XO157,XO159,XO162)*0.7</f>
        <v>#REF!</v>
      </c>
      <c r="XP205" s="1674" t="e">
        <f>SUM(VX8,XA12,ABN16,XT20,XV25,WA35,WU41,XF62,YA58,YJ54,XN46,XR50,#REF!,#REF!,#REF!,#REF!,#REF!,#REF!,#REF!,#REF!,KG109,RS113,XP119,XP121,RX124,UJ129,YQ126,XL131,WP134,XP157,XP159,XP162)*0.7</f>
        <v>#REF!</v>
      </c>
      <c r="XQ205" s="1674" t="e">
        <f>SUM(VY8,XB12,ABO16,XU20,XW25,WB35,WV41,XG62,YB58,YK54,XO46,XS50,#REF!,#REF!,#REF!,#REF!,#REF!,#REF!,#REF!,#REF!,KH109,RT113,XQ119,XQ121,RY124,UK129,YR126,XM131,WQ134,XQ157,XQ159,XQ162)*0.7</f>
        <v>#REF!</v>
      </c>
      <c r="XR205" s="1674" t="e">
        <f>SUM(VZ8,XC12,ABP16,XV20,XX25,WC35,WW41,XH62,YC58,YL54,XP46,XT50,#REF!,#REF!,#REF!,#REF!,#REF!,#REF!,#REF!,#REF!,KI109,RU113,XR119,XR121,RZ124,UL129,YS126,XN131,WR134,XR157,XR159,XR162)*0.7</f>
        <v>#REF!</v>
      </c>
      <c r="XS205" s="1674" t="e">
        <f>SUM(WA8,XD12,ABQ16,XW20,XY25,WD35,WX41,XI62,YD58,YM54,XQ46,XU50,#REF!,#REF!,#REF!,#REF!,#REF!,#REF!,#REF!,#REF!,KJ109,RV113,XS119,XS121,SA124,UM129,YT126,XO131,WS134,XS157,XS159,XS162)*0.7</f>
        <v>#REF!</v>
      </c>
      <c r="XT205" s="1674" t="e">
        <f>SUM(WB8,XE12,ABR16,XX20,XZ25,WE35,WY41,XJ62,YE58,YN54,XR46,XV50,#REF!,#REF!,#REF!,#REF!,#REF!,#REF!,#REF!,#REF!,KK109,RW113,XT119,XT121,SB124,UN129,YU126,XP131,WT134,XT157,XT159,XT162)*0.7</f>
        <v>#REF!</v>
      </c>
      <c r="XU205" s="1674" t="e">
        <f>SUM(WC8,XF12,ABS16,XY20,YA25,WF35,WZ41,XK62,YF58,YO54,XS46,XW50,#REF!,#REF!,#REF!,#REF!,#REF!,#REF!,#REF!,#REF!,KL109,RX113,XU119,XU121,SC124,UO129,YV126,XQ131,WU134,XU157,XU159,XU162)*0.7</f>
        <v>#REF!</v>
      </c>
      <c r="XV205" s="1674" t="e">
        <f>SUM(WD8,XG12,ABT16,XZ20,YB25,WG35,XA41,XL62,YG58,YP54,XT46,XX50,#REF!,#REF!,#REF!,#REF!,#REF!,#REF!,#REF!,#REF!,KM109,RY113,XV119,XV121,SD124,UP129,YW126,XR131,WV134,XV157,XV159,XV162)*0.7</f>
        <v>#REF!</v>
      </c>
      <c r="XW205" s="1674" t="e">
        <f>SUM(WE8,XH12,ABU16,YA20,YC25,WH35,XB41,XM62,YH58,YQ54,XU46,XY50,#REF!,#REF!,#REF!,#REF!,#REF!,#REF!,#REF!,#REF!,KN109,RZ113,XW119,XW121,SE124,UQ129,YX126,XS131,WW134,XW157,XW159,XW162)*0.7</f>
        <v>#REF!</v>
      </c>
      <c r="XX205" s="1674" t="e">
        <f>SUM(WF8,XI12,ABV16,YB20,YD25,WI35,XC41,XN62,YI58,YR54,XV46,XZ50,#REF!,#REF!,#REF!,#REF!,#REF!,#REF!,#REF!,#REF!,KO109,SA113,XX119,XX121,SF124,UR129,YY126,XT131,WX134,XX157,XX159,XX162)*0.7</f>
        <v>#REF!</v>
      </c>
      <c r="XY205" s="1674" t="e">
        <f>SUM(WG8,XJ12,ABW16,YC20,YE25,WJ35,XD41,XO62,YJ58,YS54,XW46,YA50,#REF!,#REF!,#REF!,#REF!,#REF!,#REF!,#REF!,#REF!,KP109,SB113,XY119,XY121,SG124,US129,YZ126,XU131,WY134,XY157,XY159,XY162)*0.7</f>
        <v>#REF!</v>
      </c>
      <c r="XZ205" s="1674" t="e">
        <f>SUM(WH8,XK12,ABX16,YD20,YF25,WK35,XE41,XP62,YK58,YT54,XX46,YB50,#REF!,#REF!,#REF!,#REF!,#REF!,#REF!,#REF!,#REF!,KQ109,SC113,XZ119,XZ121,SH124,UT129,ZA126,XV131,WZ134,XZ157,XZ159,XZ162)*0.7</f>
        <v>#REF!</v>
      </c>
      <c r="YA205" s="1674" t="e">
        <f>SUM(WI8,XL12,ABY16,YE20,YG25,WL35,XF41,XQ62,YL58,YU54,XY46,YC50,#REF!,#REF!,#REF!,#REF!,#REF!,#REF!,#REF!,#REF!,KR109,SD113,YA119,YA121,SI124,UU129,ZB126,XW131,XA134,YA157,YA159,YA162)*0.7</f>
        <v>#REF!</v>
      </c>
      <c r="YB205" s="1674" t="e">
        <f>SUM(WJ8,XM12,ABZ16,YF20,YH25,WM35,XG41,XR62,YM58,YV54,XZ46,YD50,#REF!,#REF!,#REF!,#REF!,#REF!,#REF!,#REF!,#REF!,KS109,SE113,YB119,YB121,SJ124,UV129,ZC126,XX131,XB134,YB157,YB159,YB162)*0.7</f>
        <v>#REF!</v>
      </c>
      <c r="YC205" s="1674" t="e">
        <f>SUM(WK8,XN12,ACA16,YG20,YI25,WN35,XH41,XS62,YN58,YW54,YA46,YE50,#REF!,#REF!,#REF!,#REF!,#REF!,#REF!,#REF!,#REF!,KT109,SF113,YC119,YC121,SK124,UW129,ZD126,XY131,XC134,YC157,YC159,YC162)*0.7</f>
        <v>#REF!</v>
      </c>
      <c r="YD205" s="1674" t="e">
        <f>SUM(WL8,XO12,ACB16,YH20,YJ25,WO35,XI41,XT62,YO58,YX54,YB46,YF50,#REF!,#REF!,#REF!,#REF!,#REF!,#REF!,#REF!,#REF!,KU109,SG113,YD119,YD121,SL124,UX129,ZE126,XZ131,XD134,YD157,YD159,YD162)*0.7</f>
        <v>#REF!</v>
      </c>
      <c r="YE205" s="1674" t="e">
        <f>SUM(WM8,XP12,ACC16,YI20,YK25,WP35,XJ41,XU62,YP58,YY54,YC46,YG50,#REF!,#REF!,#REF!,#REF!,#REF!,#REF!,#REF!,#REF!,KV109,SH113,YE119,YE121,SM124,UY129,ZF126,YA131,XE134,YE157,YE159,YE162)*0.7</f>
        <v>#REF!</v>
      </c>
      <c r="YF205" s="1674" t="e">
        <f>SUM(WN8,XQ12,ACD16,YJ20,YL25,WQ35,XK41,XV62,YQ58,YZ54,YD46,YH50,#REF!,#REF!,#REF!,#REF!,#REF!,#REF!,#REF!,#REF!,KW109,SI113,YF119,YF121,SN124,UZ129,ZG126,YB131,XF134,YF157,YF159,YF162)*0.7</f>
        <v>#REF!</v>
      </c>
      <c r="YG205" s="1674" t="e">
        <f>SUM(WO8,XR12,ACE16,YK20,YM25,WR35,XL41,XW62,YR58,ZA54,YE46,YI50,#REF!,#REF!,#REF!,#REF!,#REF!,#REF!,#REF!,#REF!,KX109,SJ113,YG119,YG121,SO124,VA129,ZH126,YC131,XG134,YG157,YG159,YG162)*0.7</f>
        <v>#REF!</v>
      </c>
      <c r="YH205" s="1674" t="e">
        <f>SUM(WP8,XS12,ACF16,YL20,YN25,WS35,XM41,XX62,YS58,ZB54,YF46,YJ50,#REF!,#REF!,#REF!,#REF!,#REF!,#REF!,#REF!,#REF!,KY109,SK113,YH119,YH121,SP124,VB129,ZI126,YD131,XH134,YH157,YH159,YH162)*0.7</f>
        <v>#REF!</v>
      </c>
      <c r="YI205" s="1674" t="e">
        <f>SUM(WQ8,XT12,ACG16,YM20,YO25,WT35,XN41,XY62,YT58,ZC54,YG46,YK50,#REF!,#REF!,#REF!,#REF!,#REF!,#REF!,#REF!,#REF!,KZ109,SL113,YI119,YI121,SQ124,VC129,ZJ126,YE131,XI134,YI157,YI159,YI162)*0.7</f>
        <v>#REF!</v>
      </c>
      <c r="YJ205" s="1674" t="e">
        <f>SUM(WR8,XU12,ACH16,YN20,YP25,WU35,XO41,XZ62,YU58,ZD54,YH46,YL50,#REF!,#REF!,#REF!,#REF!,#REF!,#REF!,#REF!,#REF!,LA109,SM113,YJ119,YJ121,SR124,VD129,ZK126,YF131,XJ134,YJ157,YJ159,YJ162)*0.7</f>
        <v>#REF!</v>
      </c>
      <c r="YK205" s="1674" t="e">
        <f>SUM(WS8,XV12,ACI16,YO20,YQ25,WV35,XP41,YA62,YV58,ZE54,YI46,YM50,#REF!,#REF!,#REF!,#REF!,#REF!,#REF!,#REF!,#REF!,LB109,SN113,YK119,YK121,SS124,VE129,ZL126,YG131,XK134,YK157,YK159,YK162)*0.7</f>
        <v>#REF!</v>
      </c>
      <c r="YL205" s="1674" t="e">
        <f>SUM(WT8,XW12,ACJ16,YP20,YR25,WW35,XQ41,YB62,YW58,ZF54,YJ46,YN50,#REF!,#REF!,#REF!,#REF!,#REF!,#REF!,#REF!,#REF!,LC109,SO113,YL119,YL121,ST124,VF129,ZM126,YH131,XL134,YL157,YL159,YL162)*0.7</f>
        <v>#REF!</v>
      </c>
      <c r="YM205" s="1674" t="e">
        <f>SUM(WU8,XX12,ACK16,YQ20,YS25,WX35,XR41,YC62,YX58,ZG54,YK46,YO50,#REF!,#REF!,#REF!,#REF!,#REF!,#REF!,#REF!,#REF!,LD109,SP113,YM119,YM121,SU124,VG129,ZN126,YI131,XM134,YM157,YM159,YM162)*0.7</f>
        <v>#REF!</v>
      </c>
      <c r="YN205" s="1674" t="e">
        <f>SUM(WV8,XY12,ACL16,YR20,YT25,WY35,XS41,YD62,YY58,ZH54,YL46,YP50,#REF!,#REF!,#REF!,#REF!,#REF!,#REF!,#REF!,#REF!,LE109,SQ113,YN119,YN121,SV124,VH129,ZO126,YJ131,XN134,YN157,YN159,YN162)*0.7</f>
        <v>#REF!</v>
      </c>
      <c r="YO205" s="1674" t="e">
        <f>SUM(WW8,XZ12,ACM16,YS20,YU25,WZ35,XT41,YE62,YZ58,ZI54,YM46,YQ50,#REF!,#REF!,#REF!,#REF!,#REF!,#REF!,#REF!,#REF!,LF109,SR113,YO119,YO121,SW124,VI129,ZP126,YK131,XO134,YO157,YO159,YO162)*0.7</f>
        <v>#REF!</v>
      </c>
      <c r="YP205" s="1674" t="e">
        <f>SUM(WX8,YA12,ACN16,YT20,YV25,XA35,XU41,YF62,ZA58,ZJ54,YN46,YR50,#REF!,#REF!,#REF!,#REF!,#REF!,#REF!,#REF!,#REF!,LG109,SS113,YP119,YP121,SX124,VJ129,ZQ126,YL131,XP134,YP157,YP159,YP162)*0.7</f>
        <v>#REF!</v>
      </c>
      <c r="YQ205" s="1674" t="e">
        <f>SUM(WY8,YB12,ACO16,YU20,YW25,XB35,XV41,YG62,ZB58,ZK54,YO46,YS50,#REF!,#REF!,#REF!,#REF!,#REF!,#REF!,#REF!,#REF!,LH109,ST113,YQ119,YQ121,SY124,VK129,ZR126,YM131,XQ134,YQ157,YQ159,YQ162)*0.7</f>
        <v>#REF!</v>
      </c>
      <c r="YR205" s="1674" t="e">
        <f>SUM(WZ8,YC12,ACP16,YV20,YX25,XC35,XW41,YH62,ZC58,ZL54,YP46,YT50,#REF!,#REF!,#REF!,#REF!,#REF!,#REF!,#REF!,#REF!,LI109,SU113,YR119,YR121,SZ124,VL129,ZS126,YN131,XR134,YR157,YR159,YR162)*0.7</f>
        <v>#REF!</v>
      </c>
      <c r="YS205" s="1674" t="e">
        <f>SUM(XA8,YD12,ACQ16,YW20,YY25,XD35,XX41,YI62,ZD58,ZM54,YQ46,YU50,#REF!,#REF!,#REF!,#REF!,#REF!,#REF!,#REF!,#REF!,LJ109,SV113,YS119,YS121,TA124,VM129,ZT126,YO131,XS134,YS157,YS159,YS162)*0.7</f>
        <v>#REF!</v>
      </c>
      <c r="YT205" s="1674" t="e">
        <f>SUM(XB8,YE12,ACR16,YX20,YZ25,XE35,XY41,YJ62,ZE58,ZN54,YR46,YV50,#REF!,#REF!,#REF!,#REF!,#REF!,#REF!,#REF!,#REF!,LK109,SW113,YT119,YT121,TB124,VN129,ZU126,YP131,XT134,YT157,YT159,YT162)*0.7</f>
        <v>#REF!</v>
      </c>
      <c r="YU205" s="1674" t="e">
        <f>SUM(XC8,YF12,ACS16,YY20,ZA25,XF35,XZ41,YK62,ZF58,ZO54,YS46,YW50,#REF!,#REF!,#REF!,#REF!,#REF!,#REF!,#REF!,#REF!,LL109,SX113,YU119,YU121,TC124,VO129,ZV126,YQ131,XU134,YU157,YU159,YU162)*0.7</f>
        <v>#REF!</v>
      </c>
      <c r="YV205" s="1674" t="e">
        <f>SUM(XD8,YG12,ACT16,YZ20,ZB25,XG35,YA41,YL62,ZG58,ZP54,YT46,YX50,#REF!,#REF!,#REF!,#REF!,#REF!,#REF!,#REF!,#REF!,LM109,SY113,YV119,YV121,TD124,VP129,ZW126,YR131,XV134,YV157,YV159,YV162)*0.7</f>
        <v>#REF!</v>
      </c>
      <c r="YW205" s="1674" t="e">
        <f>SUM(XE8,YH12,ACU16,ZA20,ZC25,XH35,YB41,YM62,ZH58,ZQ54,YU46,YY50,#REF!,#REF!,#REF!,#REF!,#REF!,#REF!,#REF!,#REF!,LN109,SZ113,YW119,YW121,TE124,VQ129,ZX126,YS131,XW134,YW157,YW159,YW162)*0.7</f>
        <v>#REF!</v>
      </c>
      <c r="YX205" s="1674" t="e">
        <f>SUM(XF8,YI12,ACV16,ZB20,ZD25,XI35,YC41,YN62,ZI58,ZR54,YV46,YZ50,#REF!,#REF!,#REF!,#REF!,#REF!,#REF!,#REF!,#REF!,LO109,TA113,YX119,YX121,TF124,VR129,ZY126,YT131,XX134,YX157,YX159,YX162)*0.7</f>
        <v>#REF!</v>
      </c>
      <c r="YY205" s="1674" t="e">
        <f>SUM(XG8,YJ12,ACW16,ZC20,ZE25,XJ35,YD41,YO62,ZJ58,ZS54,YW46,ZA50,#REF!,#REF!,#REF!,#REF!,#REF!,#REF!,#REF!,#REF!,LP109,TB113,YY119,YY121,TG124,VS129,ZZ126,YU131,XY134,YY157,YY159,YY162)*0.7</f>
        <v>#REF!</v>
      </c>
      <c r="YZ205" s="1674" t="e">
        <f>SUM(XH8,YK12,ACX16,ZD20,ZF25,XK35,YE41,YP62,ZK58,ZT54,YX46,ZB50,#REF!,#REF!,#REF!,#REF!,#REF!,#REF!,#REF!,#REF!,LQ109,TC113,YZ119,YZ121,TH124,VT129,AAA126,YV131,XZ134,YZ157,YZ159,YZ162)*0.7</f>
        <v>#REF!</v>
      </c>
      <c r="ZA205" s="1674" t="e">
        <f>SUM(XI8,YL12,ACY16,ZE20,ZG25,XL35,YF41,YQ62,ZL58,ZU54,YY46,ZC50,#REF!,#REF!,#REF!,#REF!,#REF!,#REF!,#REF!,#REF!,LR109,TD113,ZA119,ZA121,TI124,VU129,AAB126,YW131,YA134,ZA157,ZA159,ZA162)*0.7</f>
        <v>#REF!</v>
      </c>
      <c r="ZB205" s="1674" t="e">
        <f>SUM(XJ8,YM12,ACZ16,ZF20,ZH25,XM35,YG41,YR62,ZM58,ZV54,YZ46,ZD50,#REF!,#REF!,#REF!,#REF!,#REF!,#REF!,#REF!,#REF!,LS109,TE113,ZB119,ZB121,TJ124,VV129,AAC126,YX131,YB134,ZB157,ZB159,ZB162)*0.7</f>
        <v>#REF!</v>
      </c>
      <c r="ZC205" s="1674" t="e">
        <f>SUM(XK8,YN12,ADA16,ZG20,ZI25,XN35,YH41,YS62,ZN58,ZW54,ZA46,ZE50,#REF!,#REF!,#REF!,#REF!,#REF!,#REF!,#REF!,#REF!,LT109,TF113,ZC119,ZC121,TK124,VW129,AAD126,YY131,YC134,ZC157,ZC159,ZC162)*0.7</f>
        <v>#REF!</v>
      </c>
      <c r="ZD205" s="1674" t="e">
        <f>SUM(XL8,YO12,ADB16,ZH20,ZJ25,XO35,YI41,YT62,ZO58,ZX54,ZB46,ZF50,#REF!,#REF!,#REF!,#REF!,#REF!,#REF!,#REF!,#REF!,LU109,TG113,ZD119,ZD121,TL124,VX129,AAE126,YZ131,YD134,ZD157,ZD159,ZD162)*0.7</f>
        <v>#REF!</v>
      </c>
      <c r="ZE205" s="1674" t="e">
        <f>SUM(XM8,YP12,ADC16,ZI20,ZK25,XP35,YJ41,YU62,ZP58,ZY54,ZC46,ZG50,#REF!,#REF!,#REF!,#REF!,#REF!,#REF!,#REF!,#REF!,LV109,TH113,ZE119,ZE121,TM124,VY129,AAF126,ZA131,YE134,ZE157,ZE159,ZE162)*0.7</f>
        <v>#REF!</v>
      </c>
      <c r="ZF205" s="1674" t="e">
        <f>SUM(XN8,YQ12,ADD16,ZJ20,ZL25,XQ35,YK41,YV62,ZQ58,ZZ54,ZD46,ZH50,#REF!,#REF!,#REF!,#REF!,#REF!,#REF!,#REF!,#REF!,LW109,TI113,ZF119,ZF121,TN124,VZ129,AAG126,ZB131,YF134,ZF157,ZF159,ZF162)*0.7</f>
        <v>#REF!</v>
      </c>
      <c r="ZG205" s="1674" t="e">
        <f>SUM(XO8,YR12,ADE16,ZK20,ZM25,XR35,YL41,YW62,ZR58,AAA54,ZE46,ZI50,#REF!,#REF!,#REF!,#REF!,#REF!,#REF!,#REF!,#REF!,LX109,TJ113,ZG119,ZG121,TO124,WA129,AAH126,ZC131,YG134,ZG157,ZG159,ZG162)*0.7</f>
        <v>#REF!</v>
      </c>
      <c r="ZH205" s="1674" t="e">
        <f>SUM(XP8,YS12,ADF16,ZL20,ZN25,XS35,YM41,YX62,ZS58,AAB54,ZF46,ZJ50,#REF!,#REF!,#REF!,#REF!,#REF!,#REF!,#REF!,#REF!,LY109,TK113,ZH119,ZH121,TP124,WB129,AAI126,ZD131,YH134,ZH157,ZH159,ZH162)*0.7</f>
        <v>#REF!</v>
      </c>
      <c r="ZI205" s="1674" t="e">
        <f>SUM(WN8,XW12,ADG16,ZE20,ZN25,XT35,YN41,ZA46,ZJ50,AAD54,ZO58,YM62,#REF!,#REF!,#REF!,#REF!,#REF!,#REF!,#REF!,#REF!,LZ109,TL113,ZI119,ZI121,TP124,AAQ126,VX129,ZM131,YP134,ZI157,ZI159,ZI162,ZI164,ZI167,ZI169)*0.7</f>
        <v>#REF!</v>
      </c>
      <c r="ZJ205" s="1674" t="e">
        <f>SUM(WO8,XX12,ADH16,ZF20,ZO25,XU35,YO41,ZB46,ZK50,AAE54,ZP58,YN62,#REF!,#REF!,#REF!,#REF!,#REF!,#REF!,#REF!,#REF!,MA109,TM113,ZJ119,ZJ121,TQ124,AAR126,VY129,ZN131,YQ134,ZJ157,ZJ159,ZJ162,ZJ164,ZJ167,ZJ169)*0.7</f>
        <v>#REF!</v>
      </c>
      <c r="ZK205" s="1674" t="e">
        <f>SUM(WP8,XY12,ADI16,ZG20,ZP25,XV35,YP41,ZC46,ZL50,AAF54,ZQ58,YO62,#REF!,#REF!,#REF!,#REF!,#REF!,#REF!,#REF!,#REF!,MB109,TN113,ZK119,ZK121,TR124,AAS126,VZ129,ZO131,YR134,ZK157,ZK159,ZK162,ZK164,ZK167,ZK169)*0.7</f>
        <v>#REF!</v>
      </c>
      <c r="ZL205" s="1674" t="e">
        <f>SUM(WQ8,XZ12,ADJ16,ZH20,ZQ25,XW35,YQ41,ZD46,ZM50,AAG54,ZR58,YP62,#REF!,#REF!,#REF!,#REF!,#REF!,#REF!,#REF!,#REF!,MC109,TO113,ZL119,ZL121,TS124,AAT126,WA129,ZP131,YS134,ZL157,ZL159,ZL162,ZL164,ZL167,ZL169)*0.7</f>
        <v>#REF!</v>
      </c>
      <c r="ZM205" s="1674" t="e">
        <f>SUM(WR8,YA12,ADK16,ZI20,ZR25,XX35,YR41,ZE46,ZN50,AAH54,ZS58,YQ62,#REF!,#REF!,#REF!,#REF!,#REF!,#REF!,#REF!,#REF!,MD109,TP113,ZM119,ZM121,TT124,AAU126,WB129,ZQ131,YT134,ZM157,ZM159,ZM162,ZM164,ZM167,ZM169)*0.7</f>
        <v>#REF!</v>
      </c>
      <c r="ZN205" s="1674" t="e">
        <f>SUM(WS8,YB12,ADL16,ZJ20,ZS25,XY35,YS41,ZF46,ZO50,AAI54,ZT58,YR62,#REF!,#REF!,#REF!,#REF!,#REF!,#REF!,#REF!,#REF!,ME109,TQ113,ZN119,ZN121,TU124,AAV126,WC129,ZR131,YU134,ZN157,ZN159,ZN162,ZN164,ZN167,ZN169)*0.7</f>
        <v>#REF!</v>
      </c>
      <c r="ZO205" s="1674" t="e">
        <f>SUM(WT8,YC12,ADM16,ZK20,ZT25,XZ35,YT41,ZG46,ZP50,AAJ54,ZU58,YS62,#REF!,#REF!,#REF!,#REF!,#REF!,#REF!,#REF!,#REF!,MF109,TR113,ZO119,ZO121,TV124,AAW126,WD129,ZS131,YV134,ZO157,ZO159,ZO162,ZO164,ZO167,ZO169)*0.7</f>
        <v>#REF!</v>
      </c>
      <c r="ZP205" s="1674" t="e">
        <f>SUM(WU8,YD12,ADN16,ZL20,ZU25,YA35,YU41,ZH46,ZQ50,AAK54,ZV58,YT62,#REF!,#REF!,#REF!,#REF!,#REF!,#REF!,#REF!,#REF!,MG109,TS113,ZP119,ZP121,TW124,AAX126,WE129,ZT131,YW134,ZP157,ZP159,ZP162,ZP164,ZP167,ZP169)*0.7</f>
        <v>#REF!</v>
      </c>
      <c r="ZQ205" s="1674" t="e">
        <f>SUM(WV8,YE12,ADO16,ZM20,ZV25,YB35,YV41,ZI46,ZR50,AAL54,ZW58,YU62,#REF!,#REF!,#REF!,#REF!,#REF!,#REF!,#REF!,#REF!,MH109,TT113,ZQ119,ZQ121,TX124,AAY126,WF129,ZU131,YX134,ZQ157,ZQ159,ZQ162,ZQ164,ZQ167,ZQ169)*0.7</f>
        <v>#REF!</v>
      </c>
      <c r="ZR205" s="1674" t="e">
        <f>SUM(WW8,YF12,ADP16,ZN20,ZW25,YC35,YW41,ZJ46,ZS50,AAM54,ZX58,YV62,#REF!,#REF!,#REF!,#REF!,#REF!,#REF!,#REF!,#REF!,MI109,TU113,ZR119,ZR121,TY124,AAZ126,WG129,ZV131,YY134,ZR157,ZR159,ZR162,ZR164,ZR167,ZR169)*0.7</f>
        <v>#REF!</v>
      </c>
      <c r="ZS205" s="1674" t="e">
        <f>SUM(WX8,YG12,ADQ16,ZO20,ZX25,YD35,YX41,ZK46,ZT50,AAN54,ZY58,YW62,#REF!,#REF!,#REF!,#REF!,#REF!,#REF!,#REF!,#REF!,MJ109,TV113,ZS119,ZS121,TZ124,ABA126,WH129,ZW131,YZ134,ZS157,ZS159,ZS162,ZS164,ZS167,ZS169)*0.7</f>
        <v>#REF!</v>
      </c>
      <c r="ZT205" s="1674" t="e">
        <f>SUM(WY8,YH12,ADR16,ZP20,ZY25,YE35,YY41,ZL46,ZU50,AAO54,ZZ58,YX62,#REF!,#REF!,#REF!,#REF!,#REF!,#REF!,#REF!,#REF!,MK109,TW113,ZT119,ZT121,UA124,ABB126,WI129,ZX131,ZA134,ZT157,ZT159,ZT162,ZT164,ZT167,ZT169)*0.7</f>
        <v>#REF!</v>
      </c>
      <c r="ZU205" s="1674" t="e">
        <f>SUM(WZ8,YI12,ADS16,ZQ20,ZZ25,YF35,YZ41,ZM46,ZV50,AAP54,AAA58,YY62,#REF!,#REF!,#REF!,#REF!,#REF!,#REF!,#REF!,#REF!,ML109,TX113,ZU119,ZU121,UB124,ABC126,WJ129,ZY131,ZB134,ZU157,ZU159,ZU162,ZU164,ZU167,ZU169)*0.7</f>
        <v>#REF!</v>
      </c>
      <c r="ZV205" s="1674" t="e">
        <f>SUM(XA8,YJ12,ADT16,ZR20,AAA25,YG35,ZA41,ZN46,ZW50,AAQ54,AAB58,YZ62,#REF!,#REF!,#REF!,#REF!,#REF!,#REF!,#REF!,#REF!,MM109,TY113,ZV119,ZV121,UC124,ABD126,WK129,ZZ131,ZC134,ZV157,ZV159,ZV162,ZV164,ZV167,ZV169)*0.7</f>
        <v>#REF!</v>
      </c>
      <c r="ZW205" s="1674" t="e">
        <f>SUM(XB8,YK12,ADU16,ZS20,AAB25,YH35,ZB41,ZO46,ZX50,AAR54,AAC58,ZA62,#REF!,#REF!,#REF!,#REF!,#REF!,#REF!,#REF!,#REF!,MN109,TZ113,ZW119,ZW121,UD124,ABE126,WL129,AAA131,ZD134,ZW157,ZW159,ZW162,ZW164,ZW167,ZW169)*0.7</f>
        <v>#REF!</v>
      </c>
      <c r="ZX205" s="1674" t="e">
        <f>SUM(XC8,YL12,ADV16,ZT20,AAC25,YI35,ZC41,ZP46,ZY50,AAS54,AAD58,ZB62,#REF!,#REF!,#REF!,#REF!,#REF!,#REF!,#REF!,#REF!,MO109,UA113,ZX119,ZX121,UE124,ABF126,WM129,AAB131,ZE134,ZX157,ZX159,ZX162,ZX164,ZX167,ZX169)*0.7</f>
        <v>#REF!</v>
      </c>
      <c r="ZY205" s="1674" t="e">
        <f>SUM(XD8,YM12,ADW16,ZU20,AAD25,YJ35,ZD41,ZQ46,ZZ50,AAT54,AAE58,ZC62,#REF!,#REF!,#REF!,#REF!,#REF!,#REF!,#REF!,#REF!,MP109,UB113,AAL119,ZY121,UF124,ABG126,WN129,AAC131,ZF134,ZY157,ZY159,ZY162,ZY164,ZY167,ZY169)*0.7</f>
        <v>#REF!</v>
      </c>
      <c r="ZZ205" s="1674" t="e">
        <f>SUM(XE8,YN12,ADX16,ZV20,AAE25,YK35,ZE41,ZR46,AAA50,AAU54,AAF58,ZD62,#REF!,#REF!,#REF!,#REF!,#REF!,#REF!,#REF!,#REF!,MQ109,UC113,AAM119,ZZ121,UG124,ABH126,WO129,AAD131,ZG134,ZZ157,ZZ159,ZZ162,ZZ164,ZZ167,ZZ169)*0.7</f>
        <v>#REF!</v>
      </c>
      <c r="AAA205" s="1674" t="e">
        <f>SUM(XF8,YB12,ADY16,ZH20,AAF25,YG35,WP41,ZX46,AAE50,ABB54,AAJ58,ZQ62,#REF!,#REF!,#REF!,#REF!,#REF!,#REF!,#REF!,#REF!,MR109,UD113,AAP119,ZX121,UH124,ABI126,WP129,AAJ131,ZE134,AAA157,AAA159,AAA162,AAA164,AAA167,AAA169)*0.7</f>
        <v>#REF!</v>
      </c>
      <c r="AAB205" s="1674" t="e">
        <f>SUM(XG8,YC12,ADZ16,ZI20,AAG25,YH35,WQ41,ZY46,AAF50,ABC54,AAK58,ZR62,#REF!,#REF!,#REF!,#REF!,#REF!,#REF!,#REF!,#REF!,MS109,UE113,AAQ119,ZY121,UI124,ABJ126,WQ129,AAK131,ZF134,AAB157,AAB159,AAB162,AAB164,AAB167,AAB169)*0.7</f>
        <v>#REF!</v>
      </c>
      <c r="AAC205" s="1674" t="e">
        <f>SUM(XH8,YD12,AEA16,ZJ20,AAH25,YI35,WR41,ZZ46,AAG50,ABD54,AAL58,ZS62,#REF!,#REF!,#REF!,#REF!,#REF!,#REF!,#REF!,#REF!,MT109,UF113,AAR119,ZZ121,UJ124,ABK126,WR129,AAL131,ZG134,AAC157,AAC159,AAC162,AAC164,AAC167,AAC169)*0.7</f>
        <v>#REF!</v>
      </c>
      <c r="AAD205" s="1674" t="e">
        <f>SUM(XI8,YE12,AEB16,ZK20,AAI25,YJ35,WS41,AAA46,AAH50,ABE54,AAM58,ZT62,#REF!,#REF!,#REF!,#REF!,#REF!,#REF!,#REF!,#REF!,MU109,UG113,AAS119,AAA121,UK124,ABL126,WS129,AAM131,ZH134,AAD157,AAD159,AAD162,AAD164,AAD167,AAD169)*0.7</f>
        <v>#REF!</v>
      </c>
      <c r="AAE205" s="1674" t="e">
        <f>SUM(XJ8,YF12,AEC16,ZL20,AAJ25,YK35,WT41,AAB46,AAI50,ABF54,AAN58,ZU62,#REF!,#REF!,#REF!,#REF!,#REF!,#REF!,#REF!,#REF!,MV109,UH113,AAT119,AAB121,UL124,ABM126,WT129,AAN131,ZI134,AAE157,AAE159,AAE162,AAE164,AAE167,AAE169)*0.7</f>
        <v>#REF!</v>
      </c>
      <c r="AAF205" s="1674" t="e">
        <f>SUM(XK8,YG12,AED16,ZM20,AAK25,YL35,WU41,AAC46,AAJ50,ABG54,AAO58,ZV62,#REF!,#REF!,#REF!,#REF!,#REF!,#REF!,#REF!,#REF!,MW109,UI113,AAU119,AAC121,UM124,ABN126,WU129,AAO131,ZJ134,AAF157,AAF159,AAF162,AAF164,AAF167,AAF169)*0.7</f>
        <v>#REF!</v>
      </c>
      <c r="AAG205" s="1674" t="e">
        <f>SUM(XL8,YH12,AEE16,ZN20,AAL25,YM35,WV41,AAD46,AAK50,ABH54,AAP58,ZW62,#REF!,#REF!,#REF!,#REF!,#REF!,#REF!,#REF!,#REF!,MX109,UJ113,AAV119,AAD121,UN124,ABO126,WV129,AAP131,ZK134,AAG157,AAG159,AAG162,AAG164,AAG167,AAG169)*0.7</f>
        <v>#REF!</v>
      </c>
      <c r="AAH205" s="1674" t="e">
        <f>SUM(XM8,YI12,AEF16,ZO20,AAM25,YN35,WW41,AAE46,AAL50,ABI54,AAQ58,ZX62,#REF!,#REF!,#REF!,#REF!,#REF!,#REF!,#REF!,#REF!,MY109,UK113,AAW119,AAE121,UO124,ABP126,WW129,AAQ131,ZL134,AAH157,AAH159,AAH162,AAH164,AAH167,AAH169)*0.7</f>
        <v>#REF!</v>
      </c>
      <c r="AAI205" s="1674" t="e">
        <f>SUM(XN8,YJ12,AEG16,ZP20,AAN25,YO35,WX41,AAF46,AAM50,ABJ54,AAR58,ZY62,#REF!,#REF!,#REF!,#REF!,#REF!,#REF!,#REF!,#REF!,MZ109,UL113,AAX119,AAF121,UP124,ABQ126,WX129,AAR131,ZM134,AAI157,AAI159,AAI162,AAI164,AAI167,AAI169)*0.7</f>
        <v>#REF!</v>
      </c>
      <c r="AAJ205" s="1674" t="e">
        <f>SUM(XO8,YK12,AEH16,ZQ20,AAO25,YP35,WY41,AAG46,AAN50,ABK54,AAS58,ZZ62,#REF!,#REF!,#REF!,#REF!,#REF!,#REF!,#REF!,#REF!,NA109,UM113,AAY119,AAG121,UQ124,ABR126,WY129,AAS131,ZN134,AAJ157,AAJ159,AAJ162,AAJ164,AAJ167,AAJ169)*0.7</f>
        <v>#REF!</v>
      </c>
      <c r="AAK205" s="1674" t="e">
        <f>SUM(XP8,YL12,AEI16,ZR20,AAP25,YQ35,WZ41,AAH46,AAO50,ABL54,AAT58,AAA62,#REF!,#REF!,#REF!,#REF!,#REF!,#REF!,#REF!,#REF!,NB109,UN113,AAZ119,AAH121,UR124,ABS126,WZ129,AAT131,ZO134,AAK157,AAK159,AAK162,AAK164,AAK167,AAK169)*0.7</f>
        <v>#REF!</v>
      </c>
      <c r="AAL205" s="1674" t="e">
        <f>SUM(XQ8,YM12,AEJ16,ZS20,AAQ25,YR35,XA41,AAI46,AAP50,ABM54,AAU58,AAB62,#REF!,#REF!,#REF!,#REF!,#REF!,#REF!,#REF!,#REF!,NC109,UO113,ABA119,AAI121,US124,ABT126,XA129,AAU131,ZP134,AAL157,AAL159,AAL162,AAL164,AAL167,AAL169)*0.7</f>
        <v>#REF!</v>
      </c>
      <c r="AAM205" s="1674" t="e">
        <f>SUM(XR8,YN12,AEK16,ZT20,AAR25,YS35,XB41,AAJ46,AAQ50,ABN54,AAV58,AAC62,#REF!,#REF!,#REF!,#REF!,#REF!,#REF!,#REF!,#REF!,ND109,UP113,ABB119,AAJ121,UT124,ABU126,XB129,AAV131,ZQ134,AAM157,AAM159,AAM162,AAM164,AAM167,AAM169)*0.7</f>
        <v>#REF!</v>
      </c>
      <c r="AAN205" s="1674" t="e">
        <f>SUM(XS8,YO12,AEL16,ZU20,AAS25,YT35,XC41,AAK46,AAR50,ABO54,AAW58,AAD62,#REF!,#REF!,#REF!,#REF!,#REF!,#REF!,#REF!,#REF!,NE109,UQ113,ABC119,AAK121,UU124,ABV126,XC129,AAW131,ZR134,AAN157,AAN159,AAN162,AAN164,AAN167,AAN169)*0.7</f>
        <v>#REF!</v>
      </c>
      <c r="AAO205" s="1674" t="e">
        <f>SUM(XT8,YP12,AEM16,ZV20,AAT25,YU35,XD41,AAL46,AAS50,ABP54,AAX58,AAE62,#REF!,#REF!,#REF!,#REF!,#REF!,#REF!,#REF!,#REF!,NF109,UR113,ABD119,AAL121,UV124,ABW126,XD129,AAX131,ZS134,AAO157,AAO159,AAO162,AAO164,AAO167,AAO169)*0.7</f>
        <v>#REF!</v>
      </c>
      <c r="AAP205" s="1674" t="e">
        <f>SUM(XU8,YQ12,AEN16,ZW20,AAU25,YV35,XE41,AAM46,AAT50,ABQ54,AAY58,AAF62,#REF!,#REF!,#REF!,#REF!,#REF!,#REF!,#REF!,#REF!,NG109,US113,ABE119,AAM121,UW124,ABX126,XE129,AAY131,ZT134,AAP157,AAP159,AAP162,AAP164,AAP167,AAP169)*0.7</f>
        <v>#REF!</v>
      </c>
      <c r="AAQ205" s="1674" t="e">
        <f>SUM(XV8,YR12,AEO16,ZX20,AAV25,YW35,XF41,AAN46,AAU50,ABR54,AAZ58,AAG62,#REF!,#REF!,#REF!,#REF!,#REF!,#REF!,#REF!,#REF!,NH109,UT113,ABF119,AAN121,UX124,ABY126,XF129,AAZ131,ZU134,AAQ157,AAQ159,AAQ162,AAQ164,AAQ167,AAQ169)*0.7</f>
        <v>#REF!</v>
      </c>
      <c r="AAR205" s="1674" t="e">
        <f>SUM(XW8,YS12,AEP16,ZY20,AAW25,YX35,XG41,AAO46,AAV50,ABS54,ABA58,AAH62,#REF!,#REF!,#REF!,#REF!,#REF!,#REF!,#REF!,#REF!,NI109,UU113,ABG119,AAO121,UY124,ABZ126,XG129,ABA131,ZV134,AAR157,AAR159,AAR162,AAR164,AAR167,AAR169)*0.7</f>
        <v>#REF!</v>
      </c>
      <c r="AAS205" s="1674" t="e">
        <f>SUM(XX8,YT12,AEQ16,ZZ20,AAX25,YY35,XH41,AAP46,AAW50,ABT54,ABB58,AAI62,#REF!,#REF!,#REF!,#REF!,#REF!,#REF!,#REF!,#REF!,NJ109,UV113,ABH119,AAP121,UZ124,ACA126,XH129,ABB131,ZW134,AAS157,AAS159,AAS162,AAS164,AAS167,AAS169)*0.7</f>
        <v>#REF!</v>
      </c>
      <c r="AAT205" s="1674" t="e">
        <f>SUM(XY8,YU12,AER16,AAA20,AAY25,YZ35,XI41,AAQ46,AAX50,ABU54,ABC58,AAJ62,#REF!,#REF!,#REF!,#REF!,#REF!,#REF!,#REF!,#REF!,NK109,UW113,ABI119,AAQ121,VA124,ACB126,XI129,ABC131,ZX134,AAT157,AAT159,AAT162,AAT164,AAT167,AAT169)*0.7</f>
        <v>#REF!</v>
      </c>
      <c r="AAU205" s="1674" t="e">
        <f>SUM(XZ8,YV12,AES16,AAB20,AAZ25,ZA35,XJ41,AAR46,AAY50,ABV54,ABD58,AAK62,#REF!,#REF!,#REF!,#REF!,#REF!,#REF!,#REF!,#REF!,NL109,UX113,ABJ119,AAR121,VB124,ACC126,XJ129,ABD131,ZY134,AAU157,AAU159,AAU162,AAU164,AAU167,AAU169)*0.7</f>
        <v>#REF!</v>
      </c>
      <c r="AAV205" s="1674" t="e">
        <f>SUM(YA8,YW12,AET16,AAC20,ABA25,ZB35,XK41,AAS46,AAZ50,ABW54,ABE58,AAL62,#REF!,#REF!,#REF!,#REF!,#REF!,#REF!,#REF!,#REF!,NM109,UY113,ABK119,AAS121,VC124,ACD126,XK129,ABE131,ZZ134,AAV157,AAV159,AAV162,AAV164,AAV167,AAV169)*0.7</f>
        <v>#REF!</v>
      </c>
      <c r="AAW205" s="1674" t="e">
        <f>SUM(YB8,YX12,AEU16,AAD20,ABB25,ZC35,XL41,AAT46,ABA50,ABX54,ABF58,AAM62,#REF!,#REF!,#REF!,#REF!,#REF!,#REF!,#REF!,#REF!,NN109,UZ113,ABL119,AAT121,VD124,ACE126,XL129,ABF131,AAA134,AAW157,AAW159,AAW162,AAW164,AAW167,AAW169)*0.7</f>
        <v>#REF!</v>
      </c>
      <c r="AAX205" s="1674" t="e">
        <f>SUM(YC8,YY12,AEV16,AAE20,ABC25,ZD35,XM41,AAU46,ABB50,ABY54,ABG58,AAN62,#REF!,#REF!,#REF!,#REF!,#REF!,#REF!,#REF!,#REF!,NO109,VA113,ABM119,AAU121,VE124,ACF126,XM129,ABG131,AAB134,AAX157,AAX159,AAX162,AAX164,AAX167,AAX169)*0.7</f>
        <v>#REF!</v>
      </c>
      <c r="AAY205" s="1674" t="e">
        <f>SUM(YD8,YZ12,AEW16,AAF20,ABD25,ZE35,XN41,AAV46,ABC50,ABZ54,ABH58,AAO62,#REF!,#REF!,#REF!,#REF!,#REF!,#REF!,#REF!,#REF!,NP109,VB113,ABN119,AAV121,VF124,ACG126,XN129,ABH131,AAC134,AAY157,AAY159,AAY162,AAY164,AAY167,AAY169)*0.7</f>
        <v>#REF!</v>
      </c>
      <c r="AAZ205" s="1674" t="e">
        <f>SUM(YE8,ZA12,AEX16,AAG20,ABE25,ZF35,XO41,AAW46,ABD50,ACA54,ABI58,AAP62,#REF!,#REF!,#REF!,#REF!,#REF!,#REF!,#REF!,#REF!,NQ109,VC113,ABO119,AAW121,VG124,ACH126,XO129,ABI131,AAD134,AAZ157,AAZ159,AAZ162,AAZ164,AAZ167,AAZ169)*0.7</f>
        <v>#REF!</v>
      </c>
      <c r="ABA205" s="1674" t="e">
        <f>SUM(YF8,ZB12,AEY16,AAH20,ABF25,ZG35,XP41,AAX46,ABE50,ACB54,ABJ58,AAQ62,#REF!,#REF!,#REF!,#REF!,#REF!,#REF!,#REF!,#REF!,NR109,VD113,ABP119,AAX121,VH124,ACI126,XP129,ABJ131,AAE134,ABA157,ABA159,ABA162,ABA164,ABA167,ABA169)*0.7</f>
        <v>#REF!</v>
      </c>
      <c r="ABB205" s="1674" t="e">
        <f>SUM(YG8,ZC12,AEZ16,AAI20,ABG25,ZH35,XQ41,AAY46,ABF50,ACC54,ABK58,AAR62,#REF!,#REF!,#REF!,#REF!,#REF!,#REF!,#REF!,#REF!,NS109,VE113,ABQ119,AAY121,VI124,ACJ126,XQ129,ABK131,AAF134,ABB157,ABB159,ABB162,ABB164,ABB167,ABB169)*0.7</f>
        <v>#REF!</v>
      </c>
      <c r="ABC205" s="1674" t="e">
        <f>SUM(YH8,ZD12,AFA16,AAJ20,ABH25,ZI35,XR41,AAZ46,ABG50,ACD54,ABL58,AAS62,#REF!,#REF!,#REF!,#REF!,#REF!,#REF!,#REF!,#REF!,NT109,VF113,ABR119,AAZ121,VJ124,ACK126,XR129,ABL131,AAG134,ABC157,ABC159,ABC162,ABC164,ABC167,ABC169)*0.7</f>
        <v>#REF!</v>
      </c>
      <c r="ABD205" s="1674" t="e">
        <f>SUM(YI8,ZE12,AFB16,AAK20,ABI25,ZJ35,XS41,ABA46,ABH50,ACE54,ABM58,AAT62,#REF!,#REF!,#REF!,#REF!,#REF!,#REF!,#REF!,#REF!,NU109,VG113,ABS119,ABA121,VK124,ACL126,XS129,ABM131,AAH134,ABD157,ABD159,ABD162,ABD164,ABD167,ABD169)*0.7</f>
        <v>#REF!</v>
      </c>
      <c r="ABE205" s="1674" t="e">
        <f>SUM(YJ8,ZF12,AFC16,AAL20,ABJ25,ZK35,XT41,ABB46,ABI50,ACF54,ABN58,AAU62,#REF!,#REF!,#REF!,#REF!,#REF!,#REF!,#REF!,#REF!,NV109,VH113,ABT119,ABB121,VL124,ACM126,XT129,ABN131,AAI134,ABE157,ABE159,ABE162,ABE164,ABE167,ABE169)*0.7</f>
        <v>#REF!</v>
      </c>
      <c r="ABF205" s="1674" t="e">
        <f>SUM(YK8,ZG12,AFD16,AAM20,ABK25,ZL35,XU41,ABC46,ABJ50,ACG54,ABO58,AAV62,#REF!,#REF!,#REF!,#REF!,#REF!,#REF!,#REF!,#REF!,NW109,VI113,ABU119,ABC121,VM124,ACN126,XU129,ABO131,AAJ134,ABF157,ABF159,ABF162,ABF164,ABF167,ABF169)*0.7</f>
        <v>#REF!</v>
      </c>
      <c r="ABG205" s="1674" t="e">
        <f>SUM(YL8,ZH12,AFE16,AAN20,ABL25,ZM35,XV41,ABD46,ABK50,ACH54,ABP58,AAW62,#REF!,#REF!,#REF!,#REF!,#REF!,#REF!,#REF!,#REF!,NX109,VJ113,ABV119,ABD121,VN124,ACO126,XV129,ABP131,AAK134,ABG157,ABG159,ABG162,ABG164,ABG167,ABG169)*0.7</f>
        <v>#REF!</v>
      </c>
      <c r="ABH205" s="1674" t="e">
        <f>SUM(YM8,ZI12,AFF16,AAO20,ABM25,ZN35,XW41,ABE46,ABL50,ACI54,ABQ58,AAX62,#REF!,#REF!,#REF!,#REF!,#REF!,#REF!,#REF!,#REF!,NY109,VK113,ABW119,ABE121,VO124,ACP126,XW129,ABQ131,AAL134,ABH157,ABH159,ABH162,ABH164,ABH167,ABH169)*0.7</f>
        <v>#REF!</v>
      </c>
      <c r="ABI205" s="1674" t="e">
        <f>SUM(YN8,ZJ12,AFG16,AAP20,ABN25,ZO35,XX41,ABF46,ABM50,ACJ54,ABR58,AAY62,#REF!,#REF!,#REF!,#REF!,#REF!,#REF!,#REF!,#REF!,NZ109,VL113,ABX119,ABF121,VP124,ACQ126,XX129,ABR131,AAM134,ABI157,ABI159,ABI162,ABI164,ABI167,ABI169)*0.7</f>
        <v>#REF!</v>
      </c>
      <c r="ABJ205" s="1674" t="e">
        <f>SUM(YO8,ZK12,AFH16,AAQ20,ABO25,ZP35,XY41,ABG46,ABN50,ACK54,ABS58,AAZ62,#REF!,#REF!,#REF!,#REF!,#REF!,#REF!,#REF!,#REF!,OA109,VM113,ABY119,ABG121,VQ124,ACR126,XY129,ABS131,AAN134,ABJ157,ABJ159,ABJ162,ABJ164,ABJ167,ABJ169)*0.7</f>
        <v>#REF!</v>
      </c>
      <c r="ABK205" s="1674" t="e">
        <f>SUM(YP8,ZL12,AFI16,AAR20,ABP25,ZQ35,XZ41,ABH46,ABO50,ACL54,ABT58,ABA62,#REF!,#REF!,#REF!,#REF!,#REF!,#REF!,#REF!,#REF!,OB109,VN113,ABZ119,ABH121,VR124,ACS126,XZ129,ABT131,AAO134,ABK157,ABK159,ABK162,ABK164,ABK167,ABK169)*0.7</f>
        <v>#REF!</v>
      </c>
      <c r="ABL205" s="1674" t="e">
        <f>SUM(YQ8,ZM12,AFJ16,AAS20,ABQ25,ZR35,YA41,ABI46,ABP50,ACM54,ABU58,ABB62,#REF!,#REF!,#REF!,#REF!,#REF!,#REF!,#REF!,#REF!,OC109,VO113,ACA119,ABI121,VS124,ACT126,YA129,ABU131,AAP134,ABL157,ABL159,ABL162,ABL164,ABL167,ABL169)*0.7</f>
        <v>#REF!</v>
      </c>
      <c r="ABM205" s="1674" t="e">
        <f>SUM(YR8,ZN12,AFK16,AAT20,ABR25,ZS35,YB41,ABJ46,ABQ50,ACN54,ABV58,ABC62,#REF!,#REF!,#REF!,#REF!,#REF!,#REF!,#REF!,#REF!,OD109,VP113,ACB119,ABJ121,VT124,ACU126,YB129,ABV131,AAQ134,ABM157,ABM159,ABM162,ABM164,ABM167,ABM169)*0.7</f>
        <v>#REF!</v>
      </c>
      <c r="ABN205" s="1674" t="e">
        <f>SUM(YS8,ZO12,AFL16,AAU20,ABS25,ZT35,YC41,ABK46,ABR50,ACO54,ABW58,ABD62,#REF!,#REF!,#REF!,#REF!,#REF!,#REF!,#REF!,#REF!,OE109,VQ113,ACC119,ABK121,VU124,ACV126,YC129,ABW131,AAR134,ABN157,ABN159,ABN162,ABN164,ABN167,ABN169)*0.7</f>
        <v>#REF!</v>
      </c>
      <c r="ABO205" s="1674" t="e">
        <f>SUM(YT8,ZP12,AFM16,AAV20,ABT25,ZU35,YD41,ABL46,ABS50,ACP54,ABX58,ABE62,#REF!,#REF!,#REF!,#REF!,#REF!,#REF!,#REF!,#REF!,OF109,VR113,ACD119,ABL121,VV124,ACW126,YD129,ABX131,AAS134,ABO157,ABO159,ABO162,ABO164,ABO167,ABO169)*0.7</f>
        <v>#REF!</v>
      </c>
      <c r="ABP205" s="1674" t="e">
        <f>SUM(YU8,ZQ12,AFN16,AAW20,ABU25,ZV35,YE41,ABM46,ABT50,ACQ54,ABY58,ABF62,#REF!,#REF!,#REF!,#REF!,#REF!,#REF!,#REF!,#REF!,OG109,VS113,ACE119,ABM121,VW124,ACX126,YE129,ABY131,AAT134,ABP157,ABP159,ABP162,ABP164,ABP167,ABP169)*0.7</f>
        <v>#REF!</v>
      </c>
      <c r="ABQ205" s="1674" t="e">
        <f>SUM(YV8,ZR12,AFO16,AAX20,ABV25,ZW35,YF41,ABN46,ABU50,ACR54,ABZ58,ABG62,#REF!,#REF!,#REF!,#REF!,#REF!,#REF!,#REF!,#REF!,OH109,VT113,ACF119,ABN121,VX124,ACY126,YF129,ABZ131,AAU134,ABQ157,ABQ159,ABQ162,ABQ164,ABQ167,ABQ169)*0.7</f>
        <v>#REF!</v>
      </c>
      <c r="ABR205" s="1674" t="e">
        <f>SUM(YW8,ZS12,AFP16,AAY20,ABW25,ZX35,YG41,ABO46,ABV50,ACS54,ACA58,ABH62,#REF!,#REF!,#REF!,#REF!,#REF!,#REF!,#REF!,#REF!,OI109,VU113,ACG119,ABO121,VY124,ACZ126,YG129,ACA131,AAV134,ABR157,ABR159,ABR162,ABR164,ABR167,ABR169)*0.7</f>
        <v>#REF!</v>
      </c>
      <c r="ABS205" s="1674" t="e">
        <f>SUM(YX8,ZT12,AFQ16,AAZ20,ABX25,ZY35,YH41,ABP46,ABW50,ACT54,ACB58,ABI62,#REF!,#REF!,#REF!,#REF!,#REF!,#REF!,#REF!,#REF!,OJ109,VV113,ACH119,ABP121,VZ124,ADA126,YH129,ACB131,AAW134,ABS157,ABS159,ABS162,ABS164,ABS167,ABS169)*0.7</f>
        <v>#REF!</v>
      </c>
      <c r="ABT205" s="1674" t="e">
        <f>SUM(YY8,ZU12,AFR16,ABA20,ABY25,ZZ35,YI41,ABQ46,ABX50,ACU54,ACC58,ABJ62,#REF!,#REF!,#REF!,#REF!,#REF!,#REF!,#REF!,#REF!,OK109,VW113,ACI119,ABQ121,WA124,ADB126,YI129,ACC131,AAX134,ABT157,ABT159,ABT162,ABT164,ABT167,ABT169)*0.7</f>
        <v>#REF!</v>
      </c>
      <c r="ABU205" s="1674" t="e">
        <f>SUM(YZ8,ZV12,AFS16,ABB20,ABZ25,AAA35,YJ41,ABR46,ABY50,ACV54,ACD58,ABK62,#REF!,#REF!,#REF!,#REF!,#REF!,#REF!,#REF!,#REF!,OL109,VX113,ACJ119,ABR121,WB124,ADC126,YJ129,ACD131,AAY134,ABU157,ABU159,ABU162,ABU164,ABU167,ABU169)*0.7</f>
        <v>#REF!</v>
      </c>
      <c r="ABV205" s="1674" t="e">
        <f>SUM(ZA8,ZW12,AFT16,ABC20,ACA25,AAB35,YK41,ABS46,ABZ50,ACW54,ACE58,ABL62,#REF!,#REF!,#REF!,#REF!,#REF!,#REF!,#REF!,#REF!,OM109,VY113,ACK119,ABS121,WC124,ADD126,YK129,ACE131,AAZ134,ABV157,ABV159,ABV162,ABV164,ABV167,ABV169)*0.7</f>
        <v>#REF!</v>
      </c>
      <c r="ABW205" s="1674" t="e">
        <f>SUM(ZB8,ZX12,AFU16,ABD20,ACB25,AAC35,YL41,ABT46,ACA50,ACX54,ACF58,ABM62,#REF!,#REF!,#REF!,#REF!,#REF!,#REF!,#REF!,#REF!,ON109,VZ113,ACL119,ABT121,WD124,ADE126,YL129,ACF131,ABA134,ABW157,ABW159,ABW162,ABW164,ABW167,ABW169)*0.7</f>
        <v>#REF!</v>
      </c>
      <c r="ABX205" s="1674" t="e">
        <f>SUM(ZC8,ZY12,AFV16,ABE20,ACC25,AAD35,YM41,ABU46,ACB50,ACY54,ACG58,ABN62,#REF!,#REF!,#REF!,#REF!,#REF!,#REF!,#REF!,#REF!,OO109,WA113,ACM119,ABU121,WE124,ADF126,YM129,ACG131,ABB134,ABX157,ABX159,ABX162,ABX164,ABX167,ABX169)*0.7</f>
        <v>#REF!</v>
      </c>
      <c r="ABY205" s="1674" t="e">
        <f>SUM(ZD8,ZZ12,AFW16,ABF20,ACD25,AAE35,YN41,ABV46,ACC50,ACZ54,ACH58,ABO62,#REF!,#REF!,#REF!,#REF!,#REF!,#REF!,#REF!,#REF!,OP109,WB113,ACN119,ABV121,WF124,ADG126,YN129,ACH131,ABC134,ABY157,ABY159,ABY162,ABY164,ABY167,ABY169)*0.7</f>
        <v>#REF!</v>
      </c>
      <c r="ABZ205" s="1674" t="e">
        <f>SUM(ZE8,AAA12,AFX16,ABG20,ACE25,AAF35,YO41,ABW46,ACD50,ADA54,ACI58,ABP62,#REF!,#REF!,#REF!,#REF!,#REF!,#REF!,#REF!,#REF!,OQ109,WC113,ACO119,ABW121,WG124,ADH126,YO129,ACI131,ABD134,ABZ157,ABZ159,ABZ162,ABZ164,ABZ167,ABZ169)*0.7</f>
        <v>#REF!</v>
      </c>
      <c r="ACA205" s="1674" t="e">
        <f>SUM(ZF8,AAB12,AFY16,ABH20,ACF25,AAG35,YP41,ABX46,ACE50,ADB54,ACJ58,ABQ62,#REF!,#REF!,#REF!,#REF!,#REF!,#REF!,#REF!,#REF!,OR109,WD113,ACP119,ABX121,WH124,ADI126,YP129,ACJ131,ABE134,ACA157,ACA159,ACA162,ACA164,ACA167,ACA169)*0.7</f>
        <v>#REF!</v>
      </c>
      <c r="ACB205" s="1674" t="e">
        <f>SUM(ZG8,AAC12,AFZ16,ABI20,ACG25,AAH35,YQ41,ABY46,ACF50,ADC54,ACK58,ABR62,#REF!,#REF!,#REF!,#REF!,#REF!,#REF!,#REF!,#REF!,OS109,WE113,ACQ119,ABY121,WI124,ADJ126,YQ129,ACK131,ABF134,ACB157,ACB159,ACB162,ACB164,ACB167,ACB169)*0.7</f>
        <v>#REF!</v>
      </c>
      <c r="ACC205" s="1674" t="e">
        <f>SUM(ZH8,AAD12,AGA16,ABJ20,ACH25,AAI35,YR41,ABZ46,ACG50,ADD54,ACL58,ABS62,#REF!,#REF!,#REF!,#REF!,#REF!,#REF!,#REF!,#REF!,OT109,WF113,ACR119,ABZ121,WJ124,ADK126,YR129,ACL131,ABG134,ACC157,ACC159,ACC162,ACC164,ACC167,ACC169)*0.7</f>
        <v>#REF!</v>
      </c>
      <c r="ACD205" s="1674" t="e">
        <f>SUM(ZI8,AAE12,AGB16,ABK20,ACI25,AAJ35,YS41,ACA46,ACH50,ADE54,ACM58,ABT62,#REF!,#REF!,#REF!,#REF!,#REF!,#REF!,#REF!,#REF!,OU109,WG113,ACS119,ACA121,WK124,ADL126,YS129,ACM131,ABH134,ACD157,ACD159,ACD162,ACD164,ACD167,ACD169)*0.7</f>
        <v>#REF!</v>
      </c>
      <c r="ACE205" s="1674" t="e">
        <f>SUM(ZJ8,AAF12,AGC16,ABL20,ACJ25,AAK35,YT41,ACB46,ACI50,ADF54,ACN58,ABU62,#REF!,#REF!,#REF!,#REF!,#REF!,#REF!,#REF!,#REF!,OV109,WH113,ACT119,ACB121,WL124,ADM126,YT129,ACN131,ABI134,ACE157,ACE159,ACE162,ACE164,ACE167,ACE169)*0.7</f>
        <v>#REF!</v>
      </c>
      <c r="ACF205" s="1674" t="e">
        <f>SUM(ZK8,AAG12,AGD16,ABM20,ACK25,AAL35,YU41,ACC46,ACJ50,ADG54,ACO58,ABV62,#REF!,#REF!,#REF!,#REF!,#REF!,#REF!,#REF!,#REF!,OW109,WI113,ACU119,ACC121,WM124,ADN126,YU129,ACO131,ABJ134,ACF157,ACF159,ACF162,ACF164,ACF167,ACF169)*0.7</f>
        <v>#REF!</v>
      </c>
      <c r="ACG205" s="1674" t="e">
        <f>SUM(ZL8,AAH12,AGE16,ABN20,ACL25,AAM35,YV41,ACD46,ACK50,ADH54,ACP58,ABW62,#REF!,#REF!,#REF!,#REF!,#REF!,#REF!,#REF!,#REF!,OX109,WJ113,ACV119,ACD121,WN124,ADO126,YV129,ACP131,ABK134,ACG157,ACG159,ACG162,ACG164,ACG167,ACG169)*0.7</f>
        <v>#REF!</v>
      </c>
      <c r="ACH205" s="1674" t="e">
        <f>SUM(ZM8,AAI12,AGF16,ABO20,ACM25,AAN35,YW41,ACE46,ACL50,ADI54,ACQ58,ABX62,#REF!,#REF!,#REF!,#REF!,#REF!,#REF!,#REF!,#REF!,OY109,WK113,ACW119,ACE121,WO124,ADP126,YW129,ACQ131,ABL134,ACH157,ACH159,ACH162,ACH164,ACH167,ACH169)*0.7</f>
        <v>#REF!</v>
      </c>
      <c r="ACI205" s="1674" t="e">
        <f>SUM(ZN8,AAJ12,AGG16,ABP20,ACN25,AAO35,YX41,ACF46,ACM50,ADJ54,ACR58,ABY62,#REF!,#REF!,#REF!,#REF!,#REF!,#REF!,#REF!,#REF!,OZ109,WL113,ACX119,ACF121,WP124,ADQ126,YX129,ACR131,ABM134,ACI157,ACI159,ACI162,ACI164,ACI167,ACI169)*0.7</f>
        <v>#REF!</v>
      </c>
      <c r="ACJ205" s="1674" t="e">
        <f>SUM(ZO8,AAK12,AGH16,ABQ20,ACO25,AAP35,YY41,ACG46,ACN50,ADK54,ACS58,ABZ62,#REF!,#REF!,#REF!,#REF!,#REF!,#REF!,#REF!,#REF!,PA109,WM113,ACY119,ACG121,WQ124,ADR126,YY129,ACS131,ABN134,ACJ157,ACJ159,ACJ162,ACJ164,ACJ167,ACJ169)*0.7</f>
        <v>#REF!</v>
      </c>
      <c r="ACK205" s="1674" t="e">
        <f>SUM(ZP8,AAL12,AGI16,ABR20,ACP25,AAQ35,YZ41,ACH46,ACO50,ADL54,ACT58,ACA62,#REF!,#REF!,#REF!,#REF!,#REF!,#REF!,#REF!,#REF!,PB109,WN113,ACZ119,ACH121,WR124,ADS126,YZ129,ACT131,ABO134,ACK157,ACK159,ACK162,ACK164,ACK167,ACK169)*0.7</f>
        <v>#REF!</v>
      </c>
    </row>
  </sheetData>
  <mergeCells count="1322">
    <mergeCell ref="KM72:KO72"/>
    <mergeCell ref="KM73:KO73"/>
    <mergeCell ref="KP76:KR76"/>
    <mergeCell ref="KS76:KW76"/>
    <mergeCell ref="KP77:KR77"/>
    <mergeCell ref="KT77:KU77"/>
    <mergeCell ref="KS80:KU80"/>
    <mergeCell ref="KV80:KZ80"/>
    <mergeCell ref="KS81:KU81"/>
    <mergeCell ref="KW81:KX81"/>
    <mergeCell ref="LD84:LE84"/>
    <mergeCell ref="LF84:LK84"/>
    <mergeCell ref="HN85:MO85"/>
    <mergeCell ref="JZ84:KE84"/>
    <mergeCell ref="KF84:KG84"/>
    <mergeCell ref="KH84:KM84"/>
    <mergeCell ref="KN84:KO84"/>
    <mergeCell ref="KP84:KU84"/>
    <mergeCell ref="KV84:KW84"/>
    <mergeCell ref="KX84:LC84"/>
    <mergeCell ref="JR76:JT76"/>
    <mergeCell ref="JU76:JY76"/>
    <mergeCell ref="JZ76:KB76"/>
    <mergeCell ref="KC76:KG76"/>
    <mergeCell ref="JR77:JT77"/>
    <mergeCell ref="JV77:JW77"/>
    <mergeCell ref="JZ77:KB77"/>
    <mergeCell ref="KD77:KE77"/>
    <mergeCell ref="JU80:JW80"/>
    <mergeCell ref="JX80:KB80"/>
    <mergeCell ref="KC80:KE80"/>
    <mergeCell ref="KF80:KJ80"/>
    <mergeCell ref="JU81:JW81"/>
    <mergeCell ref="JY81:JZ81"/>
    <mergeCell ref="KC81:KE81"/>
    <mergeCell ref="KG81:KH81"/>
    <mergeCell ref="OK102:OO102"/>
    <mergeCell ref="OP102:OQ102"/>
    <mergeCell ref="OR102:OW102"/>
    <mergeCell ref="NN101:NO101"/>
    <mergeCell ref="NP101:NQ101"/>
    <mergeCell ref="NT101:NU101"/>
    <mergeCell ref="NV101:NW101"/>
    <mergeCell ref="OA101:OB101"/>
    <mergeCell ref="OC101:OD101"/>
    <mergeCell ref="OH101:OI101"/>
    <mergeCell ref="OJ101:OK101"/>
    <mergeCell ref="OO101:OP101"/>
    <mergeCell ref="OQ101:OR101"/>
    <mergeCell ref="KZ102:LA102"/>
    <mergeCell ref="LB102:LH102"/>
    <mergeCell ref="LI102:LM102"/>
    <mergeCell ref="LN102:LO102"/>
    <mergeCell ref="LP102:LU102"/>
    <mergeCell ref="LV102:LZ102"/>
    <mergeCell ref="MA102:MB102"/>
    <mergeCell ref="MC102:MI102"/>
    <mergeCell ref="MJ102:MN102"/>
    <mergeCell ref="MO102:MP102"/>
    <mergeCell ref="MQ102:MU102"/>
    <mergeCell ref="MV102:MZ102"/>
    <mergeCell ref="NA102:NB102"/>
    <mergeCell ref="NC102:NI102"/>
    <mergeCell ref="NJ102:NN102"/>
    <mergeCell ref="NO102:NP102"/>
    <mergeCell ref="NQ102:NV102"/>
    <mergeCell ref="NW102:OA102"/>
    <mergeCell ref="OB102:OC102"/>
    <mergeCell ref="OD102:OJ102"/>
    <mergeCell ref="LH101:LI101"/>
    <mergeCell ref="LM101:LN101"/>
    <mergeCell ref="LO101:LP101"/>
    <mergeCell ref="LS101:LT101"/>
    <mergeCell ref="LU101:LV101"/>
    <mergeCell ref="LZ101:MA101"/>
    <mergeCell ref="MB101:MC101"/>
    <mergeCell ref="MG101:MH101"/>
    <mergeCell ref="MI101:MJ101"/>
    <mergeCell ref="MN101:MO101"/>
    <mergeCell ref="MP101:MQ101"/>
    <mergeCell ref="MT101:MU101"/>
    <mergeCell ref="MV101:MW101"/>
    <mergeCell ref="MZ101:NA101"/>
    <mergeCell ref="NB101:NC101"/>
    <mergeCell ref="NG101:NH101"/>
    <mergeCell ref="NI101:NJ101"/>
    <mergeCell ref="OY98:PJ99"/>
    <mergeCell ref="LF99:LG99"/>
    <mergeCell ref="LH99:LL99"/>
    <mergeCell ref="LM99:LN99"/>
    <mergeCell ref="LO99:LR99"/>
    <mergeCell ref="MG99:MH99"/>
    <mergeCell ref="MI99:MM99"/>
    <mergeCell ref="MN99:MO99"/>
    <mergeCell ref="MP99:MS99"/>
    <mergeCell ref="NG99:NH99"/>
    <mergeCell ref="NI99:NM99"/>
    <mergeCell ref="NN99:NO99"/>
    <mergeCell ref="NP99:NS99"/>
    <mergeCell ref="OH99:OI99"/>
    <mergeCell ref="OJ99:ON99"/>
    <mergeCell ref="OO99:OP99"/>
    <mergeCell ref="OQ99:OT99"/>
    <mergeCell ref="LD98:LF98"/>
    <mergeCell ref="LG98:LS98"/>
    <mergeCell ref="ME98:MG98"/>
    <mergeCell ref="MH98:MT98"/>
    <mergeCell ref="NE98:NG98"/>
    <mergeCell ref="NH98:NT98"/>
    <mergeCell ref="OF98:OH98"/>
    <mergeCell ref="OI98:OU98"/>
    <mergeCell ref="LB95:LD95"/>
    <mergeCell ref="LE95:LM95"/>
    <mergeCell ref="MC95:ME95"/>
    <mergeCell ref="MF95:MN95"/>
    <mergeCell ref="NC95:NE95"/>
    <mergeCell ref="NF95:NN95"/>
    <mergeCell ref="OD95:OF95"/>
    <mergeCell ref="OG95:OO95"/>
    <mergeCell ref="LC96:LD96"/>
    <mergeCell ref="LE96:LF96"/>
    <mergeCell ref="LG96:LH96"/>
    <mergeCell ref="LI96:LL96"/>
    <mergeCell ref="MD96:ME96"/>
    <mergeCell ref="MF96:MG96"/>
    <mergeCell ref="MH96:MI96"/>
    <mergeCell ref="MJ96:MM96"/>
    <mergeCell ref="ND96:NE96"/>
    <mergeCell ref="NF96:NG96"/>
    <mergeCell ref="NH96:NI96"/>
    <mergeCell ref="NJ96:NM96"/>
    <mergeCell ref="OE96:OF96"/>
    <mergeCell ref="OG96:OH96"/>
    <mergeCell ref="OI96:OJ96"/>
    <mergeCell ref="OK96:ON96"/>
    <mergeCell ref="KN92:KP92"/>
    <mergeCell ref="KQ92:LE92"/>
    <mergeCell ref="LO92:LQ92"/>
    <mergeCell ref="LR92:MF92"/>
    <mergeCell ref="MO92:MQ92"/>
    <mergeCell ref="MR92:NF92"/>
    <mergeCell ref="NP92:NR92"/>
    <mergeCell ref="NS92:OG92"/>
    <mergeCell ref="OI92:OU93"/>
    <mergeCell ref="KO93:KP93"/>
    <mergeCell ref="KQ93:KY93"/>
    <mergeCell ref="KZ93:LA93"/>
    <mergeCell ref="LB93:LE93"/>
    <mergeCell ref="LP93:LQ93"/>
    <mergeCell ref="LR93:LZ93"/>
    <mergeCell ref="MA93:MB93"/>
    <mergeCell ref="MC93:MF93"/>
    <mergeCell ref="MP93:MQ93"/>
    <mergeCell ref="MR93:MZ93"/>
    <mergeCell ref="NA93:NB93"/>
    <mergeCell ref="NC93:NF93"/>
    <mergeCell ref="NQ93:NR93"/>
    <mergeCell ref="NS93:OA93"/>
    <mergeCell ref="OB93:OC93"/>
    <mergeCell ref="OD93:OG93"/>
    <mergeCell ref="IK96:IL96"/>
    <mergeCell ref="IM96:IN96"/>
    <mergeCell ref="IO96:JG96"/>
    <mergeCell ref="HV98:IH99"/>
    <mergeCell ref="IY98:JJ99"/>
    <mergeCell ref="JN98:JY99"/>
    <mergeCell ref="KC98:KQ99"/>
    <mergeCell ref="KJ89:KM89"/>
    <mergeCell ref="KN89:KX89"/>
    <mergeCell ref="LK89:LN89"/>
    <mergeCell ref="LO89:LY89"/>
    <mergeCell ref="MK89:MN89"/>
    <mergeCell ref="MO89:MY89"/>
    <mergeCell ref="NL89:NO89"/>
    <mergeCell ref="NP89:NZ89"/>
    <mergeCell ref="KL90:KM90"/>
    <mergeCell ref="KN90:KP90"/>
    <mergeCell ref="KQ90:KR90"/>
    <mergeCell ref="KS90:KX90"/>
    <mergeCell ref="LM90:LN90"/>
    <mergeCell ref="LO90:LQ90"/>
    <mergeCell ref="LR90:LS90"/>
    <mergeCell ref="LT90:LY90"/>
    <mergeCell ref="MM90:MN90"/>
    <mergeCell ref="MO90:MQ90"/>
    <mergeCell ref="MR90:MS90"/>
    <mergeCell ref="MT90:MY90"/>
    <mergeCell ref="NN90:NO90"/>
    <mergeCell ref="NP90:NR90"/>
    <mergeCell ref="NS90:NT90"/>
    <mergeCell ref="NU90:NZ90"/>
    <mergeCell ref="HO95:HZ95"/>
    <mergeCell ref="FI89:FT89"/>
    <mergeCell ref="FU89:GD89"/>
    <mergeCell ref="GE89:GH89"/>
    <mergeCell ref="GI89:GR89"/>
    <mergeCell ref="GS89:GV89"/>
    <mergeCell ref="GW89:GX89"/>
    <mergeCell ref="FI90:FT90"/>
    <mergeCell ref="FU90:GD90"/>
    <mergeCell ref="GE90:GF90"/>
    <mergeCell ref="GG90:GH90"/>
    <mergeCell ref="GI90:HA90"/>
    <mergeCell ref="GL92:GW92"/>
    <mergeCell ref="GX92:HG92"/>
    <mergeCell ref="HH92:HK92"/>
    <mergeCell ref="HL92:HU92"/>
    <mergeCell ref="HV92:HY92"/>
    <mergeCell ref="HZ92:IA92"/>
    <mergeCell ref="CL85:HM85"/>
    <mergeCell ref="LD86:LO86"/>
    <mergeCell ref="LS86:MD86"/>
    <mergeCell ref="MH86:MS86"/>
    <mergeCell ref="IA84:IB84"/>
    <mergeCell ref="IC84:IH84"/>
    <mergeCell ref="II84:IJ84"/>
    <mergeCell ref="IK84:IP84"/>
    <mergeCell ref="IQ84:IR84"/>
    <mergeCell ref="IS84:IX84"/>
    <mergeCell ref="IY84:IZ84"/>
    <mergeCell ref="JA84:JF84"/>
    <mergeCell ref="JG84:JH84"/>
    <mergeCell ref="JI84:JN84"/>
    <mergeCell ref="JO84:JP84"/>
    <mergeCell ref="JQ84:JV84"/>
    <mergeCell ref="JX84:JY84"/>
    <mergeCell ref="CU84:CV84"/>
    <mergeCell ref="CW84:DB84"/>
    <mergeCell ref="DC84:DD84"/>
    <mergeCell ref="DE84:DJ84"/>
    <mergeCell ref="DK84:DL84"/>
    <mergeCell ref="DM84:DR84"/>
    <mergeCell ref="DS84:DT84"/>
    <mergeCell ref="DU84:EB84"/>
    <mergeCell ref="EC84:ED84"/>
    <mergeCell ref="EE84:EL84"/>
    <mergeCell ref="EM84:EN84"/>
    <mergeCell ref="EO84:EV84"/>
    <mergeCell ref="EW84:EX84"/>
    <mergeCell ref="EY84:FF84"/>
    <mergeCell ref="FG84:FH84"/>
    <mergeCell ref="FI84:FN84"/>
    <mergeCell ref="FO84:FP84"/>
    <mergeCell ref="FQ84:FV84"/>
    <mergeCell ref="FW84:FX84"/>
    <mergeCell ref="FY84:GD84"/>
    <mergeCell ref="GE84:GF84"/>
    <mergeCell ref="GG84:GL84"/>
    <mergeCell ref="GM84:GN84"/>
    <mergeCell ref="GO84:GT84"/>
    <mergeCell ref="GU84:GV84"/>
    <mergeCell ref="GW84:HB84"/>
    <mergeCell ref="HC84:HD84"/>
    <mergeCell ref="HE84:HJ84"/>
    <mergeCell ref="HK84:HL84"/>
    <mergeCell ref="HM84:HR84"/>
    <mergeCell ref="HS84:HT84"/>
    <mergeCell ref="JW83:JZ83"/>
    <mergeCell ref="KA83:KB83"/>
    <mergeCell ref="KC83:KD83"/>
    <mergeCell ref="KI83:KJ83"/>
    <mergeCell ref="KK83:KL83"/>
    <mergeCell ref="KM83:KP83"/>
    <mergeCell ref="KQ83:KR83"/>
    <mergeCell ref="KS83:KT83"/>
    <mergeCell ref="KU83:KX83"/>
    <mergeCell ref="KY83:KZ83"/>
    <mergeCell ref="LA83:LB83"/>
    <mergeCell ref="LC83:LF83"/>
    <mergeCell ref="JD81:JF81"/>
    <mergeCell ref="JH81:JI81"/>
    <mergeCell ref="JM81:JO81"/>
    <mergeCell ref="JQ81:JR81"/>
    <mergeCell ref="KK81:KM81"/>
    <mergeCell ref="KO81:KP81"/>
    <mergeCell ref="CP83:CQ83"/>
    <mergeCell ref="CR83:CS83"/>
    <mergeCell ref="CT83:CW83"/>
    <mergeCell ref="CX83:CY83"/>
    <mergeCell ref="CZ83:DA83"/>
    <mergeCell ref="DB83:DE83"/>
    <mergeCell ref="DF83:DG83"/>
    <mergeCell ref="DH83:DI83"/>
    <mergeCell ref="DJ83:DM83"/>
    <mergeCell ref="DN83:DO83"/>
    <mergeCell ref="DP83:DQ83"/>
    <mergeCell ref="DR83:DU83"/>
    <mergeCell ref="DX83:DY83"/>
    <mergeCell ref="DZ83:EA83"/>
    <mergeCell ref="EB83:EE83"/>
    <mergeCell ref="EH83:EI83"/>
    <mergeCell ref="EJ83:EK83"/>
    <mergeCell ref="EL83:EO83"/>
    <mergeCell ref="HF83:HG83"/>
    <mergeCell ref="HH83:HI83"/>
    <mergeCell ref="HJ83:HM83"/>
    <mergeCell ref="HN83:HO83"/>
    <mergeCell ref="JD80:JF80"/>
    <mergeCell ref="JG80:JK80"/>
    <mergeCell ref="JM80:JO80"/>
    <mergeCell ref="JP80:JT80"/>
    <mergeCell ref="KK80:KM80"/>
    <mergeCell ref="KN80:KR80"/>
    <mergeCell ref="CJ81:CL81"/>
    <mergeCell ref="CN81:CO81"/>
    <mergeCell ref="CR81:CT81"/>
    <mergeCell ref="CV81:CW81"/>
    <mergeCell ref="CZ81:DB81"/>
    <mergeCell ref="DD81:DE81"/>
    <mergeCell ref="DH81:DJ81"/>
    <mergeCell ref="DL81:DM81"/>
    <mergeCell ref="DR81:DT81"/>
    <mergeCell ref="DV81:DW81"/>
    <mergeCell ref="EB81:ED81"/>
    <mergeCell ref="EF81:EG81"/>
    <mergeCell ref="EL81:EN81"/>
    <mergeCell ref="EP81:EQ81"/>
    <mergeCell ref="FA81:FC81"/>
    <mergeCell ref="FE81:FF81"/>
    <mergeCell ref="FL81:FN81"/>
    <mergeCell ref="FP81:FQ81"/>
    <mergeCell ref="IF81:IH81"/>
    <mergeCell ref="IJ81:IK81"/>
    <mergeCell ref="IS81:IU81"/>
    <mergeCell ref="IW81:IX81"/>
    <mergeCell ref="CJ80:CL80"/>
    <mergeCell ref="CM80:CQ80"/>
    <mergeCell ref="CR80:CT80"/>
    <mergeCell ref="CU80:CY80"/>
    <mergeCell ref="CZ80:DB80"/>
    <mergeCell ref="DC80:DG80"/>
    <mergeCell ref="DH80:DJ80"/>
    <mergeCell ref="DK80:DO80"/>
    <mergeCell ref="DR80:DT80"/>
    <mergeCell ref="DU80:DY80"/>
    <mergeCell ref="EB80:ED80"/>
    <mergeCell ref="EE80:EI80"/>
    <mergeCell ref="EL80:EN80"/>
    <mergeCell ref="EO80:ES80"/>
    <mergeCell ref="FA80:FC80"/>
    <mergeCell ref="FD80:FH80"/>
    <mergeCell ref="FL80:FN80"/>
    <mergeCell ref="FO80:FS80"/>
    <mergeCell ref="FY80:GA80"/>
    <mergeCell ref="GB80:GF80"/>
    <mergeCell ref="GJ80:GL80"/>
    <mergeCell ref="GM80:GQ80"/>
    <mergeCell ref="GW80:GY80"/>
    <mergeCell ref="GZ80:HD80"/>
    <mergeCell ref="HH80:HJ80"/>
    <mergeCell ref="HK80:HO80"/>
    <mergeCell ref="IF80:IH80"/>
    <mergeCell ref="II80:IM80"/>
    <mergeCell ref="IS80:IU80"/>
    <mergeCell ref="IV80:IZ80"/>
    <mergeCell ref="KH76:KJ76"/>
    <mergeCell ref="KK76:KO76"/>
    <mergeCell ref="CG77:CI77"/>
    <mergeCell ref="CK77:CL77"/>
    <mergeCell ref="CO77:CQ77"/>
    <mergeCell ref="CS77:CT77"/>
    <mergeCell ref="CW77:CY77"/>
    <mergeCell ref="DA77:DB77"/>
    <mergeCell ref="DE77:DG77"/>
    <mergeCell ref="DI77:DJ77"/>
    <mergeCell ref="DO77:DQ77"/>
    <mergeCell ref="DS77:DT77"/>
    <mergeCell ref="DY77:EA77"/>
    <mergeCell ref="EC77:ED77"/>
    <mergeCell ref="EI77:EK77"/>
    <mergeCell ref="EM77:EN77"/>
    <mergeCell ref="EV77:EX77"/>
    <mergeCell ref="EZ77:FA77"/>
    <mergeCell ref="FI77:FK77"/>
    <mergeCell ref="FM77:FN77"/>
    <mergeCell ref="FT77:FV77"/>
    <mergeCell ref="FX77:FY77"/>
    <mergeCell ref="GG77:GI77"/>
    <mergeCell ref="GK77:GL77"/>
    <mergeCell ref="KH77:KJ77"/>
    <mergeCell ref="KL77:KM77"/>
    <mergeCell ref="JO73:JQ73"/>
    <mergeCell ref="JS73:JT73"/>
    <mergeCell ref="JW73:JY73"/>
    <mergeCell ref="KA73:KB73"/>
    <mergeCell ref="KE73:KG73"/>
    <mergeCell ref="KI73:KJ73"/>
    <mergeCell ref="KQ73:KR73"/>
    <mergeCell ref="CG76:CI76"/>
    <mergeCell ref="CJ76:CN76"/>
    <mergeCell ref="CO76:CQ76"/>
    <mergeCell ref="CR76:CV76"/>
    <mergeCell ref="CW76:CY76"/>
    <mergeCell ref="CZ76:DD76"/>
    <mergeCell ref="DE76:DG76"/>
    <mergeCell ref="DH76:DL76"/>
    <mergeCell ref="DO76:DQ76"/>
    <mergeCell ref="DR76:DV76"/>
    <mergeCell ref="DY76:EA76"/>
    <mergeCell ref="EB76:EF76"/>
    <mergeCell ref="EI76:EK76"/>
    <mergeCell ref="EL76:EP76"/>
    <mergeCell ref="EV76:EX76"/>
    <mergeCell ref="EY76:FC76"/>
    <mergeCell ref="FI76:FK76"/>
    <mergeCell ref="FL76:FP76"/>
    <mergeCell ref="FT76:FV76"/>
    <mergeCell ref="FW76:GA76"/>
    <mergeCell ref="JJ76:JL76"/>
    <mergeCell ref="JM76:JQ76"/>
    <mergeCell ref="JW72:JY72"/>
    <mergeCell ref="JZ72:KD72"/>
    <mergeCell ref="KE72:KG72"/>
    <mergeCell ref="KH72:KL72"/>
    <mergeCell ref="KP72:KT72"/>
    <mergeCell ref="AT73:AV73"/>
    <mergeCell ref="BI73:BK73"/>
    <mergeCell ref="CD73:CF73"/>
    <mergeCell ref="CH73:CI73"/>
    <mergeCell ref="CL73:CN73"/>
    <mergeCell ref="CP73:CQ73"/>
    <mergeCell ref="CT73:CV73"/>
    <mergeCell ref="CX73:CY73"/>
    <mergeCell ref="DB73:DD73"/>
    <mergeCell ref="DF73:DG73"/>
    <mergeCell ref="DL73:DN73"/>
    <mergeCell ref="DP73:DQ73"/>
    <mergeCell ref="DV73:DX73"/>
    <mergeCell ref="DZ73:EA73"/>
    <mergeCell ref="EF73:EH73"/>
    <mergeCell ref="EJ73:EK73"/>
    <mergeCell ref="ES73:EU73"/>
    <mergeCell ref="EW73:EX73"/>
    <mergeCell ref="FD73:FF73"/>
    <mergeCell ref="FH73:FI73"/>
    <mergeCell ref="FQ73:FS73"/>
    <mergeCell ref="FU73:FV73"/>
    <mergeCell ref="GB73:GD73"/>
    <mergeCell ref="GF73:GG73"/>
    <mergeCell ref="GZ73:HB73"/>
    <mergeCell ref="HD73:HE73"/>
    <mergeCell ref="FT72:FX72"/>
    <mergeCell ref="GB72:GD72"/>
    <mergeCell ref="GE72:GI72"/>
    <mergeCell ref="GZ72:HB72"/>
    <mergeCell ref="HC72:HG72"/>
    <mergeCell ref="HM72:HO72"/>
    <mergeCell ref="HP72:HT72"/>
    <mergeCell ref="HX72:HZ72"/>
    <mergeCell ref="IA72:IE72"/>
    <mergeCell ref="IK72:IM72"/>
    <mergeCell ref="IN72:IR72"/>
    <mergeCell ref="IV72:IX72"/>
    <mergeCell ref="IY72:JC72"/>
    <mergeCell ref="JG72:JI72"/>
    <mergeCell ref="JJ72:JN72"/>
    <mergeCell ref="JO72:JQ72"/>
    <mergeCell ref="JR72:JV72"/>
    <mergeCell ref="AF6:AK6"/>
    <mergeCell ref="AL6:BF6"/>
    <mergeCell ref="AF7:AQ7"/>
    <mergeCell ref="AR7:AU7"/>
    <mergeCell ref="AV7:BA7"/>
    <mergeCell ref="BB7:BD7"/>
    <mergeCell ref="BE7:BF7"/>
    <mergeCell ref="CM10:CR10"/>
    <mergeCell ref="CS10:DK10"/>
    <mergeCell ref="CM11:CU11"/>
    <mergeCell ref="CV11:CY11"/>
    <mergeCell ref="CZ11:DF11"/>
    <mergeCell ref="DG11:DI11"/>
    <mergeCell ref="DJ11:DK11"/>
    <mergeCell ref="BZ6:CE6"/>
    <mergeCell ref="CF6:CX6"/>
    <mergeCell ref="BZ7:CH7"/>
    <mergeCell ref="CI7:CL7"/>
    <mergeCell ref="CM7:CS7"/>
    <mergeCell ref="CT7:CV7"/>
    <mergeCell ref="CW7:CX7"/>
    <mergeCell ref="R4:ES4"/>
    <mergeCell ref="ET4:JV4"/>
    <mergeCell ref="CX32:CZ32"/>
    <mergeCell ref="DA32:DT32"/>
    <mergeCell ref="DU32:DW32"/>
    <mergeCell ref="CX33:DC33"/>
    <mergeCell ref="DD33:DT33"/>
    <mergeCell ref="DU33:DZ33"/>
    <mergeCell ref="AL18:AQ18"/>
    <mergeCell ref="AR18:BJ18"/>
    <mergeCell ref="EP38:ER38"/>
    <mergeCell ref="EP39:FA39"/>
    <mergeCell ref="ES38:FA38"/>
    <mergeCell ref="EA33:EM33"/>
    <mergeCell ref="DX32:EM32"/>
    <mergeCell ref="EO32:EQ32"/>
    <mergeCell ref="EO33:ET33"/>
    <mergeCell ref="EU34:EY34"/>
    <mergeCell ref="EZ34:FC34"/>
    <mergeCell ref="EU33:FT33"/>
    <mergeCell ref="ER32:FT32"/>
    <mergeCell ref="BS18:BX18"/>
    <mergeCell ref="BY18:CQ18"/>
    <mergeCell ref="BS19:CB19"/>
    <mergeCell ref="CC19:CH19"/>
    <mergeCell ref="BC10:BH10"/>
    <mergeCell ref="BI10:CC10"/>
    <mergeCell ref="BC11:BJ11"/>
    <mergeCell ref="BK11:BQ11"/>
    <mergeCell ref="BR11:BX11"/>
    <mergeCell ref="BY11:CA11"/>
    <mergeCell ref="CB11:CC11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KN135:LC135"/>
    <mergeCell ref="HS135:IH135"/>
    <mergeCell ref="IS118:JH118"/>
    <mergeCell ref="B149:C149"/>
    <mergeCell ref="B144:C144"/>
    <mergeCell ref="CM130:DB130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A103:C103"/>
    <mergeCell ref="A110:C110"/>
    <mergeCell ref="A106:C107"/>
    <mergeCell ref="F123:AH123"/>
    <mergeCell ref="A101:B102"/>
    <mergeCell ref="A105:C105"/>
    <mergeCell ref="A117:C117"/>
    <mergeCell ref="B118:C121"/>
    <mergeCell ref="A89:C96"/>
    <mergeCell ref="D89:D90"/>
    <mergeCell ref="D95:D96"/>
    <mergeCell ref="C101:D101"/>
    <mergeCell ref="C102:D102"/>
    <mergeCell ref="CT118:DI118"/>
    <mergeCell ref="BN123:BU123"/>
    <mergeCell ref="JB83:JC83"/>
    <mergeCell ref="B138:C138"/>
    <mergeCell ref="F135:U135"/>
    <mergeCell ref="CM135:DB135"/>
    <mergeCell ref="DY143:EH143"/>
    <mergeCell ref="B135:C135"/>
    <mergeCell ref="B142:C142"/>
    <mergeCell ref="B147:C147"/>
    <mergeCell ref="B148:C148"/>
    <mergeCell ref="B141:C141"/>
    <mergeCell ref="BN128:CC128"/>
    <mergeCell ref="A127:C127"/>
    <mergeCell ref="B128:C131"/>
    <mergeCell ref="X130:AM130"/>
    <mergeCell ref="AP130:BE130"/>
    <mergeCell ref="BY125:CO125"/>
    <mergeCell ref="CL128:DA128"/>
    <mergeCell ref="B123:C126"/>
    <mergeCell ref="EB123:EQ123"/>
    <mergeCell ref="BF125:BV125"/>
    <mergeCell ref="AN125:BC125"/>
    <mergeCell ref="AP128:BE128"/>
    <mergeCell ref="F130:U130"/>
    <mergeCell ref="F125:AK125"/>
    <mergeCell ref="F128:U128"/>
    <mergeCell ref="AJ155:AK155"/>
    <mergeCell ref="BB155:BJ155"/>
    <mergeCell ref="AP155:AY155"/>
    <mergeCell ref="L155:U155"/>
    <mergeCell ref="V155:W155"/>
    <mergeCell ref="X155:AF155"/>
    <mergeCell ref="AZ155:BA155"/>
    <mergeCell ref="FR156:FS156"/>
    <mergeCell ref="FT156:FW156"/>
    <mergeCell ref="GS156:GU156"/>
    <mergeCell ref="GV156:GW156"/>
    <mergeCell ref="HC147:HL147"/>
    <mergeCell ref="DH133:DS133"/>
    <mergeCell ref="B139:C139"/>
    <mergeCell ref="B140:C140"/>
    <mergeCell ref="B136:C136"/>
    <mergeCell ref="B133:D133"/>
    <mergeCell ref="B137:C137"/>
    <mergeCell ref="DJ135:DY135"/>
    <mergeCell ref="B146:C146"/>
    <mergeCell ref="AZ133:BK133"/>
    <mergeCell ref="BL133:BX133"/>
    <mergeCell ref="AB133:AM133"/>
    <mergeCell ref="AN133:AY133"/>
    <mergeCell ref="F133:AA133"/>
    <mergeCell ref="BY141:CH141"/>
    <mergeCell ref="BX142:CI142"/>
    <mergeCell ref="DL146:DW146"/>
    <mergeCell ref="EH149:EN149"/>
    <mergeCell ref="DX144:EI144"/>
    <mergeCell ref="B143:C143"/>
    <mergeCell ref="AP135:BE135"/>
    <mergeCell ref="CL161:JJ161"/>
    <mergeCell ref="IR156:IZ156"/>
    <mergeCell ref="JJ156:JQ156"/>
    <mergeCell ref="JD156:JE156"/>
    <mergeCell ref="IB156:IE156"/>
    <mergeCell ref="HN156:HV156"/>
    <mergeCell ref="BZ158:ES158"/>
    <mergeCell ref="HB156:HK156"/>
    <mergeCell ref="HL156:HM156"/>
    <mergeCell ref="FX156:GG156"/>
    <mergeCell ref="GH156:GI156"/>
    <mergeCell ref="GX156:HA156"/>
    <mergeCell ref="B151:C151"/>
    <mergeCell ref="EG150:EO150"/>
    <mergeCell ref="BK155:BM155"/>
    <mergeCell ref="AL155:AO155"/>
    <mergeCell ref="A153:BQ153"/>
    <mergeCell ref="B155:C155"/>
    <mergeCell ref="BT155:CA155"/>
    <mergeCell ref="BP155:BS155"/>
    <mergeCell ref="IG152:JA152"/>
    <mergeCell ref="DC153:HZ153"/>
    <mergeCell ref="B160:D161"/>
    <mergeCell ref="B158:D159"/>
    <mergeCell ref="B156:C156"/>
    <mergeCell ref="BN155:BO155"/>
    <mergeCell ref="CD155:CL155"/>
    <mergeCell ref="B150:C150"/>
    <mergeCell ref="B152:C152"/>
    <mergeCell ref="F155:G155"/>
    <mergeCell ref="H155:K155"/>
    <mergeCell ref="AG155:AI155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EX193:FA193"/>
    <mergeCell ref="EN169:FX169"/>
    <mergeCell ref="FY169:GM169"/>
    <mergeCell ref="FB193:FM193"/>
    <mergeCell ref="FN193:FO193"/>
    <mergeCell ref="DC169:EM169"/>
    <mergeCell ref="GJ156:GR156"/>
    <mergeCell ref="IP156:IQ156"/>
    <mergeCell ref="JR156:JS156"/>
    <mergeCell ref="HZ156:IA156"/>
    <mergeCell ref="JA156:JC156"/>
    <mergeCell ref="BR153:DB153"/>
    <mergeCell ref="CM155:CO155"/>
    <mergeCell ref="JL123:KB123"/>
    <mergeCell ref="JV135:KK135"/>
    <mergeCell ref="IF125:IU125"/>
    <mergeCell ref="GD123:GT123"/>
    <mergeCell ref="IG123:JI123"/>
    <mergeCell ref="IG138:JA138"/>
    <mergeCell ref="IK141:IV141"/>
    <mergeCell ref="CB155:CC155"/>
    <mergeCell ref="IK137:IV137"/>
    <mergeCell ref="FR138:GE138"/>
    <mergeCell ref="FE128:FT128"/>
    <mergeCell ref="EN130:FC130"/>
    <mergeCell ref="IX125:JM125"/>
    <mergeCell ref="GJ125:GY125"/>
    <mergeCell ref="DV128:EK128"/>
    <mergeCell ref="IK145:IV145"/>
    <mergeCell ref="DM145:DV145"/>
    <mergeCell ref="HB148:HM148"/>
    <mergeCell ref="KC156:KE156"/>
    <mergeCell ref="IK130:IZ130"/>
    <mergeCell ref="HO123:ID123"/>
    <mergeCell ref="AR102:AS102"/>
    <mergeCell ref="AT102:AZ102"/>
    <mergeCell ref="BA102:BE102"/>
    <mergeCell ref="DJ123:DY123"/>
    <mergeCell ref="FR125:GG125"/>
    <mergeCell ref="FS137:GD137"/>
    <mergeCell ref="EN135:FC135"/>
    <mergeCell ref="EZ125:FO125"/>
    <mergeCell ref="GW123:HL123"/>
    <mergeCell ref="DJ130:DY130"/>
    <mergeCell ref="HA133:HM133"/>
    <mergeCell ref="GB133:GN133"/>
    <mergeCell ref="GO133:GZ133"/>
    <mergeCell ref="FY118:GT118"/>
    <mergeCell ref="EH120:EW120"/>
    <mergeCell ref="EY120:FN120"/>
    <mergeCell ref="F103:BY103"/>
    <mergeCell ref="BZ103:HM103"/>
    <mergeCell ref="BW118:CR118"/>
    <mergeCell ref="F120:U120"/>
    <mergeCell ref="X135:AM135"/>
    <mergeCell ref="FA118:FV118"/>
    <mergeCell ref="GW118:HR118"/>
    <mergeCell ref="EI118:EX118"/>
    <mergeCell ref="X118:AS118"/>
    <mergeCell ref="F118:U118"/>
    <mergeCell ref="AY118:BT118"/>
    <mergeCell ref="IK95:IN95"/>
    <mergeCell ref="IO95:IX95"/>
    <mergeCell ref="IY95:JB95"/>
    <mergeCell ref="JC95:JD95"/>
    <mergeCell ref="HO96:HZ96"/>
    <mergeCell ref="IA96:IJ96"/>
    <mergeCell ref="JT156:KB156"/>
    <mergeCell ref="HW156:HY156"/>
    <mergeCell ref="IF156:IO156"/>
    <mergeCell ref="MM123:NC123"/>
    <mergeCell ref="KI118:LD118"/>
    <mergeCell ref="JK118:KF118"/>
    <mergeCell ref="KO123:LQ123"/>
    <mergeCell ref="LT123:MJ123"/>
    <mergeCell ref="HN103:NA103"/>
    <mergeCell ref="JF156:JI156"/>
    <mergeCell ref="IG150:JA150"/>
    <mergeCell ref="IK147:IV147"/>
    <mergeCell ref="IK143:IV143"/>
    <mergeCell ref="IG140:JA140"/>
    <mergeCell ref="IK139:IV139"/>
    <mergeCell ref="IG148:JA148"/>
    <mergeCell ref="IK135:IZ135"/>
    <mergeCell ref="IK151:IV151"/>
    <mergeCell ref="IK149:IV149"/>
    <mergeCell ref="IG146:JA146"/>
    <mergeCell ref="HT133:JD133"/>
    <mergeCell ref="JB130:JQ130"/>
    <mergeCell ref="KE123:KL123"/>
    <mergeCell ref="IG144:JA144"/>
    <mergeCell ref="IG142:JA142"/>
    <mergeCell ref="HU118:IP118"/>
    <mergeCell ref="GO72:GQ72"/>
    <mergeCell ref="BZ70:HM70"/>
    <mergeCell ref="HN70:NA70"/>
    <mergeCell ref="CD72:CF72"/>
    <mergeCell ref="CG72:CK72"/>
    <mergeCell ref="GR72:GV72"/>
    <mergeCell ref="CL72:CN72"/>
    <mergeCell ref="CO72:CS72"/>
    <mergeCell ref="CT72:CV72"/>
    <mergeCell ref="CW72:DA72"/>
    <mergeCell ref="DB72:DD72"/>
    <mergeCell ref="GR76:GT76"/>
    <mergeCell ref="GU76:GY76"/>
    <mergeCell ref="GG76:GI76"/>
    <mergeCell ref="GJ76:GN76"/>
    <mergeCell ref="HE76:HG76"/>
    <mergeCell ref="HH76:HL76"/>
    <mergeCell ref="HP76:HR76"/>
    <mergeCell ref="HS76:HW76"/>
    <mergeCell ref="JG73:JI73"/>
    <mergeCell ref="DE72:DI72"/>
    <mergeCell ref="DL72:DN72"/>
    <mergeCell ref="DO72:DS72"/>
    <mergeCell ref="DV72:DX72"/>
    <mergeCell ref="DY72:EC72"/>
    <mergeCell ref="EF72:EH72"/>
    <mergeCell ref="EI72:EM72"/>
    <mergeCell ref="ES72:EU72"/>
    <mergeCell ref="EV72:EZ72"/>
    <mergeCell ref="FD72:FF72"/>
    <mergeCell ref="FG72:FK72"/>
    <mergeCell ref="FQ72:FS72"/>
    <mergeCell ref="GR77:GT77"/>
    <mergeCell ref="GV77:GW77"/>
    <mergeCell ref="GO73:GQ73"/>
    <mergeCell ref="GS73:GT73"/>
    <mergeCell ref="IC77:IE77"/>
    <mergeCell ref="IG77:IH77"/>
    <mergeCell ref="IN76:IP76"/>
    <mergeCell ref="IQ76:IU76"/>
    <mergeCell ref="JA76:JC76"/>
    <mergeCell ref="JD76:JH76"/>
    <mergeCell ref="HE77:HG77"/>
    <mergeCell ref="HI77:HJ77"/>
    <mergeCell ref="HP77:HR77"/>
    <mergeCell ref="JJ77:JL77"/>
    <mergeCell ref="HT77:HU77"/>
    <mergeCell ref="IN77:IP77"/>
    <mergeCell ref="IR77:IS77"/>
    <mergeCell ref="JA77:JC77"/>
    <mergeCell ref="JE77:JF77"/>
    <mergeCell ref="IC76:IE76"/>
    <mergeCell ref="IF76:IJ76"/>
    <mergeCell ref="HM73:HO73"/>
    <mergeCell ref="HQ73:HR73"/>
    <mergeCell ref="HX73:HZ73"/>
    <mergeCell ref="IB73:IC73"/>
    <mergeCell ref="IK73:IM73"/>
    <mergeCell ref="IO73:IP73"/>
    <mergeCell ref="IV73:IX73"/>
    <mergeCell ref="IZ73:JA73"/>
    <mergeCell ref="JK73:JL73"/>
    <mergeCell ref="JN77:JO77"/>
    <mergeCell ref="HU80:HW80"/>
    <mergeCell ref="HX80:IB80"/>
    <mergeCell ref="FY81:GA81"/>
    <mergeCell ref="GC81:GD81"/>
    <mergeCell ref="GJ81:GL81"/>
    <mergeCell ref="GN81:GO81"/>
    <mergeCell ref="GW81:GY81"/>
    <mergeCell ref="HA81:HB81"/>
    <mergeCell ref="HH81:HJ81"/>
    <mergeCell ref="HL81:HM81"/>
    <mergeCell ref="HU81:HW81"/>
    <mergeCell ref="HY81:HZ81"/>
    <mergeCell ref="FD83:FE83"/>
    <mergeCell ref="FF83:FI83"/>
    <mergeCell ref="FJ83:FK83"/>
    <mergeCell ref="FL83:FM83"/>
    <mergeCell ref="FN83:FQ83"/>
    <mergeCell ref="FR83:FS83"/>
    <mergeCell ref="FT83:FU83"/>
    <mergeCell ref="FV83:FY83"/>
    <mergeCell ref="FZ83:GA83"/>
    <mergeCell ref="GB83:GC83"/>
    <mergeCell ref="GD83:GG83"/>
    <mergeCell ref="GH83:GI83"/>
    <mergeCell ref="GJ83:GK83"/>
    <mergeCell ref="KE83:KH83"/>
    <mergeCell ref="IX83:JA83"/>
    <mergeCell ref="JD83:JE83"/>
    <mergeCell ref="JF83:JI83"/>
    <mergeCell ref="JJ83:JK83"/>
    <mergeCell ref="JL83:JM83"/>
    <mergeCell ref="JN83:JQ83"/>
    <mergeCell ref="JS83:JT83"/>
    <mergeCell ref="JU83:JV83"/>
    <mergeCell ref="ER83:ES83"/>
    <mergeCell ref="ET83:EU83"/>
    <mergeCell ref="EV83:EY83"/>
    <mergeCell ref="FB83:FC83"/>
    <mergeCell ref="GL83:GO83"/>
    <mergeCell ref="GP83:GQ83"/>
    <mergeCell ref="GR83:GS83"/>
    <mergeCell ref="GT83:GW83"/>
    <mergeCell ref="GX83:GY83"/>
    <mergeCell ref="GZ83:HA83"/>
    <mergeCell ref="HB83:HE83"/>
    <mergeCell ref="HU84:HZ84"/>
    <mergeCell ref="HP83:HQ83"/>
    <mergeCell ref="HR83:HU83"/>
    <mergeCell ref="HV83:HW83"/>
    <mergeCell ref="HX83:HY83"/>
    <mergeCell ref="HZ83:IC83"/>
    <mergeCell ref="ID83:IE83"/>
    <mergeCell ref="IF83:IG83"/>
    <mergeCell ref="IH83:IK83"/>
    <mergeCell ref="IL83:IM83"/>
    <mergeCell ref="IN83:IO83"/>
    <mergeCell ref="IP83:IS83"/>
    <mergeCell ref="IT83:IU83"/>
    <mergeCell ref="IV83:IW83"/>
    <mergeCell ref="CC89:CF89"/>
    <mergeCell ref="CG89:CQ89"/>
    <mergeCell ref="AB89:AE89"/>
    <mergeCell ref="AF89:AP89"/>
    <mergeCell ref="HN88:NA88"/>
    <mergeCell ref="BC89:BF89"/>
    <mergeCell ref="F88:BY88"/>
    <mergeCell ref="BZ88:HM88"/>
    <mergeCell ref="CG92:CI92"/>
    <mergeCell ref="BG89:BQ89"/>
    <mergeCell ref="AF92:AH92"/>
    <mergeCell ref="AI92:AW92"/>
    <mergeCell ref="BG92:BI92"/>
    <mergeCell ref="BJ92:BX92"/>
    <mergeCell ref="DD89:DG89"/>
    <mergeCell ref="DH89:DR89"/>
    <mergeCell ref="AD90:AE90"/>
    <mergeCell ref="AF90:AH90"/>
    <mergeCell ref="AI90:AJ90"/>
    <mergeCell ref="AK90:AP90"/>
    <mergeCell ref="BE90:BF90"/>
    <mergeCell ref="BG90:BI90"/>
    <mergeCell ref="BJ90:BK90"/>
    <mergeCell ref="BL90:BQ90"/>
    <mergeCell ref="CE90:CF90"/>
    <mergeCell ref="CG90:CI90"/>
    <mergeCell ref="CJ90:CK90"/>
    <mergeCell ref="CL90:CQ90"/>
    <mergeCell ref="DF90:DG90"/>
    <mergeCell ref="DH90:DJ90"/>
    <mergeCell ref="DK90:DL90"/>
    <mergeCell ref="DM90:DR90"/>
    <mergeCell ref="AG93:AH93"/>
    <mergeCell ref="AI93:AQ93"/>
    <mergeCell ref="AR93:AS93"/>
    <mergeCell ref="AT93:AW93"/>
    <mergeCell ref="BH93:BI93"/>
    <mergeCell ref="BJ93:BR93"/>
    <mergeCell ref="GL93:GW93"/>
    <mergeCell ref="GX93:HG93"/>
    <mergeCell ref="HH93:HI93"/>
    <mergeCell ref="HJ93:HK93"/>
    <mergeCell ref="HL93:ID93"/>
    <mergeCell ref="EA96:EB96"/>
    <mergeCell ref="AT95:AV95"/>
    <mergeCell ref="AW95:BE95"/>
    <mergeCell ref="BU95:BW95"/>
    <mergeCell ref="BX95:CF95"/>
    <mergeCell ref="CU95:CW95"/>
    <mergeCell ref="CH93:CI93"/>
    <mergeCell ref="CJ93:CR93"/>
    <mergeCell ref="CS93:CT93"/>
    <mergeCell ref="CU93:CX93"/>
    <mergeCell ref="CX95:DF95"/>
    <mergeCell ref="DV95:DX95"/>
    <mergeCell ref="AU96:AV96"/>
    <mergeCell ref="AW96:AX96"/>
    <mergeCell ref="AY96:AZ96"/>
    <mergeCell ref="BA96:BD96"/>
    <mergeCell ref="IA95:IJ95"/>
    <mergeCell ref="DT93:DU93"/>
    <mergeCell ref="DV93:DY93"/>
    <mergeCell ref="EA92:EM93"/>
    <mergeCell ref="BS93:BT93"/>
    <mergeCell ref="BU93:BX93"/>
    <mergeCell ref="CJ92:CX92"/>
    <mergeCell ref="EC96:EF96"/>
    <mergeCell ref="CW98:CY98"/>
    <mergeCell ref="CZ98:DL98"/>
    <mergeCell ref="DX98:DZ98"/>
    <mergeCell ref="EA98:EM98"/>
    <mergeCell ref="EQ98:FB99"/>
    <mergeCell ref="FF98:FT99"/>
    <mergeCell ref="DY95:EG95"/>
    <mergeCell ref="BV96:BW96"/>
    <mergeCell ref="BX96:BY96"/>
    <mergeCell ref="BZ96:CA96"/>
    <mergeCell ref="CB96:CE96"/>
    <mergeCell ref="CV96:CW96"/>
    <mergeCell ref="CX96:CY96"/>
    <mergeCell ref="CZ96:DA96"/>
    <mergeCell ref="DB96:DE96"/>
    <mergeCell ref="DW96:DX96"/>
    <mergeCell ref="DY96:DZ96"/>
    <mergeCell ref="FX98:GJ99"/>
    <mergeCell ref="AX99:AY99"/>
    <mergeCell ref="AZ99:BD99"/>
    <mergeCell ref="BE99:BF99"/>
    <mergeCell ref="BG99:BJ99"/>
    <mergeCell ref="BY99:BZ99"/>
    <mergeCell ref="CA99:CE99"/>
    <mergeCell ref="CF99:CG99"/>
    <mergeCell ref="CH99:CK99"/>
    <mergeCell ref="CY99:CZ99"/>
    <mergeCell ref="DA99:DE99"/>
    <mergeCell ref="DF99:DG99"/>
    <mergeCell ref="DH99:DK99"/>
    <mergeCell ref="DZ99:EA99"/>
    <mergeCell ref="EB99:EF99"/>
    <mergeCell ref="EG99:EH99"/>
    <mergeCell ref="EI99:EL99"/>
    <mergeCell ref="AQ101:AR101"/>
    <mergeCell ref="AS101:AT101"/>
    <mergeCell ref="AX101:AY101"/>
    <mergeCell ref="AZ101:BA101"/>
    <mergeCell ref="BE101:BF101"/>
    <mergeCell ref="BG101:BH101"/>
    <mergeCell ref="BK101:BL101"/>
    <mergeCell ref="BM101:BN101"/>
    <mergeCell ref="CH101:CI101"/>
    <mergeCell ref="CL101:CM101"/>
    <mergeCell ref="CN101:CO101"/>
    <mergeCell ref="F98:Q99"/>
    <mergeCell ref="U98:AI99"/>
    <mergeCell ref="AV98:AX98"/>
    <mergeCell ref="AY98:BK98"/>
    <mergeCell ref="BW98:BY98"/>
    <mergeCell ref="BZ98:CL98"/>
    <mergeCell ref="KY101:KZ101"/>
    <mergeCell ref="LA101:LB101"/>
    <mergeCell ref="LF101:LG101"/>
    <mergeCell ref="BF102:BG102"/>
    <mergeCell ref="BH102:BM102"/>
    <mergeCell ref="BN102:BR102"/>
    <mergeCell ref="BS102:BT102"/>
    <mergeCell ref="BU102:CA102"/>
    <mergeCell ref="CB102:CF102"/>
    <mergeCell ref="CG102:CH102"/>
    <mergeCell ref="CI102:CM102"/>
    <mergeCell ref="CN102:CR102"/>
    <mergeCell ref="CS102:CT102"/>
    <mergeCell ref="CU102:DA102"/>
    <mergeCell ref="DB102:DF102"/>
    <mergeCell ref="BR101:BS101"/>
    <mergeCell ref="BT101:BU101"/>
    <mergeCell ref="BY101:BZ101"/>
    <mergeCell ref="CA101:CB101"/>
    <mergeCell ref="CF101:CG101"/>
    <mergeCell ref="EP64:ER64"/>
    <mergeCell ref="ES64:EY64"/>
    <mergeCell ref="EP65:EY65"/>
    <mergeCell ref="DG102:DH102"/>
    <mergeCell ref="DI102:DN102"/>
    <mergeCell ref="DO102:DS102"/>
    <mergeCell ref="DT102:DU102"/>
    <mergeCell ref="DV102:EB102"/>
    <mergeCell ref="EC102:EG102"/>
    <mergeCell ref="EH102:EI102"/>
    <mergeCell ref="EJ102:EO102"/>
    <mergeCell ref="EP102:ET102"/>
    <mergeCell ref="CR101:CS101"/>
    <mergeCell ref="CT101:CU101"/>
    <mergeCell ref="CY101:CZ101"/>
    <mergeCell ref="DA101:DB101"/>
    <mergeCell ref="DF101:DG101"/>
    <mergeCell ref="DH101:DI101"/>
    <mergeCell ref="DL101:DM101"/>
    <mergeCell ref="DN101:DO101"/>
    <mergeCell ref="DS101:DT101"/>
    <mergeCell ref="DU101:DV101"/>
    <mergeCell ref="DZ101:EA101"/>
    <mergeCell ref="EB101:EC101"/>
    <mergeCell ref="EG101:EH101"/>
    <mergeCell ref="EI101:EJ101"/>
    <mergeCell ref="EM101:EN101"/>
    <mergeCell ref="EO101:EP101"/>
    <mergeCell ref="DH92:DJ92"/>
    <mergeCell ref="DK92:DY92"/>
    <mergeCell ref="DI93:DJ93"/>
    <mergeCell ref="DK93:DS93"/>
    <mergeCell ref="DW51:DZ51"/>
    <mergeCell ref="EA51:FJ51"/>
    <mergeCell ref="CS18:CX18"/>
    <mergeCell ref="CY18:DQ18"/>
    <mergeCell ref="CS19:DB19"/>
    <mergeCell ref="DC19:DH19"/>
    <mergeCell ref="DI19:DL19"/>
    <mergeCell ref="DM19:DO19"/>
    <mergeCell ref="DP19:DQ19"/>
    <mergeCell ref="AL19:AU19"/>
    <mergeCell ref="AV19:BA19"/>
    <mergeCell ref="BB19:BE19"/>
    <mergeCell ref="BF19:BH19"/>
    <mergeCell ref="BI19:BJ19"/>
    <mergeCell ref="BH23:BM23"/>
    <mergeCell ref="BN23:CF23"/>
    <mergeCell ref="BH24:BQ24"/>
    <mergeCell ref="BR24:BW24"/>
    <mergeCell ref="BX24:CA24"/>
    <mergeCell ref="CB24:CD24"/>
    <mergeCell ref="CE24:CF24"/>
    <mergeCell ref="CO43:CR43"/>
    <mergeCell ref="CS43:DP43"/>
    <mergeCell ref="CO44:CT44"/>
    <mergeCell ref="CU44:DN44"/>
    <mergeCell ref="DL48:DQ48"/>
    <mergeCell ref="DR48:EA48"/>
    <mergeCell ref="EB48:EY48"/>
    <mergeCell ref="DR49:EO49"/>
    <mergeCell ref="DD34:DH34"/>
    <mergeCell ref="DI34:DL34"/>
    <mergeCell ref="EA34:EE34"/>
    <mergeCell ref="GO65:GX65"/>
    <mergeCell ref="DW52:EB52"/>
    <mergeCell ref="EC52:EL52"/>
    <mergeCell ref="EM52:FJ52"/>
    <mergeCell ref="EC53:EZ53"/>
    <mergeCell ref="FA64:FC64"/>
    <mergeCell ref="FD64:FJ64"/>
    <mergeCell ref="FA65:FJ65"/>
    <mergeCell ref="CG23:CL23"/>
    <mergeCell ref="CM23:DE23"/>
    <mergeCell ref="CG24:CP24"/>
    <mergeCell ref="CQ24:CV24"/>
    <mergeCell ref="CW24:CZ24"/>
    <mergeCell ref="DA24:DC24"/>
    <mergeCell ref="DD24:DE24"/>
    <mergeCell ref="EK55:EN55"/>
    <mergeCell ref="EO55:FX55"/>
    <mergeCell ref="EK56:EP56"/>
    <mergeCell ref="EQ56:EZ56"/>
    <mergeCell ref="FA56:FX56"/>
    <mergeCell ref="EQ57:FN57"/>
    <mergeCell ref="FO64:FQ64"/>
    <mergeCell ref="FR64:FX64"/>
    <mergeCell ref="FO65:FX65"/>
    <mergeCell ref="EW59:EZ59"/>
    <mergeCell ref="DO44:DP44"/>
    <mergeCell ref="CU45:CV45"/>
    <mergeCell ref="CW64:CY64"/>
    <mergeCell ref="CZ64:DR64"/>
    <mergeCell ref="CW65:DR65"/>
    <mergeCell ref="DL47:DO47"/>
    <mergeCell ref="DP47:EY47"/>
    <mergeCell ref="FR66:HB67"/>
    <mergeCell ref="DM14:EC15"/>
    <mergeCell ref="ED18:EI18"/>
    <mergeCell ref="EJ18:FB18"/>
    <mergeCell ref="ED19:EM19"/>
    <mergeCell ref="EN19:ES19"/>
    <mergeCell ref="ET19:EW19"/>
    <mergeCell ref="EX19:EZ19"/>
    <mergeCell ref="FA19:FB19"/>
    <mergeCell ref="GY64:HC65"/>
    <mergeCell ref="GH47:GK47"/>
    <mergeCell ref="GL47:HO47"/>
    <mergeCell ref="GH48:GM48"/>
    <mergeCell ref="GN48:GW48"/>
    <mergeCell ref="GX48:HO48"/>
    <mergeCell ref="GN49:HE49"/>
    <mergeCell ref="GS51:GV51"/>
    <mergeCell ref="GW51:HZ51"/>
    <mergeCell ref="GS52:GX52"/>
    <mergeCell ref="GY52:HH52"/>
    <mergeCell ref="HI52:HZ52"/>
    <mergeCell ref="GY53:HP53"/>
    <mergeCell ref="HF64:HH64"/>
    <mergeCell ref="HI64:HO64"/>
    <mergeCell ref="FA59:GJ59"/>
    <mergeCell ref="EW60:FB60"/>
    <mergeCell ref="FC60:FL60"/>
    <mergeCell ref="FM60:GJ60"/>
    <mergeCell ref="FC61:FZ61"/>
    <mergeCell ref="GA64:GC64"/>
    <mergeCell ref="GD64:GJ64"/>
    <mergeCell ref="GA65:GJ65"/>
    <mergeCell ref="HF65:HO65"/>
    <mergeCell ref="HQ64:HS64"/>
    <mergeCell ref="HT64:HZ64"/>
    <mergeCell ref="HQ65:HZ65"/>
    <mergeCell ref="HD55:HG55"/>
    <mergeCell ref="HH55:IK55"/>
    <mergeCell ref="HD56:HI56"/>
    <mergeCell ref="HJ56:HS56"/>
    <mergeCell ref="HT56:IK56"/>
    <mergeCell ref="HJ57:IA57"/>
    <mergeCell ref="HO59:HR59"/>
    <mergeCell ref="HS59:IV59"/>
    <mergeCell ref="HO60:HT60"/>
    <mergeCell ref="HU60:ID60"/>
    <mergeCell ref="IE60:IV60"/>
    <mergeCell ref="HU61:IL61"/>
    <mergeCell ref="IB65:IK65"/>
    <mergeCell ref="IM65:IV65"/>
    <mergeCell ref="HN63:MC63"/>
    <mergeCell ref="CF63:HM63"/>
    <mergeCell ref="IM64:IO64"/>
    <mergeCell ref="IP64:IV64"/>
    <mergeCell ref="IX64:IZ64"/>
    <mergeCell ref="JA64:JG64"/>
    <mergeCell ref="JO64:JQ64"/>
    <mergeCell ref="JR64:JX64"/>
    <mergeCell ref="GO64:GQ64"/>
    <mergeCell ref="GR64:GX64"/>
    <mergeCell ref="JU60:JZ60"/>
    <mergeCell ref="KA60:KJ60"/>
    <mergeCell ref="KK60:LH60"/>
    <mergeCell ref="KA61:KX61"/>
    <mergeCell ref="EZ10:FE10"/>
    <mergeCell ref="FF10:FX10"/>
    <mergeCell ref="EZ11:FI11"/>
    <mergeCell ref="FJ11:FO11"/>
    <mergeCell ref="FP11:FS11"/>
    <mergeCell ref="FT11:FV11"/>
    <mergeCell ref="FW11:FX11"/>
    <mergeCell ref="FK18:FP18"/>
    <mergeCell ref="FQ18:GI18"/>
    <mergeCell ref="HZ43:IC43"/>
    <mergeCell ref="ID43:JG43"/>
    <mergeCell ref="HZ44:IE44"/>
    <mergeCell ref="IF44:IO44"/>
    <mergeCell ref="IP44:JG44"/>
    <mergeCell ref="IF45:IW45"/>
    <mergeCell ref="EO23:ET23"/>
    <mergeCell ref="EU23:FM23"/>
    <mergeCell ref="EO24:EX24"/>
    <mergeCell ref="EY24:FD24"/>
    <mergeCell ref="FE24:FH24"/>
    <mergeCell ref="FI24:FK24"/>
    <mergeCell ref="FL24:FM24"/>
    <mergeCell ref="CL37:HB37"/>
    <mergeCell ref="CL31:HB31"/>
    <mergeCell ref="DG23:DL23"/>
    <mergeCell ref="DM23:EE23"/>
    <mergeCell ref="DG24:DP24"/>
    <mergeCell ref="DQ24:DV24"/>
    <mergeCell ref="DW24:DZ24"/>
    <mergeCell ref="EA24:EC24"/>
    <mergeCell ref="ED24:EE24"/>
    <mergeCell ref="FK43:FN43"/>
    <mergeCell ref="FK19:FT19"/>
    <mergeCell ref="FU19:FZ19"/>
    <mergeCell ref="GA19:GD19"/>
    <mergeCell ref="GE19:GG19"/>
    <mergeCell ref="GH19:GI19"/>
    <mergeCell ref="FV22:GA22"/>
    <mergeCell ref="GB22:GT22"/>
    <mergeCell ref="FV23:GE23"/>
    <mergeCell ref="GF23:GK23"/>
    <mergeCell ref="GL23:GO23"/>
    <mergeCell ref="GP23:GR23"/>
    <mergeCell ref="GS23:GT23"/>
    <mergeCell ref="FO43:GX43"/>
    <mergeCell ref="FK44:FP44"/>
    <mergeCell ref="FQ44:FZ44"/>
    <mergeCell ref="GA44:GX44"/>
    <mergeCell ref="FQ45:GN45"/>
    <mergeCell ref="BZ42:HN42"/>
    <mergeCell ref="CI19:CL19"/>
    <mergeCell ref="CM19:CO19"/>
    <mergeCell ref="CP19:CQ19"/>
    <mergeCell ref="EF34:EO34"/>
    <mergeCell ref="DM38:DO38"/>
    <mergeCell ref="DM39:EJ39"/>
    <mergeCell ref="DP38:EJ38"/>
    <mergeCell ref="HO42:MC42"/>
    <mergeCell ref="FD38:FF38"/>
    <mergeCell ref="FD39:GM39"/>
    <mergeCell ref="FG38:GM38"/>
    <mergeCell ref="IX65:JG65"/>
    <mergeCell ref="JH64:JL65"/>
    <mergeCell ref="GG10:GL10"/>
    <mergeCell ref="GM10:HE10"/>
    <mergeCell ref="GG11:GP11"/>
    <mergeCell ref="GQ11:GV11"/>
    <mergeCell ref="GW11:GZ11"/>
    <mergeCell ref="HA11:HC11"/>
    <mergeCell ref="HD11:HE11"/>
    <mergeCell ref="GS18:GX18"/>
    <mergeCell ref="GY18:HQ18"/>
    <mergeCell ref="GS19:HB19"/>
    <mergeCell ref="HC19:HH19"/>
    <mergeCell ref="HI19:HL19"/>
    <mergeCell ref="HM19:HO19"/>
    <mergeCell ref="HP19:HQ19"/>
    <mergeCell ref="HE22:HJ22"/>
    <mergeCell ref="HK22:IC22"/>
    <mergeCell ref="HE23:HN23"/>
    <mergeCell ref="HO23:HT23"/>
    <mergeCell ref="HU23:HX23"/>
    <mergeCell ref="HY23:IA23"/>
    <mergeCell ref="IB23:IC23"/>
    <mergeCell ref="HQ10:HV10"/>
    <mergeCell ref="IK47:IN47"/>
    <mergeCell ref="IO47:JX47"/>
    <mergeCell ref="IK48:IP48"/>
    <mergeCell ref="IQ48:IZ48"/>
    <mergeCell ref="KA65:KJ65"/>
    <mergeCell ref="KM64:KO64"/>
    <mergeCell ref="KP64:KV64"/>
    <mergeCell ref="KM65:KV65"/>
    <mergeCell ref="KY64:LA64"/>
    <mergeCell ref="LB64:LH64"/>
    <mergeCell ref="KY65:LH65"/>
    <mergeCell ref="LK64:LM64"/>
    <mergeCell ref="LN64:LT64"/>
    <mergeCell ref="LK65:LT65"/>
    <mergeCell ref="JO65:JX65"/>
    <mergeCell ref="IW51:IZ51"/>
    <mergeCell ref="JA51:KJ51"/>
    <mergeCell ref="IW52:JB52"/>
    <mergeCell ref="JC52:JL52"/>
    <mergeCell ref="JM52:KJ52"/>
    <mergeCell ref="JC53:JZ53"/>
    <mergeCell ref="JI55:JL55"/>
    <mergeCell ref="JM55:KV55"/>
    <mergeCell ref="JI56:JN56"/>
    <mergeCell ref="JO56:JX56"/>
    <mergeCell ref="JY56:KV56"/>
    <mergeCell ref="JO57:KL57"/>
    <mergeCell ref="JU59:JX59"/>
    <mergeCell ref="JY59:LH59"/>
    <mergeCell ref="OU101:OV101"/>
    <mergeCell ref="OW101:PC101"/>
    <mergeCell ref="PD101:PE101"/>
    <mergeCell ref="PE102:PM102"/>
    <mergeCell ref="PR98:QF99"/>
    <mergeCell ref="QJ98:QV99"/>
    <mergeCell ref="HW10:IO10"/>
    <mergeCell ref="HQ11:HZ11"/>
    <mergeCell ref="IA11:IF11"/>
    <mergeCell ref="IG11:IJ11"/>
    <mergeCell ref="IK11:IM11"/>
    <mergeCell ref="IN11:IO11"/>
    <mergeCell ref="IC18:IH18"/>
    <mergeCell ref="II18:JA18"/>
    <mergeCell ref="IC19:IL19"/>
    <mergeCell ref="IM19:IR19"/>
    <mergeCell ref="IS19:IV19"/>
    <mergeCell ref="IW19:IY19"/>
    <mergeCell ref="IZ19:JA19"/>
    <mergeCell ref="IJ14:IZ15"/>
    <mergeCell ref="KG43:KJ43"/>
    <mergeCell ref="KK43:LT43"/>
    <mergeCell ref="KG44:KL44"/>
    <mergeCell ref="KM44:KV44"/>
    <mergeCell ref="KW44:LT44"/>
    <mergeCell ref="JA48:JX48"/>
    <mergeCell ref="IQ49:JN49"/>
    <mergeCell ref="IB64:ID64"/>
    <mergeCell ref="IE64:IK64"/>
    <mergeCell ref="KM45:LJ45"/>
    <mergeCell ref="KA64:KC64"/>
    <mergeCell ref="KD64:KJ64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5546875" defaultRowHeight="14.4"/>
  <cols>
    <col min="1" max="1" width="10.44140625" style="209" customWidth="1"/>
    <col min="2" max="2" width="34.5546875" style="209" customWidth="1"/>
    <col min="3" max="3" width="13.44140625" style="211" hidden="1" customWidth="1"/>
    <col min="4" max="4" width="12.5546875" style="211" hidden="1" customWidth="1"/>
    <col min="5" max="6" width="11.44140625" style="211" hidden="1" customWidth="1"/>
    <col min="7" max="7" width="11" style="209" hidden="1" customWidth="1"/>
    <col min="8" max="10" width="13.5546875" style="209" hidden="1" customWidth="1"/>
    <col min="11" max="12" width="11.44140625" style="211" hidden="1" customWidth="1"/>
    <col min="13" max="13" width="11" style="209" hidden="1" customWidth="1"/>
    <col min="14" max="14" width="13.5546875" style="209" hidden="1" customWidth="1"/>
    <col min="15" max="16" width="13.5546875" style="209" customWidth="1"/>
    <col min="17" max="18" width="11.44140625" style="211" customWidth="1"/>
    <col min="19" max="19" width="11" style="209" customWidth="1"/>
    <col min="20" max="22" width="13.5546875" style="209" customWidth="1"/>
    <col min="23" max="24" width="11.44140625" style="211" customWidth="1"/>
    <col min="25" max="25" width="11" style="209" customWidth="1"/>
    <col min="26" max="28" width="13.5546875" style="209" customWidth="1"/>
    <col min="29" max="30" width="11.44140625" style="211" customWidth="1"/>
    <col min="31" max="31" width="11" style="209" customWidth="1"/>
    <col min="32" max="34" width="13.5546875" style="209" customWidth="1"/>
    <col min="35" max="36" width="11.44140625" style="211" customWidth="1"/>
    <col min="37" max="37" width="11" style="209" customWidth="1"/>
    <col min="38" max="40" width="13.5546875" style="209" customWidth="1"/>
    <col min="41" max="42" width="11.44140625" style="211" customWidth="1"/>
    <col min="43" max="43" width="11" style="209" customWidth="1"/>
    <col min="44" max="46" width="13.5546875" style="209" customWidth="1"/>
    <col min="47" max="48" width="11.44140625" style="211" customWidth="1"/>
    <col min="49" max="49" width="11" style="209" customWidth="1"/>
    <col min="50" max="52" width="13.5546875" style="209" customWidth="1"/>
    <col min="53" max="54" width="11.44140625" style="211" customWidth="1"/>
    <col min="55" max="55" width="11" style="209" customWidth="1"/>
    <col min="56" max="58" width="13.5546875" style="209" customWidth="1"/>
    <col min="59" max="60" width="11.44140625" style="211" customWidth="1"/>
    <col min="61" max="61" width="11" style="209" customWidth="1"/>
    <col min="62" max="65" width="13.5546875" style="209" customWidth="1"/>
    <col min="66" max="67" width="11.44140625" style="211" customWidth="1"/>
    <col min="68" max="68" width="11" style="209" customWidth="1"/>
    <col min="69" max="71" width="13.5546875" style="209" customWidth="1"/>
    <col min="72" max="73" width="11.44140625" style="211" customWidth="1"/>
    <col min="74" max="74" width="11" style="209" customWidth="1"/>
    <col min="75" max="77" width="13.5546875" style="209" customWidth="1"/>
    <col min="78" max="79" width="11.44140625" style="211" customWidth="1"/>
    <col min="80" max="80" width="11" style="209" customWidth="1"/>
    <col min="81" max="83" width="13.5546875" style="209" customWidth="1"/>
    <col min="84" max="85" width="8.5546875" style="209"/>
    <col min="86" max="89" width="11.44140625" style="211" customWidth="1"/>
    <col min="90" max="16384" width="8.5546875" style="209"/>
  </cols>
  <sheetData>
    <row r="1" spans="1:93" ht="14.85" hidden="1" customHeight="1">
      <c r="C1" s="210" t="s">
        <v>90</v>
      </c>
      <c r="D1" s="210"/>
      <c r="H1" s="209" t="s">
        <v>77</v>
      </c>
      <c r="N1" s="209" t="s">
        <v>77</v>
      </c>
      <c r="T1" s="209" t="s">
        <v>77</v>
      </c>
      <c r="Z1" s="209" t="s">
        <v>77</v>
      </c>
      <c r="AF1" s="209" t="s">
        <v>77</v>
      </c>
      <c r="AL1" s="209" t="s">
        <v>77</v>
      </c>
      <c r="AR1" s="209" t="s">
        <v>77</v>
      </c>
      <c r="AX1" s="209" t="s">
        <v>77</v>
      </c>
      <c r="BD1" s="209" t="s">
        <v>77</v>
      </c>
      <c r="BJ1" s="209" t="s">
        <v>77</v>
      </c>
      <c r="BQ1" s="209" t="s">
        <v>77</v>
      </c>
      <c r="BW1" s="209" t="s">
        <v>77</v>
      </c>
      <c r="CC1" s="209" t="s">
        <v>77</v>
      </c>
    </row>
    <row r="2" spans="1:93" ht="15" thickBot="1">
      <c r="C2" s="209"/>
      <c r="D2" s="209"/>
      <c r="G2" s="221" t="s">
        <v>277</v>
      </c>
      <c r="M2" s="221" t="s">
        <v>278</v>
      </c>
      <c r="S2" s="221" t="s">
        <v>279</v>
      </c>
      <c r="Y2" s="221" t="s">
        <v>280</v>
      </c>
      <c r="AE2" s="221" t="s">
        <v>281</v>
      </c>
      <c r="AK2" s="221" t="s">
        <v>282</v>
      </c>
      <c r="AQ2" s="221" t="s">
        <v>283</v>
      </c>
      <c r="AW2" s="221" t="s">
        <v>284</v>
      </c>
      <c r="BC2" s="221" t="s">
        <v>285</v>
      </c>
      <c r="BI2" s="221" t="s">
        <v>286</v>
      </c>
      <c r="BP2" s="211">
        <v>1</v>
      </c>
      <c r="BQ2" s="211"/>
      <c r="BR2" s="211"/>
      <c r="BS2" s="211"/>
      <c r="BV2" s="211">
        <v>1</v>
      </c>
      <c r="BW2" s="211"/>
      <c r="BX2" s="211"/>
      <c r="BY2" s="211"/>
      <c r="CB2" s="211">
        <v>1</v>
      </c>
      <c r="CO2" s="209" t="s">
        <v>231</v>
      </c>
    </row>
    <row r="3" spans="1:93" ht="24" customHeight="1" thickBot="1">
      <c r="A3" s="2521" t="s">
        <v>74</v>
      </c>
      <c r="B3" s="2523" t="s">
        <v>180</v>
      </c>
      <c r="C3" s="2518">
        <v>43328</v>
      </c>
      <c r="D3" s="2520"/>
      <c r="E3" s="2518">
        <f>C3+1</f>
        <v>43329</v>
      </c>
      <c r="F3" s="2519"/>
      <c r="G3" s="2519"/>
      <c r="H3" s="2519"/>
      <c r="I3" s="2519"/>
      <c r="J3" s="2520"/>
      <c r="K3" s="2518">
        <f>E3+1</f>
        <v>43330</v>
      </c>
      <c r="L3" s="2519"/>
      <c r="M3" s="2519"/>
      <c r="N3" s="2519"/>
      <c r="O3" s="2519"/>
      <c r="P3" s="2520"/>
      <c r="Q3" s="2518">
        <f>K3+1</f>
        <v>43331</v>
      </c>
      <c r="R3" s="2519"/>
      <c r="S3" s="2519"/>
      <c r="T3" s="2519"/>
      <c r="U3" s="2519"/>
      <c r="V3" s="2520"/>
      <c r="W3" s="2518">
        <f>Q3+1</f>
        <v>43332</v>
      </c>
      <c r="X3" s="2519"/>
      <c r="Y3" s="2519"/>
      <c r="Z3" s="2519"/>
      <c r="AA3" s="2519"/>
      <c r="AB3" s="2520"/>
      <c r="AC3" s="2518">
        <f>W3+1</f>
        <v>43333</v>
      </c>
      <c r="AD3" s="2519"/>
      <c r="AE3" s="2519"/>
      <c r="AF3" s="2519"/>
      <c r="AG3" s="2519"/>
      <c r="AH3" s="2520"/>
      <c r="AI3" s="2518">
        <f>AC3+1</f>
        <v>43334</v>
      </c>
      <c r="AJ3" s="2519"/>
      <c r="AK3" s="2519"/>
      <c r="AL3" s="2519"/>
      <c r="AM3" s="2519"/>
      <c r="AN3" s="2520"/>
      <c r="AO3" s="2518">
        <f>AI3+1</f>
        <v>43335</v>
      </c>
      <c r="AP3" s="2519"/>
      <c r="AQ3" s="2519"/>
      <c r="AR3" s="2519"/>
      <c r="AS3" s="2519"/>
      <c r="AT3" s="2520"/>
      <c r="AU3" s="2518">
        <f>AO3+1</f>
        <v>43336</v>
      </c>
      <c r="AV3" s="2519"/>
      <c r="AW3" s="2519"/>
      <c r="AX3" s="2519"/>
      <c r="AY3" s="2519"/>
      <c r="AZ3" s="2520"/>
      <c r="BA3" s="2518">
        <f>AU3+1</f>
        <v>43337</v>
      </c>
      <c r="BB3" s="2519"/>
      <c r="BC3" s="2519"/>
      <c r="BD3" s="2519"/>
      <c r="BE3" s="2519"/>
      <c r="BF3" s="2520"/>
      <c r="BG3" s="2518">
        <f>BA3+1</f>
        <v>43338</v>
      </c>
      <c r="BH3" s="2519"/>
      <c r="BI3" s="2519"/>
      <c r="BJ3" s="2519"/>
      <c r="BK3" s="2519"/>
      <c r="BL3" s="2519"/>
      <c r="BM3" s="2520"/>
      <c r="BN3" s="2518" t="s">
        <v>232</v>
      </c>
      <c r="BO3" s="2519"/>
      <c r="BP3" s="2519"/>
      <c r="BQ3" s="2519"/>
      <c r="BR3" s="2519"/>
      <c r="BS3" s="2520"/>
      <c r="BT3" s="2518" t="s">
        <v>233</v>
      </c>
      <c r="BU3" s="2519"/>
      <c r="BV3" s="2519"/>
      <c r="BW3" s="2519"/>
      <c r="BX3" s="2519"/>
      <c r="BY3" s="2520"/>
      <c r="BZ3" s="2518" t="s">
        <v>234</v>
      </c>
      <c r="CA3" s="2519"/>
      <c r="CB3" s="2519"/>
      <c r="CC3" s="2519"/>
      <c r="CD3" s="2519"/>
      <c r="CE3" s="2520"/>
      <c r="CH3" s="2518" t="s">
        <v>254</v>
      </c>
      <c r="CI3" s="2519"/>
      <c r="CJ3" s="2518" t="s">
        <v>255</v>
      </c>
      <c r="CK3" s="2519"/>
    </row>
    <row r="4" spans="1:93" ht="24" customHeight="1">
      <c r="A4" s="2522"/>
      <c r="B4" s="2524"/>
      <c r="C4" s="241" t="s">
        <v>216</v>
      </c>
      <c r="D4" s="246" t="s">
        <v>237</v>
      </c>
      <c r="E4" s="241" t="s">
        <v>238</v>
      </c>
      <c r="F4" s="251" t="s">
        <v>215</v>
      </c>
      <c r="G4" s="251" t="s">
        <v>214</v>
      </c>
      <c r="H4" s="251" t="s">
        <v>182</v>
      </c>
      <c r="I4" s="251" t="s">
        <v>239</v>
      </c>
      <c r="J4" s="242" t="s">
        <v>237</v>
      </c>
      <c r="K4" s="241" t="s">
        <v>181</v>
      </c>
      <c r="L4" s="251" t="s">
        <v>215</v>
      </c>
      <c r="M4" s="251" t="s">
        <v>214</v>
      </c>
      <c r="N4" s="251" t="s">
        <v>182</v>
      </c>
      <c r="O4" s="251" t="s">
        <v>239</v>
      </c>
      <c r="P4" s="242" t="s">
        <v>237</v>
      </c>
      <c r="Q4" s="241" t="s">
        <v>181</v>
      </c>
      <c r="R4" s="251" t="s">
        <v>215</v>
      </c>
      <c r="S4" s="251" t="s">
        <v>214</v>
      </c>
      <c r="T4" s="251" t="s">
        <v>182</v>
      </c>
      <c r="U4" s="251" t="s">
        <v>239</v>
      </c>
      <c r="V4" s="242" t="s">
        <v>237</v>
      </c>
      <c r="W4" s="241" t="s">
        <v>181</v>
      </c>
      <c r="X4" s="251" t="s">
        <v>215</v>
      </c>
      <c r="Y4" s="251" t="s">
        <v>214</v>
      </c>
      <c r="Z4" s="251" t="s">
        <v>182</v>
      </c>
      <c r="AA4" s="251" t="s">
        <v>239</v>
      </c>
      <c r="AB4" s="242" t="s">
        <v>237</v>
      </c>
      <c r="AC4" s="241" t="s">
        <v>181</v>
      </c>
      <c r="AD4" s="251" t="s">
        <v>215</v>
      </c>
      <c r="AE4" s="251" t="s">
        <v>214</v>
      </c>
      <c r="AF4" s="251" t="s">
        <v>182</v>
      </c>
      <c r="AG4" s="251" t="s">
        <v>239</v>
      </c>
      <c r="AH4" s="242" t="s">
        <v>237</v>
      </c>
      <c r="AI4" s="241" t="s">
        <v>181</v>
      </c>
      <c r="AJ4" s="251" t="s">
        <v>215</v>
      </c>
      <c r="AK4" s="251" t="s">
        <v>214</v>
      </c>
      <c r="AL4" s="251" t="s">
        <v>182</v>
      </c>
      <c r="AM4" s="251" t="s">
        <v>239</v>
      </c>
      <c r="AN4" s="242" t="s">
        <v>237</v>
      </c>
      <c r="AO4" s="241" t="s">
        <v>181</v>
      </c>
      <c r="AP4" s="251" t="s">
        <v>215</v>
      </c>
      <c r="AQ4" s="251" t="s">
        <v>214</v>
      </c>
      <c r="AR4" s="251" t="s">
        <v>182</v>
      </c>
      <c r="AS4" s="251" t="s">
        <v>239</v>
      </c>
      <c r="AT4" s="242" t="s">
        <v>237</v>
      </c>
      <c r="AU4" s="241" t="s">
        <v>181</v>
      </c>
      <c r="AV4" s="251" t="s">
        <v>215</v>
      </c>
      <c r="AW4" s="251" t="s">
        <v>214</v>
      </c>
      <c r="AX4" s="251" t="s">
        <v>182</v>
      </c>
      <c r="AY4" s="251" t="s">
        <v>239</v>
      </c>
      <c r="AZ4" s="242" t="s">
        <v>237</v>
      </c>
      <c r="BA4" s="241" t="s">
        <v>181</v>
      </c>
      <c r="BB4" s="251" t="s">
        <v>215</v>
      </c>
      <c r="BC4" s="251" t="s">
        <v>214</v>
      </c>
      <c r="BD4" s="251" t="s">
        <v>182</v>
      </c>
      <c r="BE4" s="251" t="s">
        <v>239</v>
      </c>
      <c r="BF4" s="242" t="s">
        <v>237</v>
      </c>
      <c r="BG4" s="241" t="s">
        <v>181</v>
      </c>
      <c r="BH4" s="251" t="s">
        <v>215</v>
      </c>
      <c r="BI4" s="251" t="s">
        <v>214</v>
      </c>
      <c r="BJ4" s="251" t="s">
        <v>182</v>
      </c>
      <c r="BK4" s="251" t="s">
        <v>256</v>
      </c>
      <c r="BL4" s="251" t="s">
        <v>239</v>
      </c>
      <c r="BM4" s="242" t="s">
        <v>237</v>
      </c>
      <c r="BN4" s="241" t="s">
        <v>181</v>
      </c>
      <c r="BO4" s="251" t="s">
        <v>215</v>
      </c>
      <c r="BP4" s="251" t="s">
        <v>214</v>
      </c>
      <c r="BQ4" s="251" t="s">
        <v>182</v>
      </c>
      <c r="BR4" s="251" t="s">
        <v>239</v>
      </c>
      <c r="BS4" s="242" t="s">
        <v>237</v>
      </c>
      <c r="BT4" s="241" t="s">
        <v>181</v>
      </c>
      <c r="BU4" s="251" t="s">
        <v>215</v>
      </c>
      <c r="BV4" s="251" t="s">
        <v>214</v>
      </c>
      <c r="BW4" s="251" t="s">
        <v>182</v>
      </c>
      <c r="BX4" s="251" t="s">
        <v>239</v>
      </c>
      <c r="BY4" s="242" t="s">
        <v>237</v>
      </c>
      <c r="BZ4" s="241" t="s">
        <v>181</v>
      </c>
      <c r="CA4" s="251" t="s">
        <v>215</v>
      </c>
      <c r="CB4" s="251" t="s">
        <v>214</v>
      </c>
      <c r="CC4" s="251" t="s">
        <v>182</v>
      </c>
      <c r="CD4" s="251" t="s">
        <v>239</v>
      </c>
      <c r="CE4" s="242" t="s">
        <v>237</v>
      </c>
      <c r="CH4" s="241" t="s">
        <v>181</v>
      </c>
      <c r="CI4" s="251" t="s">
        <v>215</v>
      </c>
      <c r="CJ4" s="241" t="s">
        <v>181</v>
      </c>
      <c r="CK4" s="251" t="s">
        <v>215</v>
      </c>
    </row>
    <row r="5" spans="1:93" ht="24" customHeight="1">
      <c r="A5" s="162" t="s">
        <v>19</v>
      </c>
      <c r="B5" s="162" t="s">
        <v>171</v>
      </c>
      <c r="C5" s="243" t="e">
        <f>INDEX('файл остатки'!$A$5:$CX$265,MATCH($C$1,'файл остатки'!$A$5:$A$228,0),MATCH(B5,'файл остатки'!$A$5:$CX$5,0))</f>
        <v>#N/A</v>
      </c>
      <c r="D5" s="247"/>
      <c r="E5" s="216"/>
      <c r="F5" s="207" t="s">
        <v>217</v>
      </c>
      <c r="G5" s="233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2" t="e">
        <f>INDEX('файл остатки'!$A$5:$CX$265,MATCH($H$1,'файл остатки'!$A$5:$A$228,0),MATCH($B5,'файл остатки'!$A$5:$CX$5,0))</f>
        <v>#N/A</v>
      </c>
      <c r="I5" s="240" t="e">
        <f>IF(E$3='файл остатки'!$B$1,INDEX('файл остатки'!$A$5:$CX$265,MATCH($C$1,'файл остатки'!$A$5:$A$228,0),MATCH($B5,'файл остатки'!$A$5:$CX$5,0)),C5+D5-E5-G5)</f>
        <v>#N/A</v>
      </c>
      <c r="J5" s="217"/>
      <c r="K5" s="216">
        <v>-220</v>
      </c>
      <c r="L5" s="207" t="s">
        <v>217</v>
      </c>
      <c r="M5" s="233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2" t="e">
        <f>INDEX('файл остатки'!$A$5:$CX$265,MATCH($H$1,'файл остатки'!$A$5:$A$228,0),MATCH($B5,'файл остатки'!$A$5:$CX$5,0))</f>
        <v>#N/A</v>
      </c>
      <c r="O5" s="240" t="e">
        <f>IF(K$3='файл остатки'!$B$1,INDEX('файл остатки'!$A$5:$CX$265,MATCH($C$1,'файл остатки'!$A$5:$A$228,0),MATCH($B5,'файл остатки'!$A$5:$CX$5,0)),I5+J5-K5-M5)</f>
        <v>#N/A</v>
      </c>
      <c r="P5" s="217"/>
      <c r="Q5" s="216">
        <v>-176</v>
      </c>
      <c r="R5" s="207" t="s">
        <v>217</v>
      </c>
      <c r="S5" s="233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2" t="e">
        <f>INDEX('файл остатки'!$A$5:$CX$265,MATCH($H$1,'файл остатки'!$A$5:$A$228,0),MATCH($B5,'файл остатки'!$A$5:$CX$5,0))</f>
        <v>#N/A</v>
      </c>
      <c r="U5" s="240" t="e">
        <f>IF(Q$3='файл остатки'!$B$1,INDEX('файл остатки'!$A$5:$CX$265,MATCH($C$1,'файл остатки'!$A$5:$A$228,0),MATCH($B5,'файл остатки'!$A$5:$CX$5,0)),O5+P5-Q5-S5)</f>
        <v>#N/A</v>
      </c>
      <c r="V5" s="217"/>
      <c r="W5" s="216"/>
      <c r="X5" s="207" t="s">
        <v>217</v>
      </c>
      <c r="Y5" s="233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2" t="e">
        <f>INDEX('файл остатки'!$A$5:$CX$265,MATCH($H$1,'файл остатки'!$A$5:$A$228,0),MATCH($B5,'файл остатки'!$A$5:$CX$5,0))</f>
        <v>#N/A</v>
      </c>
      <c r="AA5" s="240" t="e">
        <f>IF(W$3='файл остатки'!$B$1,INDEX('файл остатки'!$A$5:$CX$265,MATCH($C$1,'файл остатки'!$A$5:$A$228,0),MATCH($B5,'файл остатки'!$A$5:$CX$5,0)),U5+V5-W5-Y5)</f>
        <v>#N/A</v>
      </c>
      <c r="AB5" s="217"/>
      <c r="AC5" s="216">
        <v>-214.66666666666669</v>
      </c>
      <c r="AD5" s="207" t="s">
        <v>217</v>
      </c>
      <c r="AE5" s="233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2" t="e">
        <f>INDEX('файл остатки'!$A$5:$CX$265,MATCH($H$1,'файл остатки'!$A$5:$A$228,0),MATCH($B5,'файл остатки'!$A$5:$CX$5,0))</f>
        <v>#N/A</v>
      </c>
      <c r="AG5" s="240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7"/>
      <c r="AI5" s="216">
        <v>-154.16666666666669</v>
      </c>
      <c r="AJ5" s="207" t="s">
        <v>217</v>
      </c>
      <c r="AK5" s="233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2" t="e">
        <f>INDEX('файл остатки'!$A$5:$CX$265,MATCH($H$1,'файл остатки'!$A$5:$A$228,0),MATCH($B5,'файл остатки'!$A$5:$CX$5,0))</f>
        <v>#N/A</v>
      </c>
      <c r="AM5" s="240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7"/>
      <c r="AO5" s="216"/>
      <c r="AP5" s="207" t="s">
        <v>217</v>
      </c>
      <c r="AQ5" s="233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2" t="e">
        <f>INDEX('файл остатки'!$A$5:$CX$265,MATCH($H$1,'файл остатки'!$A$5:$A$228,0),MATCH($B5,'файл остатки'!$A$5:$CX$5,0))</f>
        <v>#N/A</v>
      </c>
      <c r="AS5" s="240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7"/>
      <c r="AU5" s="216"/>
      <c r="AV5" s="207" t="s">
        <v>217</v>
      </c>
      <c r="AW5" s="233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2" t="e">
        <f>INDEX('файл остатки'!$A$5:$CX$265,MATCH($H$1,'файл остатки'!$A$5:$A$228,0),MATCH($B5,'файл остатки'!$A$5:$CX$5,0))</f>
        <v>#N/A</v>
      </c>
      <c r="AY5" s="240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7"/>
      <c r="BA5" s="216">
        <v>-299</v>
      </c>
      <c r="BB5" s="207" t="s">
        <v>217</v>
      </c>
      <c r="BC5" s="233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2" t="e">
        <f>INDEX('файл остатки'!$A$5:$CX$265,MATCH($H$1,'файл остатки'!$A$5:$A$228,0),MATCH($B5,'файл остатки'!$A$5:$CX$5,0))</f>
        <v>#N/A</v>
      </c>
      <c r="BE5" s="240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7"/>
      <c r="BG5" s="216"/>
      <c r="BH5" s="207" t="s">
        <v>217</v>
      </c>
      <c r="BI5" s="233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2" t="e">
        <f>INDEX('файл остатки'!$A$5:$CX$265,MATCH($H$1,'файл остатки'!$A$5:$A$228,0),MATCH($B5,'файл остатки'!$A$5:$CX$5,0))</f>
        <v>#N/A</v>
      </c>
      <c r="BK5" s="212" t="e">
        <f>((-CJ5/10+BP5/7+BV5/7+CB5/7)/4)*CO5</f>
        <v>#N/A</v>
      </c>
      <c r="BL5" s="240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7"/>
      <c r="BN5" s="216" t="e">
        <f>-BP5</f>
        <v>#N/A</v>
      </c>
      <c r="BO5" s="207" t="s">
        <v>217</v>
      </c>
      <c r="BP5" s="233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2" t="e">
        <f>INDEX('файл остатки'!$A$5:$CX$265,MATCH($H$1,'файл остатки'!$A$5:$A$228,0),MATCH($B5,'файл остатки'!$A$5:$CX$5,0))</f>
        <v>#N/A</v>
      </c>
      <c r="BR5" s="240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7"/>
      <c r="BT5" s="216" t="e">
        <f>-BV5</f>
        <v>#N/A</v>
      </c>
      <c r="BU5" s="207" t="s">
        <v>217</v>
      </c>
      <c r="BV5" s="233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2" t="e">
        <f>INDEX('файл остатки'!$A$5:$CX$265,MATCH($H$1,'файл остатки'!$A$5:$A$228,0),MATCH($B5,'файл остатки'!$A$5:$CX$5,0))</f>
        <v>#N/A</v>
      </c>
      <c r="BX5" s="240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7"/>
      <c r="BZ5" s="216" t="e">
        <f>-CB5</f>
        <v>#N/A</v>
      </c>
      <c r="CA5" s="207" t="s">
        <v>217</v>
      </c>
      <c r="CB5" s="233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2" t="e">
        <f>INDEX('файл остатки'!$A$5:$CX$265,MATCH($H$1,'файл остатки'!$A$5:$A$228,0),MATCH($B5,'файл остатки'!$A$5:$CX$5,0))</f>
        <v>#N/A</v>
      </c>
      <c r="CD5" s="240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7"/>
      <c r="CH5" s="216">
        <f>E5+K5+Q5+W5+AC5+AI5+AO5+AU5+BA5+BG5</f>
        <v>-1063.8333333333335</v>
      </c>
      <c r="CI5" s="207" t="s">
        <v>217</v>
      </c>
      <c r="CJ5" s="216" t="e">
        <f>-(G5+M5+S5+Y5+AE5+AK5+AQ5+AW5+BC5+BI5)</f>
        <v>#N/A</v>
      </c>
      <c r="CK5" s="207" t="s">
        <v>217</v>
      </c>
      <c r="CO5" s="222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4" t="s">
        <v>150</v>
      </c>
      <c r="C6" s="243" t="e">
        <f>INDEX('файл остатки'!$A$5:$CX$265,MATCH($C$1,'файл остатки'!$A$5:$A$228,0),MATCH(B6,'файл остатки'!$A$5:$CX$5,0))</f>
        <v>#N/A</v>
      </c>
      <c r="D6" s="247"/>
      <c r="E6" s="216"/>
      <c r="F6" s="150">
        <f>-(E6+E5+E10+E17)/'планирование суточное'!$K$7</f>
        <v>0</v>
      </c>
      <c r="G6" s="233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2" t="e">
        <f>INDEX('файл остатки'!$A$5:$CX$265,MATCH($H$1,'файл остатки'!$A$5:$A$228,0),MATCH($B6,'файл остатки'!$A$5:$CX$5,0))</f>
        <v>#N/A</v>
      </c>
      <c r="I6" s="240" t="e">
        <f>IF(E$3='файл остатки'!$B$1,INDEX('файл остатки'!$A$5:$CX$265,MATCH($C$1,'файл остатки'!$A$5:$A$228,0),MATCH($B6,'файл остатки'!$A$5:$CX$5,0)),C6+D6-E6-G6)</f>
        <v>#N/A</v>
      </c>
      <c r="J6" s="217"/>
      <c r="K6" s="216">
        <v>-384</v>
      </c>
      <c r="L6" s="150">
        <f>-(K6+K5+K10+K17)/'планирование суточное'!$K$7</f>
        <v>0.8014</v>
      </c>
      <c r="M6" s="233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2" t="e">
        <f>INDEX('файл остатки'!$A$5:$CX$265,MATCH($H$1,'файл остатки'!$A$5:$A$228,0),MATCH($B6,'файл остатки'!$A$5:$CX$5,0))</f>
        <v>#N/A</v>
      </c>
      <c r="O6" s="240" t="e">
        <f>IF(K$3='файл остатки'!$B$1,INDEX('файл остатки'!$A$5:$CX$265,MATCH($C$1,'файл остатки'!$A$5:$A$228,0),MATCH($B6,'файл остатки'!$A$5:$CX$5,0)),I6+J6-K6-M6)</f>
        <v>#N/A</v>
      </c>
      <c r="P6" s="217"/>
      <c r="Q6" s="216"/>
      <c r="R6" s="150">
        <f>-(Q6+Q5+Q10+Q17)/'планирование суточное'!$K$7</f>
        <v>0.17599999999999999</v>
      </c>
      <c r="S6" s="233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2" t="e">
        <f>INDEX('файл остатки'!$A$5:$CX$265,MATCH($H$1,'файл остатки'!$A$5:$A$228,0),MATCH($B6,'файл остатки'!$A$5:$CX$5,0))</f>
        <v>#N/A</v>
      </c>
      <c r="U6" s="240" t="e">
        <f>IF(Q$3='файл остатки'!$B$1,INDEX('файл остатки'!$A$5:$CX$265,MATCH($C$1,'файл остатки'!$A$5:$A$228,0),MATCH($B6,'файл остатки'!$A$5:$CX$5,0)),O6+P6-Q6-S6)</f>
        <v>#N/A</v>
      </c>
      <c r="V6" s="217"/>
      <c r="W6" s="216"/>
      <c r="X6" s="150">
        <f>-(W6+W5+W10+W17)/'планирование суточное'!$K$7</f>
        <v>0</v>
      </c>
      <c r="Y6" s="233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2" t="e">
        <f>INDEX('файл остатки'!$A$5:$CX$265,MATCH($H$1,'файл остатки'!$A$5:$A$228,0),MATCH($B6,'файл остатки'!$A$5:$CX$5,0))</f>
        <v>#N/A</v>
      </c>
      <c r="AA6" s="240" t="e">
        <f>IF(W$3='файл остатки'!$B$1,INDEX('файл остатки'!$A$5:$CX$265,MATCH($C$1,'файл остатки'!$A$5:$A$228,0),MATCH($B6,'файл остатки'!$A$5:$CX$5,0)),U6+V6-W6-Y6)</f>
        <v>#N/A</v>
      </c>
      <c r="AB6" s="217"/>
      <c r="AC6" s="216">
        <v>-4454</v>
      </c>
      <c r="AD6" s="150">
        <f>-(AC6+AC5+AC10+AC17)/'планирование суточное'!$K$7</f>
        <v>4.7423333333333337</v>
      </c>
      <c r="AE6" s="233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2" t="e">
        <f>INDEX('файл остатки'!$A$5:$CX$265,MATCH($H$1,'файл остатки'!$A$5:$A$228,0),MATCH($B6,'файл остатки'!$A$5:$CX$5,0))</f>
        <v>#N/A</v>
      </c>
      <c r="AG6" s="240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7"/>
      <c r="AI6" s="216">
        <v>-132</v>
      </c>
      <c r="AJ6" s="150">
        <f>-(AI6+AI5+AI10+AI17)/'планирование суточное'!$K$7</f>
        <v>0.32100000000000001</v>
      </c>
      <c r="AK6" s="233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2" t="e">
        <f>INDEX('файл остатки'!$A$5:$CX$265,MATCH($H$1,'файл остатки'!$A$5:$A$228,0),MATCH($B6,'файл остатки'!$A$5:$CX$5,0))</f>
        <v>#N/A</v>
      </c>
      <c r="AM6" s="240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7"/>
      <c r="AO6" s="216"/>
      <c r="AP6" s="150">
        <f>-(AO6+AO5+AO10+AO17)/'планирование суточное'!$K$7</f>
        <v>0</v>
      </c>
      <c r="AQ6" s="233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2" t="e">
        <f>INDEX('файл остатки'!$A$5:$CX$265,MATCH($H$1,'файл остатки'!$A$5:$A$228,0),MATCH($B6,'файл остатки'!$A$5:$CX$5,0))</f>
        <v>#N/A</v>
      </c>
      <c r="AS6" s="240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7"/>
      <c r="AU6" s="216"/>
      <c r="AV6" s="150">
        <f>-(AU6+AU5+AU10+AU17)/'планирование суточное'!$K$7</f>
        <v>0</v>
      </c>
      <c r="AW6" s="233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2" t="e">
        <f>INDEX('файл остатки'!$A$5:$CX$265,MATCH($H$1,'файл остатки'!$A$5:$A$228,0),MATCH($B6,'файл остатки'!$A$5:$CX$5,0))</f>
        <v>#N/A</v>
      </c>
      <c r="AY6" s="240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7"/>
      <c r="BA6" s="216">
        <v>-1679.8333333333333</v>
      </c>
      <c r="BB6" s="150">
        <f>-(BA6+BA5+BA10+BA17)/'планирование суточное'!$K$7</f>
        <v>2.0668333333333329</v>
      </c>
      <c r="BC6" s="233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2" t="e">
        <f>INDEX('файл остатки'!$A$5:$CX$265,MATCH($H$1,'файл остатки'!$A$5:$A$228,0),MATCH($B6,'файл остатки'!$A$5:$CX$5,0))</f>
        <v>#N/A</v>
      </c>
      <c r="BE6" s="240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7"/>
      <c r="BG6" s="216"/>
      <c r="BH6" s="150">
        <f>-(BG6+BG5+BG10+BG17)/'планирование суточное'!$K$7</f>
        <v>0</v>
      </c>
      <c r="BI6" s="233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2" t="e">
        <f>INDEX('файл остатки'!$A$5:$CX$265,MATCH($H$1,'файл остатки'!$A$5:$A$228,0),MATCH($B6,'файл остатки'!$A$5:$CX$5,0))</f>
        <v>#N/A</v>
      </c>
      <c r="BK6" s="212" t="e">
        <f t="shared" ref="BK6:BK70" si="0">((-CJ6/10+BP6/7+BV6/7+CB6/7)/4)*CO6</f>
        <v>#N/A</v>
      </c>
      <c r="BL6" s="240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7"/>
      <c r="BN6" s="216" t="e">
        <f t="shared" ref="BN6:BN70" si="1">-BP6</f>
        <v>#N/A</v>
      </c>
      <c r="BO6" s="150" t="e">
        <f>-(BN6+BN5+BN10+BN17)/'планирование суточное'!$K$7</f>
        <v>#N/A</v>
      </c>
      <c r="BP6" s="233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2" t="e">
        <f>INDEX('файл остатки'!$A$5:$CX$265,MATCH($H$1,'файл остатки'!$A$5:$A$228,0),MATCH($B6,'файл остатки'!$A$5:$CX$5,0))</f>
        <v>#N/A</v>
      </c>
      <c r="BR6" s="240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7"/>
      <c r="BT6" s="216" t="e">
        <f t="shared" ref="BT6:BT70" si="2">-BV6</f>
        <v>#N/A</v>
      </c>
      <c r="BU6" s="150" t="e">
        <f>-(BT6+BT5+BT10+BT17)/'планирование суточное'!$K$7</f>
        <v>#N/A</v>
      </c>
      <c r="BV6" s="233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2" t="e">
        <f>INDEX('файл остатки'!$A$5:$CX$265,MATCH($H$1,'файл остатки'!$A$5:$A$228,0),MATCH($B6,'файл остатки'!$A$5:$CX$5,0))</f>
        <v>#N/A</v>
      </c>
      <c r="BX6" s="240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7"/>
      <c r="BZ6" s="216" t="e">
        <f t="shared" ref="BZ6:BZ70" si="3">-CB6</f>
        <v>#N/A</v>
      </c>
      <c r="CA6" s="150" t="e">
        <f>-(BZ6+BZ5+BZ10+BZ17)/'планирование суточное'!$K$7</f>
        <v>#N/A</v>
      </c>
      <c r="CB6" s="233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2" t="e">
        <f>INDEX('файл остатки'!$A$5:$CX$265,MATCH($H$1,'файл остатки'!$A$5:$A$228,0),MATCH($B6,'файл остатки'!$A$5:$CX$5,0))</f>
        <v>#N/A</v>
      </c>
      <c r="CD6" s="240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7"/>
      <c r="CH6" s="216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6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2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4" t="s">
        <v>170</v>
      </c>
      <c r="C7" s="243" t="e">
        <f>INDEX('файл остатки'!$A$5:$CX$265,MATCH($C$1,'файл остатки'!$A$5:$A$228,0),MATCH(B7,'файл остатки'!$A$5:$CX$5,0))</f>
        <v>#N/A</v>
      </c>
      <c r="D7" s="247"/>
      <c r="E7" s="216"/>
      <c r="F7" s="207" t="s">
        <v>184</v>
      </c>
      <c r="G7" s="233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2" t="e">
        <f>INDEX('файл остатки'!$A$5:$CX$265,MATCH($H$1,'файл остатки'!$A$5:$A$228,0),MATCH($B7,'файл остатки'!$A$5:$CX$5,0))</f>
        <v>#N/A</v>
      </c>
      <c r="I7" s="240" t="e">
        <f>IF(E$3='файл остатки'!$B$1,INDEX('файл остатки'!$A$5:$CX$265,MATCH($C$1,'файл остатки'!$A$5:$A$228,0),MATCH($B7,'файл остатки'!$A$5:$CX$5,0)),C7+D7-E7-G7)</f>
        <v>#N/A</v>
      </c>
      <c r="J7" s="217"/>
      <c r="K7" s="216"/>
      <c r="L7" s="207" t="s">
        <v>184</v>
      </c>
      <c r="M7" s="233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2" t="e">
        <f>INDEX('файл остатки'!$A$5:$CX$265,MATCH($H$1,'файл остатки'!$A$5:$A$228,0),MATCH($B7,'файл остатки'!$A$5:$CX$5,0))</f>
        <v>#N/A</v>
      </c>
      <c r="O7" s="240" t="e">
        <f>IF(K$3='файл остатки'!$B$1,INDEX('файл остатки'!$A$5:$CX$265,MATCH($C$1,'файл остатки'!$A$5:$A$228,0),MATCH($B7,'файл остатки'!$A$5:$CX$5,0)),I7+J7-K7-M7)</f>
        <v>#N/A</v>
      </c>
      <c r="P7" s="217"/>
      <c r="Q7" s="216">
        <v>-84</v>
      </c>
      <c r="R7" s="207" t="s">
        <v>184</v>
      </c>
      <c r="S7" s="233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2" t="e">
        <f>INDEX('файл остатки'!$A$5:$CX$265,MATCH($H$1,'файл остатки'!$A$5:$A$228,0),MATCH($B7,'файл остатки'!$A$5:$CX$5,0))</f>
        <v>#N/A</v>
      </c>
      <c r="U7" s="240" t="e">
        <f>IF(Q$3='файл остатки'!$B$1,INDEX('файл остатки'!$A$5:$CX$265,MATCH($C$1,'файл остатки'!$A$5:$A$228,0),MATCH($B7,'файл остатки'!$A$5:$CX$5,0)),O7+P7-Q7-S7)</f>
        <v>#N/A</v>
      </c>
      <c r="V7" s="217"/>
      <c r="W7" s="216"/>
      <c r="X7" s="207" t="s">
        <v>184</v>
      </c>
      <c r="Y7" s="233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2" t="e">
        <f>INDEX('файл остатки'!$A$5:$CX$265,MATCH($H$1,'файл остатки'!$A$5:$A$228,0),MATCH($B7,'файл остатки'!$A$5:$CX$5,0))</f>
        <v>#N/A</v>
      </c>
      <c r="AA7" s="240" t="e">
        <f>IF(W$3='файл остатки'!$B$1,INDEX('файл остатки'!$A$5:$CX$265,MATCH($C$1,'файл остатки'!$A$5:$A$228,0),MATCH($B7,'файл остатки'!$A$5:$CX$5,0)),U7+V7-W7-Y7)</f>
        <v>#N/A</v>
      </c>
      <c r="AB7" s="217"/>
      <c r="AC7" s="216">
        <v>-86.666666666666671</v>
      </c>
      <c r="AD7" s="207" t="s">
        <v>184</v>
      </c>
      <c r="AE7" s="233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2" t="e">
        <f>INDEX('файл остатки'!$A$5:$CX$265,MATCH($H$1,'файл остатки'!$A$5:$A$228,0),MATCH($B7,'файл остатки'!$A$5:$CX$5,0))</f>
        <v>#N/A</v>
      </c>
      <c r="AG7" s="240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7"/>
      <c r="AI7" s="216">
        <v>-59</v>
      </c>
      <c r="AJ7" s="207" t="s">
        <v>184</v>
      </c>
      <c r="AK7" s="233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2" t="e">
        <f>INDEX('файл остатки'!$A$5:$CX$265,MATCH($H$1,'файл остатки'!$A$5:$A$228,0),MATCH($B7,'файл остатки'!$A$5:$CX$5,0))</f>
        <v>#N/A</v>
      </c>
      <c r="AM7" s="240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7"/>
      <c r="AO7" s="216"/>
      <c r="AP7" s="207" t="s">
        <v>184</v>
      </c>
      <c r="AQ7" s="233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2" t="e">
        <f>INDEX('файл остатки'!$A$5:$CX$265,MATCH($H$1,'файл остатки'!$A$5:$A$228,0),MATCH($B7,'файл остатки'!$A$5:$CX$5,0))</f>
        <v>#N/A</v>
      </c>
      <c r="AS7" s="240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7"/>
      <c r="AU7" s="216"/>
      <c r="AV7" s="207" t="s">
        <v>184</v>
      </c>
      <c r="AW7" s="233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2" t="e">
        <f>INDEX('файл остатки'!$A$5:$CX$265,MATCH($H$1,'файл остатки'!$A$5:$A$228,0),MATCH($B7,'файл остатки'!$A$5:$CX$5,0))</f>
        <v>#N/A</v>
      </c>
      <c r="AY7" s="240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7"/>
      <c r="BA7" s="216">
        <v>-17.999999999999986</v>
      </c>
      <c r="BB7" s="207" t="s">
        <v>184</v>
      </c>
      <c r="BC7" s="233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2" t="e">
        <f>INDEX('файл остатки'!$A$5:$CX$265,MATCH($H$1,'файл остатки'!$A$5:$A$228,0),MATCH($B7,'файл остатки'!$A$5:$CX$5,0))</f>
        <v>#N/A</v>
      </c>
      <c r="BE7" s="240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7"/>
      <c r="BG7" s="216"/>
      <c r="BH7" s="207" t="s">
        <v>184</v>
      </c>
      <c r="BI7" s="233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2" t="e">
        <f>INDEX('файл остатки'!$A$5:$CX$265,MATCH($H$1,'файл остатки'!$A$5:$A$228,0),MATCH($B7,'файл остатки'!$A$5:$CX$5,0))</f>
        <v>#N/A</v>
      </c>
      <c r="BK7" s="212" t="e">
        <f t="shared" si="0"/>
        <v>#N/A</v>
      </c>
      <c r="BL7" s="240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7"/>
      <c r="BN7" s="216" t="e">
        <f t="shared" si="1"/>
        <v>#N/A</v>
      </c>
      <c r="BO7" s="207" t="s">
        <v>184</v>
      </c>
      <c r="BP7" s="233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2" t="e">
        <f>INDEX('файл остатки'!$A$5:$CX$265,MATCH($H$1,'файл остатки'!$A$5:$A$228,0),MATCH($B7,'файл остатки'!$A$5:$CX$5,0))</f>
        <v>#N/A</v>
      </c>
      <c r="BR7" s="240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7"/>
      <c r="BT7" s="216" t="e">
        <f t="shared" si="2"/>
        <v>#N/A</v>
      </c>
      <c r="BU7" s="207" t="s">
        <v>184</v>
      </c>
      <c r="BV7" s="233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2" t="e">
        <f>INDEX('файл остатки'!$A$5:$CX$265,MATCH($H$1,'файл остатки'!$A$5:$A$228,0),MATCH($B7,'файл остатки'!$A$5:$CX$5,0))</f>
        <v>#N/A</v>
      </c>
      <c r="BX7" s="240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7"/>
      <c r="BZ7" s="216" t="e">
        <f t="shared" si="3"/>
        <v>#N/A</v>
      </c>
      <c r="CA7" s="207" t="s">
        <v>184</v>
      </c>
      <c r="CB7" s="233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2" t="e">
        <f>INDEX('файл остатки'!$A$5:$CX$265,MATCH($H$1,'файл остатки'!$A$5:$A$228,0),MATCH($B7,'файл остатки'!$A$5:$CX$5,0))</f>
        <v>#N/A</v>
      </c>
      <c r="CD7" s="240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7"/>
      <c r="CH7" s="216">
        <f t="shared" si="4"/>
        <v>-247.66666666666669</v>
      </c>
      <c r="CI7" s="207" t="s">
        <v>184</v>
      </c>
      <c r="CJ7" s="216" t="e">
        <f t="shared" si="5"/>
        <v>#N/A</v>
      </c>
      <c r="CK7" s="207" t="s">
        <v>184</v>
      </c>
      <c r="CO7" s="222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4" t="s">
        <v>123</v>
      </c>
      <c r="C8" s="243" t="e">
        <f>INDEX('файл остатки'!$A$5:$CX$265,MATCH($C$1,'файл остатки'!$A$5:$A$228,0),MATCH(B8,'файл остатки'!$A$5:$CX$5,0))</f>
        <v>#N/A</v>
      </c>
      <c r="D8" s="247"/>
      <c r="E8" s="216"/>
      <c r="F8" s="150">
        <f>-(E7+E8+E9+E12+E13+E16+E11+E14+E15)/'планирование суточное'!$K$7</f>
        <v>0</v>
      </c>
      <c r="G8" s="233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2" t="e">
        <f>INDEX('файл остатки'!$A$5:$CX$265,MATCH($H$1,'файл остатки'!$A$5:$A$228,0),MATCH($B8,'файл остатки'!$A$5:$CX$5,0))</f>
        <v>#N/A</v>
      </c>
      <c r="I8" s="240" t="e">
        <f>IF(E$3='файл остатки'!$B$1,INDEX('файл остатки'!$A$5:$CX$265,MATCH($C$1,'файл остатки'!$A$5:$A$228,0),MATCH($B8,'файл остатки'!$A$5:$CX$5,0)),C8+D8-E8-G8)</f>
        <v>#N/A</v>
      </c>
      <c r="J8" s="217"/>
      <c r="K8" s="216">
        <v>-222</v>
      </c>
      <c r="L8" s="150">
        <f>-(K7+K8+K9+K12+K13+K16+K11+K14+K15)/'планирование суточное'!$K$7</f>
        <v>2.2369500000000002</v>
      </c>
      <c r="M8" s="233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2" t="e">
        <f>INDEX('файл остатки'!$A$5:$CX$265,MATCH($H$1,'файл остатки'!$A$5:$A$228,0),MATCH($B8,'файл остатки'!$A$5:$CX$5,0))</f>
        <v>#N/A</v>
      </c>
      <c r="O8" s="240" t="e">
        <f>IF(K$3='файл остатки'!$B$1,INDEX('файл остатки'!$A$5:$CX$265,MATCH($C$1,'файл остатки'!$A$5:$A$228,0),MATCH($B8,'файл остатки'!$A$5:$CX$5,0)),I8+J8-K8-M8)</f>
        <v>#N/A</v>
      </c>
      <c r="P8" s="217">
        <v>266</v>
      </c>
      <c r="Q8" s="216">
        <v>-392</v>
      </c>
      <c r="R8" s="150">
        <f>-(Q7+Q8+Q9+Q12+Q13+Q16+Q11+Q14+Q15)/'планирование суточное'!$K$7</f>
        <v>1.1335</v>
      </c>
      <c r="S8" s="233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2" t="e">
        <f>INDEX('файл остатки'!$A$5:$CX$265,MATCH($H$1,'файл остатки'!$A$5:$A$228,0),MATCH($B8,'файл остатки'!$A$5:$CX$5,0))</f>
        <v>#N/A</v>
      </c>
      <c r="U8" s="240" t="e">
        <f>IF(Q$3='файл остатки'!$B$1,INDEX('файл остатки'!$A$5:$CX$265,MATCH($C$1,'файл остатки'!$A$5:$A$228,0),MATCH($B8,'файл остатки'!$A$5:$CX$5,0)),O8+P8-Q8-S8)</f>
        <v>#N/A</v>
      </c>
      <c r="V8" s="217"/>
      <c r="W8" s="216"/>
      <c r="X8" s="150">
        <f>-(W7+W8+W9+W12+W13+W16+W11+W14+W15)/'планирование суточное'!$K$7</f>
        <v>0</v>
      </c>
      <c r="Y8" s="233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2" t="e">
        <f>INDEX('файл остатки'!$A$5:$CX$265,MATCH($H$1,'файл остатки'!$A$5:$A$228,0),MATCH($B8,'файл остатки'!$A$5:$CX$5,0))</f>
        <v>#N/A</v>
      </c>
      <c r="AA8" s="240" t="e">
        <f>IF(W$3='файл остатки'!$B$1,INDEX('файл остатки'!$A$5:$CX$265,MATCH($C$1,'файл остатки'!$A$5:$A$228,0),MATCH($B8,'файл остатки'!$A$5:$CX$5,0)),U8+V8-W8-Y8)</f>
        <v>#N/A</v>
      </c>
      <c r="AB8" s="217"/>
      <c r="AC8" s="216">
        <v>-320.83333333333331</v>
      </c>
      <c r="AD8" s="150">
        <f>-(AC7+AC8+AC9+AC12+AC13+AC16+AC11+AC14+AC15)/'планирование суточное'!$K$7</f>
        <v>2.0161666666666669</v>
      </c>
      <c r="AE8" s="233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2" t="e">
        <f>INDEX('файл остатки'!$A$5:$CX$265,MATCH($H$1,'файл остатки'!$A$5:$A$228,0),MATCH($B8,'файл остатки'!$A$5:$CX$5,0))</f>
        <v>#N/A</v>
      </c>
      <c r="AG8" s="240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7"/>
      <c r="AI8" s="216">
        <v>-312.16666666666669</v>
      </c>
      <c r="AJ8" s="150">
        <f>-(AI7+AI8+AI9+AI12+AI13+AI16+AI11+AI14+AI15)/'планирование суточное'!$K$7</f>
        <v>1.6078333333333334</v>
      </c>
      <c r="AK8" s="233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2" t="e">
        <f>INDEX('файл остатки'!$A$5:$CX$265,MATCH($H$1,'файл остатки'!$A$5:$A$228,0),MATCH($B8,'файл остатки'!$A$5:$CX$5,0))</f>
        <v>#N/A</v>
      </c>
      <c r="AM8" s="240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7"/>
      <c r="AO8" s="216"/>
      <c r="AP8" s="150">
        <f>-(AO7+AO8+AO9+AO12+AO13+AO16+AO11+AO14+AO15)/'планирование суточное'!$K$7</f>
        <v>0</v>
      </c>
      <c r="AQ8" s="233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2" t="e">
        <f>INDEX('файл остатки'!$A$5:$CX$265,MATCH($H$1,'файл остатки'!$A$5:$A$228,0),MATCH($B8,'файл остатки'!$A$5:$CX$5,0))</f>
        <v>#N/A</v>
      </c>
      <c r="AS8" s="240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7"/>
      <c r="AU8" s="216"/>
      <c r="AV8" s="150">
        <f>-(AU7+AU8+AU9+AU12+AU13+AU16+AU11+AU14+AU15)/'планирование суточное'!$K$7</f>
        <v>0</v>
      </c>
      <c r="AW8" s="233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2" t="e">
        <f>INDEX('файл остатки'!$A$5:$CX$265,MATCH($H$1,'файл остатки'!$A$5:$A$228,0),MATCH($B8,'файл остатки'!$A$5:$CX$5,0))</f>
        <v>#N/A</v>
      </c>
      <c r="AY8" s="240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7"/>
      <c r="BA8" s="216">
        <v>-321</v>
      </c>
      <c r="BB8" s="150">
        <f>-(BA7+BA8+BA9+BA12+BA13+BA16+BA11+BA14+BA15)/'планирование суточное'!$K$7</f>
        <v>3.1963333333333335</v>
      </c>
      <c r="BC8" s="233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2" t="e">
        <f>INDEX('файл остатки'!$A$5:$CX$265,MATCH($H$1,'файл остатки'!$A$5:$A$228,0),MATCH($B8,'файл остатки'!$A$5:$CX$5,0))</f>
        <v>#N/A</v>
      </c>
      <c r="BE8" s="240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7"/>
      <c r="BG8" s="216"/>
      <c r="BH8" s="150">
        <f>-(BG7+BG8+BG9+BG12+BG13+BG16+BG11+BG14+BG15)/'планирование суточное'!$K$7</f>
        <v>0</v>
      </c>
      <c r="BI8" s="233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2" t="e">
        <f>INDEX('файл остатки'!$A$5:$CX$265,MATCH($H$1,'файл остатки'!$A$5:$A$228,0),MATCH($B8,'файл остатки'!$A$5:$CX$5,0))</f>
        <v>#N/A</v>
      </c>
      <c r="BK8" s="212" t="e">
        <f t="shared" si="0"/>
        <v>#N/A</v>
      </c>
      <c r="BL8" s="240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7"/>
      <c r="BN8" s="216" t="e">
        <f t="shared" si="1"/>
        <v>#N/A</v>
      </c>
      <c r="BO8" s="150" t="e">
        <f>-(BN7+BN8+BN9+BN12+BN13+BN16+BN11+BN14+BN15)/'планирование суточное'!$K$7</f>
        <v>#N/A</v>
      </c>
      <c r="BP8" s="233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2" t="e">
        <f>INDEX('файл остатки'!$A$5:$CX$265,MATCH($H$1,'файл остатки'!$A$5:$A$228,0),MATCH($B8,'файл остатки'!$A$5:$CX$5,0))</f>
        <v>#N/A</v>
      </c>
      <c r="BR8" s="240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7"/>
      <c r="BT8" s="216" t="e">
        <f t="shared" si="2"/>
        <v>#N/A</v>
      </c>
      <c r="BU8" s="150" t="e">
        <f>-(BT7+BT8+BT9+BT12+BT13+BT16+BT11+BT14+BT15)/'планирование суточное'!$K$7</f>
        <v>#N/A</v>
      </c>
      <c r="BV8" s="233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2" t="e">
        <f>INDEX('файл остатки'!$A$5:$CX$265,MATCH($H$1,'файл остатки'!$A$5:$A$228,0),MATCH($B8,'файл остатки'!$A$5:$CX$5,0))</f>
        <v>#N/A</v>
      </c>
      <c r="BX8" s="240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7"/>
      <c r="BZ8" s="216" t="e">
        <f t="shared" si="3"/>
        <v>#N/A</v>
      </c>
      <c r="CA8" s="150" t="e">
        <f>-(BZ7+BZ8+BZ9+BZ12+BZ13+BZ16+BZ11+BZ14+BZ15)/'планирование суточное'!$K$7</f>
        <v>#N/A</v>
      </c>
      <c r="CB8" s="233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2" t="e">
        <f>INDEX('файл остатки'!$A$5:$CX$265,MATCH($H$1,'файл остатки'!$A$5:$A$228,0),MATCH($B8,'файл остатки'!$A$5:$CX$5,0))</f>
        <v>#N/A</v>
      </c>
      <c r="CD8" s="240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7"/>
      <c r="CH8" s="216">
        <f t="shared" si="4"/>
        <v>-1568</v>
      </c>
      <c r="CI8" s="150">
        <f>-(CH7+CH8+CH9+CH12+CH13+CH16+CH11+CH14)/'планирование суточное'!$K$7</f>
        <v>8.6937833333333341</v>
      </c>
      <c r="CJ8" s="216" t="e">
        <f t="shared" si="5"/>
        <v>#N/A</v>
      </c>
      <c r="CK8" s="150" t="e">
        <f>-(CJ7+CJ8+CJ9+CJ12+CJ13+CJ16+CJ11+CJ14)/'планирование суточное'!$K$7</f>
        <v>#N/A</v>
      </c>
      <c r="CO8" s="222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4" t="s">
        <v>158</v>
      </c>
      <c r="C9" s="243" t="e">
        <f>INDEX('файл остатки'!$A$5:$CX$265,MATCH($C$1,'файл остатки'!$A$5:$A$228,0),MATCH(B9,'файл остатки'!$A$5:$CX$5,0))</f>
        <v>#N/A</v>
      </c>
      <c r="D9" s="247"/>
      <c r="E9" s="216"/>
      <c r="F9" s="207"/>
      <c r="G9" s="233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2" t="e">
        <f>INDEX('файл остатки'!$A$5:$CX$265,MATCH($H$1,'файл остатки'!$A$5:$A$228,0),MATCH($B9,'файл остатки'!$A$5:$CX$5,0))</f>
        <v>#N/A</v>
      </c>
      <c r="I9" s="240" t="e">
        <f>IF(E$3='файл остатки'!$B$1,INDEX('файл остатки'!$A$5:$CX$265,MATCH($C$1,'файл остатки'!$A$5:$A$228,0),MATCH($B9,'файл остатки'!$A$5:$CX$5,0)),C9+D9-E9-G9)</f>
        <v>#N/A</v>
      </c>
      <c r="J9" s="217"/>
      <c r="K9" s="216">
        <v>-964.80000000000007</v>
      </c>
      <c r="L9" s="207"/>
      <c r="M9" s="233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2" t="e">
        <f>INDEX('файл остатки'!$A$5:$CX$265,MATCH($H$1,'файл остатки'!$A$5:$A$228,0),MATCH($B9,'файл остатки'!$A$5:$CX$5,0))</f>
        <v>#N/A</v>
      </c>
      <c r="O9" s="240" t="e">
        <f>IF(K$3='файл остатки'!$B$1,INDEX('файл остатки'!$A$5:$CX$265,MATCH($C$1,'файл остатки'!$A$5:$A$228,0),MATCH($B9,'файл остатки'!$A$5:$CX$5,0)),I9+J9-K9-M9)</f>
        <v>#N/A</v>
      </c>
      <c r="P9" s="217"/>
      <c r="Q9" s="216">
        <v>-548</v>
      </c>
      <c r="R9" s="207"/>
      <c r="S9" s="233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2" t="e">
        <f>INDEX('файл остатки'!$A$5:$CX$265,MATCH($H$1,'файл остатки'!$A$5:$A$228,0),MATCH($B9,'файл остатки'!$A$5:$CX$5,0))</f>
        <v>#N/A</v>
      </c>
      <c r="U9" s="240" t="e">
        <f>IF(Q$3='файл остатки'!$B$1,INDEX('файл остатки'!$A$5:$CX$265,MATCH($C$1,'файл остатки'!$A$5:$A$228,0),MATCH($B9,'файл остатки'!$A$5:$CX$5,0)),O9+P9-Q9-S9)</f>
        <v>#N/A</v>
      </c>
      <c r="V9" s="217"/>
      <c r="W9" s="216"/>
      <c r="X9" s="207"/>
      <c r="Y9" s="233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2" t="e">
        <f>INDEX('файл остатки'!$A$5:$CX$265,MATCH($H$1,'файл остатки'!$A$5:$A$228,0),MATCH($B9,'файл остатки'!$A$5:$CX$5,0))</f>
        <v>#N/A</v>
      </c>
      <c r="AA9" s="240" t="e">
        <f>IF(W$3='файл остатки'!$B$1,INDEX('файл остатки'!$A$5:$CX$265,MATCH($C$1,'файл остатки'!$A$5:$A$228,0),MATCH($B9,'файл остатки'!$A$5:$CX$5,0)),U9+V9-W9-Y9)</f>
        <v>#N/A</v>
      </c>
      <c r="AB9" s="217"/>
      <c r="AC9" s="216">
        <v>-242.99999999999994</v>
      </c>
      <c r="AD9" s="207"/>
      <c r="AE9" s="233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2" t="e">
        <f>INDEX('файл остатки'!$A$5:$CX$265,MATCH($H$1,'файл остатки'!$A$5:$A$228,0),MATCH($B9,'файл остатки'!$A$5:$CX$5,0))</f>
        <v>#N/A</v>
      </c>
      <c r="AG9" s="240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7"/>
      <c r="AI9" s="216">
        <v>-577.66666666666674</v>
      </c>
      <c r="AJ9" s="207"/>
      <c r="AK9" s="233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2" t="e">
        <f>INDEX('файл остатки'!$A$5:$CX$265,MATCH($H$1,'файл остатки'!$A$5:$A$228,0),MATCH($B9,'файл остатки'!$A$5:$CX$5,0))</f>
        <v>#N/A</v>
      </c>
      <c r="AM9" s="240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7"/>
      <c r="AO9" s="216"/>
      <c r="AP9" s="207"/>
      <c r="AQ9" s="233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2" t="e">
        <f>INDEX('файл остатки'!$A$5:$CX$265,MATCH($H$1,'файл остатки'!$A$5:$A$228,0),MATCH($B9,'файл остатки'!$A$5:$CX$5,0))</f>
        <v>#N/A</v>
      </c>
      <c r="AS9" s="240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7"/>
      <c r="AU9" s="216"/>
      <c r="AV9" s="207"/>
      <c r="AW9" s="233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2" t="e">
        <f>INDEX('файл остатки'!$A$5:$CX$265,MATCH($H$1,'файл остатки'!$A$5:$A$228,0),MATCH($B9,'файл остатки'!$A$5:$CX$5,0))</f>
        <v>#N/A</v>
      </c>
      <c r="AY9" s="240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7"/>
      <c r="BA9" s="216">
        <v>-678</v>
      </c>
      <c r="BB9" s="207"/>
      <c r="BC9" s="233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2" t="e">
        <f>INDEX('файл остатки'!$A$5:$CX$265,MATCH($H$1,'файл остатки'!$A$5:$A$228,0),MATCH($B9,'файл остатки'!$A$5:$CX$5,0))</f>
        <v>#N/A</v>
      </c>
      <c r="BE9" s="240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7"/>
      <c r="BG9" s="216"/>
      <c r="BH9" s="207"/>
      <c r="BI9" s="233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2" t="e">
        <f>INDEX('файл остатки'!$A$5:$CX$265,MATCH($H$1,'файл остатки'!$A$5:$A$228,0),MATCH($B9,'файл остатки'!$A$5:$CX$5,0))</f>
        <v>#N/A</v>
      </c>
      <c r="BK9" s="212" t="e">
        <f t="shared" si="0"/>
        <v>#N/A</v>
      </c>
      <c r="BL9" s="240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7"/>
      <c r="BN9" s="216" t="e">
        <f t="shared" si="1"/>
        <v>#N/A</v>
      </c>
      <c r="BO9" s="207"/>
      <c r="BP9" s="233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2" t="e">
        <f>INDEX('файл остатки'!$A$5:$CX$265,MATCH($H$1,'файл остатки'!$A$5:$A$228,0),MATCH($B9,'файл остатки'!$A$5:$CX$5,0))</f>
        <v>#N/A</v>
      </c>
      <c r="BR9" s="240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7"/>
      <c r="BT9" s="216" t="e">
        <f t="shared" si="2"/>
        <v>#N/A</v>
      </c>
      <c r="BU9" s="207"/>
      <c r="BV9" s="233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2" t="e">
        <f>INDEX('файл остатки'!$A$5:$CX$265,MATCH($H$1,'файл остатки'!$A$5:$A$228,0),MATCH($B9,'файл остатки'!$A$5:$CX$5,0))</f>
        <v>#N/A</v>
      </c>
      <c r="BX9" s="240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7"/>
      <c r="BZ9" s="216" t="e">
        <f t="shared" si="3"/>
        <v>#N/A</v>
      </c>
      <c r="CA9" s="207"/>
      <c r="CB9" s="233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2" t="e">
        <f>INDEX('файл остатки'!$A$5:$CX$265,MATCH($H$1,'файл остатки'!$A$5:$A$228,0),MATCH($B9,'файл остатки'!$A$5:$CX$5,0))</f>
        <v>#N/A</v>
      </c>
      <c r="CD9" s="240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7"/>
      <c r="CH9" s="216">
        <f t="shared" si="4"/>
        <v>-3011.4666666666672</v>
      </c>
      <c r="CI9" s="207"/>
      <c r="CJ9" s="216" t="e">
        <f t="shared" si="5"/>
        <v>#N/A</v>
      </c>
      <c r="CK9" s="207"/>
      <c r="CO9" s="222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4" t="s">
        <v>112</v>
      </c>
      <c r="C10" s="243" t="e">
        <f>INDEX('файл остатки'!$A$5:$CX$265,MATCH($C$1,'файл остатки'!$A$5:$A$228,0),MATCH(B10,'файл остатки'!$A$5:$CX$5,0))</f>
        <v>#N/A</v>
      </c>
      <c r="D10" s="247"/>
      <c r="E10" s="216"/>
      <c r="F10" s="207"/>
      <c r="G10" s="233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2" t="e">
        <f>INDEX('файл остатки'!$A$5:$CX$265,MATCH($H$1,'файл остатки'!$A$5:$A$228,0),MATCH($B10,'файл остатки'!$A$5:$CX$5,0))</f>
        <v>#N/A</v>
      </c>
      <c r="I10" s="240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7"/>
      <c r="K10" s="216">
        <v>-3</v>
      </c>
      <c r="L10" s="207"/>
      <c r="M10" s="233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2" t="e">
        <f>INDEX('файл остатки'!$A$5:$CX$265,MATCH($H$1,'файл остатки'!$A$5:$A$228,0),MATCH($B10,'файл остатки'!$A$5:$CX$5,0))</f>
        <v>#N/A</v>
      </c>
      <c r="O10" s="240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7">
        <v>1.0900000000000001</v>
      </c>
      <c r="Q10" s="216"/>
      <c r="R10" s="207"/>
      <c r="S10" s="233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2" t="e">
        <f>INDEX('файл остатки'!$A$5:$CX$265,MATCH($H$1,'файл остатки'!$A$5:$A$228,0),MATCH($B10,'файл остатки'!$A$5:$CX$5,0))</f>
        <v>#N/A</v>
      </c>
      <c r="U10" s="240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7"/>
      <c r="W10" s="216"/>
      <c r="X10" s="207"/>
      <c r="Y10" s="233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2" t="e">
        <f>INDEX('файл остатки'!$A$5:$CX$265,MATCH($H$1,'файл остатки'!$A$5:$A$228,0),MATCH($B10,'файл остатки'!$A$5:$CX$5,0))</f>
        <v>#N/A</v>
      </c>
      <c r="AA10" s="240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7"/>
      <c r="AC10" s="216">
        <v>-5.666666666666667</v>
      </c>
      <c r="AD10" s="207"/>
      <c r="AE10" s="233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2" t="e">
        <f>INDEX('файл остатки'!$A$5:$CX$265,MATCH($H$1,'файл остатки'!$A$5:$A$228,0),MATCH($B10,'файл остатки'!$A$5:$CX$5,0))</f>
        <v>#N/A</v>
      </c>
      <c r="AG10" s="240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7"/>
      <c r="AI10" s="216">
        <v>0</v>
      </c>
      <c r="AJ10" s="207"/>
      <c r="AK10" s="233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2" t="e">
        <f>INDEX('файл остатки'!$A$5:$CX$265,MATCH($H$1,'файл остатки'!$A$5:$A$228,0),MATCH($B10,'файл остатки'!$A$5:$CX$5,0))</f>
        <v>#N/A</v>
      </c>
      <c r="AM10" s="240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7"/>
      <c r="AO10" s="216"/>
      <c r="AP10" s="207"/>
      <c r="AQ10" s="233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2" t="e">
        <f>INDEX('файл остатки'!$A$5:$CX$265,MATCH($H$1,'файл остатки'!$A$5:$A$228,0),MATCH($B10,'файл остатки'!$A$5:$CX$5,0))</f>
        <v>#N/A</v>
      </c>
      <c r="AS10" s="240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7"/>
      <c r="AU10" s="216"/>
      <c r="AV10" s="207"/>
      <c r="AW10" s="233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2" t="e">
        <f>INDEX('файл остатки'!$A$5:$CX$265,MATCH($H$1,'файл остатки'!$A$5:$A$228,0),MATCH($B10,'файл остатки'!$A$5:$CX$5,0))</f>
        <v>#N/A</v>
      </c>
      <c r="AY10" s="240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7"/>
      <c r="BA10" s="216">
        <v>-5</v>
      </c>
      <c r="BB10" s="207"/>
      <c r="BC10" s="233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2" t="e">
        <f>INDEX('файл остатки'!$A$5:$CX$265,MATCH($H$1,'файл остатки'!$A$5:$A$228,0),MATCH($B10,'файл остатки'!$A$5:$CX$5,0))</f>
        <v>#N/A</v>
      </c>
      <c r="BE10" s="240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7"/>
      <c r="BG10" s="216"/>
      <c r="BH10" s="207"/>
      <c r="BI10" s="233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2" t="e">
        <f>INDEX('файл остатки'!$A$5:$CX$265,MATCH($H$1,'файл остатки'!$A$5:$A$228,0),MATCH($B10,'файл остатки'!$A$5:$CX$5,0))</f>
        <v>#N/A</v>
      </c>
      <c r="BK10" s="212" t="e">
        <f t="shared" si="0"/>
        <v>#N/A</v>
      </c>
      <c r="BL10" s="240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7"/>
      <c r="BN10" s="216" t="e">
        <f t="shared" si="1"/>
        <v>#N/A</v>
      </c>
      <c r="BO10" s="207"/>
      <c r="BP10" s="233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2" t="e">
        <f>INDEX('файл остатки'!$A$5:$CX$265,MATCH($H$1,'файл остатки'!$A$5:$A$228,0),MATCH($B10,'файл остатки'!$A$5:$CX$5,0))</f>
        <v>#N/A</v>
      </c>
      <c r="BR10" s="240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7"/>
      <c r="BT10" s="216" t="e">
        <f t="shared" si="2"/>
        <v>#N/A</v>
      </c>
      <c r="BU10" s="207"/>
      <c r="BV10" s="233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2" t="e">
        <f>INDEX('файл остатки'!$A$5:$CX$265,MATCH($H$1,'файл остатки'!$A$5:$A$228,0),MATCH($B10,'файл остатки'!$A$5:$CX$5,0))</f>
        <v>#N/A</v>
      </c>
      <c r="BX10" s="240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7"/>
      <c r="BZ10" s="216" t="e">
        <f t="shared" si="3"/>
        <v>#N/A</v>
      </c>
      <c r="CA10" s="207"/>
      <c r="CB10" s="233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2" t="e">
        <f>INDEX('файл остатки'!$A$5:$CX$265,MATCH($H$1,'файл остатки'!$A$5:$A$228,0),MATCH($B10,'файл остатки'!$A$5:$CX$5,0))</f>
        <v>#N/A</v>
      </c>
      <c r="CD10" s="240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7"/>
      <c r="CH10" s="216">
        <f t="shared" si="4"/>
        <v>-13.666666666666668</v>
      </c>
      <c r="CI10" s="207"/>
      <c r="CJ10" s="216" t="e">
        <f t="shared" si="5"/>
        <v>#N/A</v>
      </c>
      <c r="CK10" s="207"/>
      <c r="CO10" s="222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4" t="s">
        <v>97</v>
      </c>
      <c r="C11" s="243">
        <f>INDEX('файл остатки'!$A$5:$CX$265,MATCH($C$1,'файл остатки'!$A$5:$A$228,0),MATCH(B11,'файл остатки'!$A$5:$CX$5,0))</f>
        <v>0</v>
      </c>
      <c r="D11" s="247"/>
      <c r="E11" s="216"/>
      <c r="F11" s="207"/>
      <c r="G11" s="233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2">
        <f>INDEX('файл остатки'!$A$5:$CX$265,MATCH($H$1,'файл остатки'!$A$5:$A$228,0),MATCH($B11,'файл остатки'!$A$5:$CX$5,0))</f>
        <v>0</v>
      </c>
      <c r="I11" s="240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7"/>
      <c r="K11" s="216">
        <v>-212.4</v>
      </c>
      <c r="L11" s="207"/>
      <c r="M11" s="233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2">
        <f>INDEX('файл остатки'!$A$5:$CX$265,MATCH($H$1,'файл остатки'!$A$5:$A$228,0),MATCH($B11,'файл остатки'!$A$5:$CX$5,0))</f>
        <v>0</v>
      </c>
      <c r="O11" s="240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7"/>
      <c r="Q11" s="216"/>
      <c r="R11" s="207"/>
      <c r="S11" s="233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2">
        <f>INDEX('файл остатки'!$A$5:$CX$265,MATCH($H$1,'файл остатки'!$A$5:$A$228,0),MATCH($B11,'файл остатки'!$A$5:$CX$5,0))</f>
        <v>0</v>
      </c>
      <c r="U11" s="240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7"/>
      <c r="W11" s="216"/>
      <c r="X11" s="207"/>
      <c r="Y11" s="233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2">
        <f>INDEX('файл остатки'!$A$5:$CX$265,MATCH($H$1,'файл остатки'!$A$5:$A$228,0),MATCH($B11,'файл остатки'!$A$5:$CX$5,0))</f>
        <v>0</v>
      </c>
      <c r="AA11" s="240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7"/>
      <c r="AC11" s="216">
        <v>-180</v>
      </c>
      <c r="AD11" s="207"/>
      <c r="AE11" s="233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2">
        <f>INDEX('файл остатки'!$A$5:$CX$265,MATCH($H$1,'файл остатки'!$A$5:$A$228,0),MATCH($B11,'файл остатки'!$A$5:$CX$5,0))</f>
        <v>0</v>
      </c>
      <c r="AG11" s="240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7"/>
      <c r="AI11" s="216">
        <v>0</v>
      </c>
      <c r="AJ11" s="207"/>
      <c r="AK11" s="233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2">
        <f>INDEX('файл остатки'!$A$5:$CX$265,MATCH($H$1,'файл остатки'!$A$5:$A$228,0),MATCH($B11,'файл остатки'!$A$5:$CX$5,0))</f>
        <v>0</v>
      </c>
      <c r="AM11" s="240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7"/>
      <c r="AO11" s="216"/>
      <c r="AP11" s="207"/>
      <c r="AQ11" s="233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2">
        <f>INDEX('файл остатки'!$A$5:$CX$265,MATCH($H$1,'файл остатки'!$A$5:$A$228,0),MATCH($B11,'файл остатки'!$A$5:$CX$5,0))</f>
        <v>0</v>
      </c>
      <c r="AS11" s="240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7"/>
      <c r="AU11" s="216"/>
      <c r="AV11" s="207"/>
      <c r="AW11" s="233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2">
        <f>INDEX('файл остатки'!$A$5:$CX$265,MATCH($H$1,'файл остатки'!$A$5:$A$228,0),MATCH($B11,'файл остатки'!$A$5:$CX$5,0))</f>
        <v>0</v>
      </c>
      <c r="AY11" s="240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7"/>
      <c r="BA11" s="216">
        <v>-200</v>
      </c>
      <c r="BB11" s="207"/>
      <c r="BC11" s="233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2">
        <f>INDEX('файл остатки'!$A$5:$CX$265,MATCH($H$1,'файл остатки'!$A$5:$A$228,0),MATCH($B11,'файл остатки'!$A$5:$CX$5,0))</f>
        <v>0</v>
      </c>
      <c r="BE11" s="240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7"/>
      <c r="BG11" s="216"/>
      <c r="BH11" s="207"/>
      <c r="BI11" s="233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2">
        <f>INDEX('файл остатки'!$A$5:$CX$265,MATCH($H$1,'файл остатки'!$A$5:$A$228,0),MATCH($B11,'файл остатки'!$A$5:$CX$5,0))</f>
        <v>0</v>
      </c>
      <c r="BK11" s="212" t="e">
        <f t="shared" si="0"/>
        <v>#N/A</v>
      </c>
      <c r="BL11" s="240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7"/>
      <c r="BN11" s="216">
        <f t="shared" si="1"/>
        <v>-420</v>
      </c>
      <c r="BO11" s="207"/>
      <c r="BP11" s="233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420</v>
      </c>
      <c r="BQ11" s="212">
        <f>INDEX('файл остатки'!$A$5:$CX$265,MATCH($H$1,'файл остатки'!$A$5:$A$228,0),MATCH($B11,'файл остатки'!$A$5:$CX$5,0))</f>
        <v>0</v>
      </c>
      <c r="BR11" s="240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7"/>
      <c r="BT11" s="216">
        <f t="shared" si="2"/>
        <v>-420</v>
      </c>
      <c r="BU11" s="207"/>
      <c r="BV11" s="233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420</v>
      </c>
      <c r="BW11" s="212">
        <f>INDEX('файл остатки'!$A$5:$CX$265,MATCH($H$1,'файл остатки'!$A$5:$A$228,0),MATCH($B11,'файл остатки'!$A$5:$CX$5,0))</f>
        <v>0</v>
      </c>
      <c r="BX11" s="240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7"/>
      <c r="BZ11" s="216">
        <f t="shared" si="3"/>
        <v>-420</v>
      </c>
      <c r="CA11" s="207"/>
      <c r="CB11" s="233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420</v>
      </c>
      <c r="CC11" s="212">
        <f>INDEX('файл остатки'!$A$5:$CX$265,MATCH($H$1,'файл остатки'!$A$5:$A$228,0),MATCH($B11,'файл остатки'!$A$5:$CX$5,0))</f>
        <v>0</v>
      </c>
      <c r="CD11" s="240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7"/>
      <c r="CH11" s="216">
        <f t="shared" si="4"/>
        <v>-592.4</v>
      </c>
      <c r="CI11" s="207"/>
      <c r="CJ11" s="216" t="e">
        <f t="shared" si="5"/>
        <v>#N/A</v>
      </c>
      <c r="CK11" s="207"/>
      <c r="CO11" s="222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4" t="s">
        <v>114</v>
      </c>
      <c r="C12" s="243" t="e">
        <f>INDEX('файл остатки'!$A$5:$CX$265,MATCH($C$1,'файл остатки'!$A$5:$A$228,0),MATCH(B12,'файл остатки'!$A$5:$CX$5,0))</f>
        <v>#N/A</v>
      </c>
      <c r="D12" s="247"/>
      <c r="E12" s="216"/>
      <c r="F12" s="207"/>
      <c r="G12" s="233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2" t="e">
        <f>INDEX('файл остатки'!$A$5:$CX$265,MATCH($H$1,'файл остатки'!$A$5:$A$228,0),MATCH($B12,'файл остатки'!$A$5:$CX$5,0))</f>
        <v>#N/A</v>
      </c>
      <c r="I12" s="240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7"/>
      <c r="K12" s="216">
        <v>-739.5</v>
      </c>
      <c r="L12" s="207"/>
      <c r="M12" s="233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2" t="e">
        <f>INDEX('файл остатки'!$A$5:$CX$265,MATCH($H$1,'файл остатки'!$A$5:$A$228,0),MATCH($B12,'файл остатки'!$A$5:$CX$5,0))</f>
        <v>#N/A</v>
      </c>
      <c r="O12" s="240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7"/>
      <c r="Q12" s="216">
        <v>-46.5</v>
      </c>
      <c r="R12" s="207"/>
      <c r="S12" s="233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2" t="e">
        <f>INDEX('файл остатки'!$A$5:$CX$265,MATCH($H$1,'файл остатки'!$A$5:$A$228,0),MATCH($B12,'файл остатки'!$A$5:$CX$5,0))</f>
        <v>#N/A</v>
      </c>
      <c r="U12" s="240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7"/>
      <c r="W12" s="216"/>
      <c r="X12" s="207"/>
      <c r="Y12" s="233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2" t="e">
        <f>INDEX('файл остатки'!$A$5:$CX$265,MATCH($H$1,'файл остатки'!$A$5:$A$228,0),MATCH($B12,'файл остатки'!$A$5:$CX$5,0))</f>
        <v>#N/A</v>
      </c>
      <c r="AA12" s="240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7"/>
      <c r="AC12" s="216">
        <v>-804</v>
      </c>
      <c r="AD12" s="207"/>
      <c r="AE12" s="233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2" t="e">
        <f>INDEX('файл остатки'!$A$5:$CX$265,MATCH($H$1,'файл остатки'!$A$5:$A$228,0),MATCH($B12,'файл остатки'!$A$5:$CX$5,0))</f>
        <v>#N/A</v>
      </c>
      <c r="AG12" s="240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7"/>
      <c r="AI12" s="216">
        <v>-249</v>
      </c>
      <c r="AJ12" s="207"/>
      <c r="AK12" s="233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2" t="e">
        <f>INDEX('файл остатки'!$A$5:$CX$265,MATCH($H$1,'файл остатки'!$A$5:$A$228,0),MATCH($B12,'файл остатки'!$A$5:$CX$5,0))</f>
        <v>#N/A</v>
      </c>
      <c r="AM12" s="240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7"/>
      <c r="AO12" s="216"/>
      <c r="AP12" s="207"/>
      <c r="AQ12" s="233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2" t="e">
        <f>INDEX('файл остатки'!$A$5:$CX$265,MATCH($H$1,'файл остатки'!$A$5:$A$228,0),MATCH($B12,'файл остатки'!$A$5:$CX$5,0))</f>
        <v>#N/A</v>
      </c>
      <c r="AS12" s="240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7"/>
      <c r="AU12" s="216"/>
      <c r="AV12" s="207"/>
      <c r="AW12" s="233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2" t="e">
        <f>INDEX('файл остатки'!$A$5:$CX$265,MATCH($H$1,'файл остатки'!$A$5:$A$228,0),MATCH($B12,'файл остатки'!$A$5:$CX$5,0))</f>
        <v>#N/A</v>
      </c>
      <c r="AY12" s="240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7"/>
      <c r="BA12" s="216">
        <v>-1022</v>
      </c>
      <c r="BB12" s="207"/>
      <c r="BC12" s="233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2" t="e">
        <f>INDEX('файл остатки'!$A$5:$CX$265,MATCH($H$1,'файл остатки'!$A$5:$A$228,0),MATCH($B12,'файл остатки'!$A$5:$CX$5,0))</f>
        <v>#N/A</v>
      </c>
      <c r="BE12" s="240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7"/>
      <c r="BG12" s="216"/>
      <c r="BH12" s="207"/>
      <c r="BI12" s="233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2" t="e">
        <f>INDEX('файл остатки'!$A$5:$CX$265,MATCH($H$1,'файл остатки'!$A$5:$A$228,0),MATCH($B12,'файл остатки'!$A$5:$CX$5,0))</f>
        <v>#N/A</v>
      </c>
      <c r="BK12" s="212" t="e">
        <f t="shared" si="0"/>
        <v>#N/A</v>
      </c>
      <c r="BL12" s="240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7"/>
      <c r="BN12" s="216" t="e">
        <f t="shared" si="1"/>
        <v>#N/A</v>
      </c>
      <c r="BO12" s="207"/>
      <c r="BP12" s="233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2" t="e">
        <f>INDEX('файл остатки'!$A$5:$CX$265,MATCH($H$1,'файл остатки'!$A$5:$A$228,0),MATCH($B12,'файл остатки'!$A$5:$CX$5,0))</f>
        <v>#N/A</v>
      </c>
      <c r="BR12" s="240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7"/>
      <c r="BT12" s="216" t="e">
        <f t="shared" si="2"/>
        <v>#N/A</v>
      </c>
      <c r="BU12" s="207"/>
      <c r="BV12" s="233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2" t="e">
        <f>INDEX('файл остатки'!$A$5:$CX$265,MATCH($H$1,'файл остатки'!$A$5:$A$228,0),MATCH($B12,'файл остатки'!$A$5:$CX$5,0))</f>
        <v>#N/A</v>
      </c>
      <c r="BX12" s="240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7"/>
      <c r="BZ12" s="216" t="e">
        <f t="shared" si="3"/>
        <v>#N/A</v>
      </c>
      <c r="CA12" s="207"/>
      <c r="CB12" s="233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2" t="e">
        <f>INDEX('файл остатки'!$A$5:$CX$265,MATCH($H$1,'файл остатки'!$A$5:$A$228,0),MATCH($B12,'файл остатки'!$A$5:$CX$5,0))</f>
        <v>#N/A</v>
      </c>
      <c r="CD12" s="240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7"/>
      <c r="CH12" s="216">
        <f t="shared" si="4"/>
        <v>-2861</v>
      </c>
      <c r="CI12" s="207"/>
      <c r="CJ12" s="216" t="e">
        <f t="shared" si="5"/>
        <v>#N/A</v>
      </c>
      <c r="CK12" s="207"/>
      <c r="CO12" s="222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4" t="s">
        <v>146</v>
      </c>
      <c r="C13" s="243">
        <f>INDEX('файл остатки'!$A$5:$CX$265,MATCH($C$1,'файл остатки'!$A$5:$A$228,0),MATCH(B13,'файл остатки'!$A$5:$CX$5,0))</f>
        <v>33</v>
      </c>
      <c r="D13" s="247"/>
      <c r="E13" s="216"/>
      <c r="F13" s="207"/>
      <c r="G13" s="233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2">
        <f>INDEX('файл остатки'!$A$5:$CX$265,MATCH($H$1,'файл остатки'!$A$5:$A$228,0),MATCH($B13,'файл остатки'!$A$5:$CX$5,0))</f>
        <v>0</v>
      </c>
      <c r="I13" s="240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7"/>
      <c r="K13" s="216">
        <v>-40.5</v>
      </c>
      <c r="L13" s="207"/>
      <c r="M13" s="233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2">
        <f>INDEX('файл остатки'!$A$5:$CX$265,MATCH($H$1,'файл остатки'!$A$5:$A$228,0),MATCH($B13,'файл остатки'!$A$5:$CX$5,0))</f>
        <v>0</v>
      </c>
      <c r="O13" s="240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7">
        <v>6</v>
      </c>
      <c r="Q13" s="216">
        <v>-63</v>
      </c>
      <c r="R13" s="207"/>
      <c r="S13" s="233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2">
        <f>INDEX('файл остатки'!$A$5:$CX$265,MATCH($H$1,'файл остатки'!$A$5:$A$228,0),MATCH($B13,'файл остатки'!$A$5:$CX$5,0))</f>
        <v>0</v>
      </c>
      <c r="U13" s="240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7"/>
      <c r="W13" s="216"/>
      <c r="X13" s="207"/>
      <c r="Y13" s="233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2">
        <f>INDEX('файл остатки'!$A$5:$CX$265,MATCH($H$1,'файл остатки'!$A$5:$A$228,0),MATCH($B13,'файл остатки'!$A$5:$CX$5,0))</f>
        <v>0</v>
      </c>
      <c r="AA13" s="240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7"/>
      <c r="AC13" s="216">
        <v>-33</v>
      </c>
      <c r="AD13" s="207"/>
      <c r="AE13" s="233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2">
        <f>INDEX('файл остатки'!$A$5:$CX$265,MATCH($H$1,'файл остатки'!$A$5:$A$228,0),MATCH($B13,'файл остатки'!$A$5:$CX$5,0))</f>
        <v>0</v>
      </c>
      <c r="AG13" s="240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7"/>
      <c r="AI13" s="216">
        <v>-50</v>
      </c>
      <c r="AJ13" s="207"/>
      <c r="AK13" s="233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2">
        <f>INDEX('файл остатки'!$A$5:$CX$265,MATCH($H$1,'файл остатки'!$A$5:$A$228,0),MATCH($B13,'файл остатки'!$A$5:$CX$5,0))</f>
        <v>0</v>
      </c>
      <c r="AM13" s="240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7"/>
      <c r="AO13" s="216"/>
      <c r="AP13" s="207"/>
      <c r="AQ13" s="233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2">
        <f>INDEX('файл остатки'!$A$5:$CX$265,MATCH($H$1,'файл остатки'!$A$5:$A$228,0),MATCH($B13,'файл остатки'!$A$5:$CX$5,0))</f>
        <v>0</v>
      </c>
      <c r="AS13" s="240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7"/>
      <c r="AU13" s="216"/>
      <c r="AV13" s="207"/>
      <c r="AW13" s="233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2">
        <f>INDEX('файл остатки'!$A$5:$CX$265,MATCH($H$1,'файл остатки'!$A$5:$A$228,0),MATCH($B13,'файл остатки'!$A$5:$CX$5,0))</f>
        <v>0</v>
      </c>
      <c r="AY13" s="240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7"/>
      <c r="BA13" s="216">
        <v>-30</v>
      </c>
      <c r="BB13" s="207"/>
      <c r="BC13" s="233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2">
        <f>INDEX('файл остатки'!$A$5:$CX$265,MATCH($H$1,'файл остатки'!$A$5:$A$228,0),MATCH($B13,'файл остатки'!$A$5:$CX$5,0))</f>
        <v>0</v>
      </c>
      <c r="BE13" s="240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7"/>
      <c r="BG13" s="216"/>
      <c r="BH13" s="207"/>
      <c r="BI13" s="233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2">
        <f>INDEX('файл остатки'!$A$5:$CX$265,MATCH($H$1,'файл остатки'!$A$5:$A$228,0),MATCH($B13,'файл остатки'!$A$5:$CX$5,0))</f>
        <v>0</v>
      </c>
      <c r="BK13" s="212" t="e">
        <f t="shared" si="0"/>
        <v>#N/A</v>
      </c>
      <c r="BL13" s="240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7"/>
      <c r="BN13" s="216">
        <f t="shared" si="1"/>
        <v>-211.3125</v>
      </c>
      <c r="BO13" s="207"/>
      <c r="BP13" s="233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2">
        <f>INDEX('файл остатки'!$A$5:$CX$265,MATCH($H$1,'файл остатки'!$A$5:$A$228,0),MATCH($B13,'файл остатки'!$A$5:$CX$5,0))</f>
        <v>0</v>
      </c>
      <c r="BR13" s="240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7"/>
      <c r="BT13" s="216">
        <f t="shared" si="2"/>
        <v>-211.3125</v>
      </c>
      <c r="BU13" s="207"/>
      <c r="BV13" s="233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2">
        <f>INDEX('файл остатки'!$A$5:$CX$265,MATCH($H$1,'файл остатки'!$A$5:$A$228,0),MATCH($B13,'файл остатки'!$A$5:$CX$5,0))</f>
        <v>0</v>
      </c>
      <c r="BX13" s="240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7"/>
      <c r="BZ13" s="216">
        <f t="shared" si="3"/>
        <v>-211.3125</v>
      </c>
      <c r="CA13" s="207"/>
      <c r="CB13" s="233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2">
        <f>INDEX('файл остатки'!$A$5:$CX$265,MATCH($H$1,'файл остатки'!$A$5:$A$228,0),MATCH($B13,'файл остатки'!$A$5:$CX$5,0))</f>
        <v>0</v>
      </c>
      <c r="CD13" s="240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7"/>
      <c r="CH13" s="216">
        <f t="shared" si="4"/>
        <v>-216.5</v>
      </c>
      <c r="CI13" s="207"/>
      <c r="CJ13" s="216" t="e">
        <f t="shared" si="5"/>
        <v>#N/A</v>
      </c>
      <c r="CK13" s="207"/>
      <c r="CO13" s="222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4" t="s">
        <v>169</v>
      </c>
      <c r="C14" s="243" t="e">
        <f>INDEX('файл остатки'!$A$5:$CX$265,MATCH($C$1,'файл остатки'!$A$5:$A$228,0),MATCH(B14,'файл остатки'!$A$5:$CX$5,0))</f>
        <v>#N/A</v>
      </c>
      <c r="D14" s="247"/>
      <c r="E14" s="216"/>
      <c r="F14" s="207"/>
      <c r="G14" s="233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2" t="e">
        <f>INDEX('файл остатки'!$A$5:$CX$265,MATCH($H$1,'файл остатки'!$A$5:$A$228,0),MATCH($B14,'файл остатки'!$A$5:$CX$5,0))</f>
        <v>#N/A</v>
      </c>
      <c r="I14" s="240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7"/>
      <c r="K14" s="216"/>
      <c r="L14" s="207"/>
      <c r="M14" s="233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2" t="e">
        <f>INDEX('файл остатки'!$A$5:$CX$265,MATCH($H$1,'файл остатки'!$A$5:$A$228,0),MATCH($B14,'файл остатки'!$A$5:$CX$5,0))</f>
        <v>#N/A</v>
      </c>
      <c r="O14" s="240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7">
        <v>29</v>
      </c>
      <c r="Q14" s="216"/>
      <c r="R14" s="207"/>
      <c r="S14" s="233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2" t="e">
        <f>INDEX('файл остатки'!$A$5:$CX$265,MATCH($H$1,'файл остатки'!$A$5:$A$228,0),MATCH($B14,'файл остатки'!$A$5:$CX$5,0))</f>
        <v>#N/A</v>
      </c>
      <c r="U14" s="240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7"/>
      <c r="W14" s="216"/>
      <c r="X14" s="207"/>
      <c r="Y14" s="233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2" t="e">
        <f>INDEX('файл остатки'!$A$5:$CX$265,MATCH($H$1,'файл остатки'!$A$5:$A$228,0),MATCH($B14,'файл остатки'!$A$5:$CX$5,0))</f>
        <v>#N/A</v>
      </c>
      <c r="AA14" s="240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7"/>
      <c r="AC14" s="216">
        <v>-28.666666666666668</v>
      </c>
      <c r="AD14" s="207"/>
      <c r="AE14" s="233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2" t="e">
        <f>INDEX('файл остатки'!$A$5:$CX$265,MATCH($H$1,'файл остатки'!$A$5:$A$228,0),MATCH($B14,'файл остатки'!$A$5:$CX$5,0))</f>
        <v>#N/A</v>
      </c>
      <c r="AG14" s="240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7"/>
      <c r="AI14" s="216">
        <v>-25</v>
      </c>
      <c r="AJ14" s="207"/>
      <c r="AK14" s="233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2" t="e">
        <f>INDEX('файл остатки'!$A$5:$CX$265,MATCH($H$1,'файл остатки'!$A$5:$A$228,0),MATCH($B14,'файл остатки'!$A$5:$CX$5,0))</f>
        <v>#N/A</v>
      </c>
      <c r="AM14" s="240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7"/>
      <c r="AO14" s="216"/>
      <c r="AP14" s="207"/>
      <c r="AQ14" s="233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2" t="e">
        <f>INDEX('файл остатки'!$A$5:$CX$265,MATCH($H$1,'файл остатки'!$A$5:$A$228,0),MATCH($B14,'файл остатки'!$A$5:$CX$5,0))</f>
        <v>#N/A</v>
      </c>
      <c r="AS14" s="240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7"/>
      <c r="AU14" s="216"/>
      <c r="AV14" s="207"/>
      <c r="AW14" s="233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2" t="e">
        <f>INDEX('файл остатки'!$A$5:$CX$265,MATCH($H$1,'файл остатки'!$A$5:$A$228,0),MATCH($B14,'файл остатки'!$A$5:$CX$5,0))</f>
        <v>#N/A</v>
      </c>
      <c r="AY14" s="240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7"/>
      <c r="BA14" s="216">
        <v>-52.083333333333329</v>
      </c>
      <c r="BB14" s="207"/>
      <c r="BC14" s="233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2" t="e">
        <f>INDEX('файл остатки'!$A$5:$CX$265,MATCH($H$1,'файл остатки'!$A$5:$A$228,0),MATCH($B14,'файл остатки'!$A$5:$CX$5,0))</f>
        <v>#N/A</v>
      </c>
      <c r="BE14" s="240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7"/>
      <c r="BG14" s="216"/>
      <c r="BH14" s="207"/>
      <c r="BI14" s="233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2" t="e">
        <f>INDEX('файл остатки'!$A$5:$CX$265,MATCH($H$1,'файл остатки'!$A$5:$A$228,0),MATCH($B14,'файл остатки'!$A$5:$CX$5,0))</f>
        <v>#N/A</v>
      </c>
      <c r="BK14" s="212" t="e">
        <f t="shared" si="0"/>
        <v>#N/A</v>
      </c>
      <c r="BL14" s="240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7"/>
      <c r="BN14" s="216" t="e">
        <f t="shared" si="1"/>
        <v>#N/A</v>
      </c>
      <c r="BO14" s="207"/>
      <c r="BP14" s="233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2" t="e">
        <f>INDEX('файл остатки'!$A$5:$CX$265,MATCH($H$1,'файл остатки'!$A$5:$A$228,0),MATCH($B14,'файл остатки'!$A$5:$CX$5,0))</f>
        <v>#N/A</v>
      </c>
      <c r="BR14" s="240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7"/>
      <c r="BT14" s="216" t="e">
        <f t="shared" si="2"/>
        <v>#N/A</v>
      </c>
      <c r="BU14" s="207"/>
      <c r="BV14" s="233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2" t="e">
        <f>INDEX('файл остатки'!$A$5:$CX$265,MATCH($H$1,'файл остатки'!$A$5:$A$228,0),MATCH($B14,'файл остатки'!$A$5:$CX$5,0))</f>
        <v>#N/A</v>
      </c>
      <c r="BX14" s="240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7"/>
      <c r="BZ14" s="216" t="e">
        <f t="shared" si="3"/>
        <v>#N/A</v>
      </c>
      <c r="CA14" s="207"/>
      <c r="CB14" s="233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2" t="e">
        <f>INDEX('файл остатки'!$A$5:$CX$265,MATCH($H$1,'файл остатки'!$A$5:$A$228,0),MATCH($B14,'файл остатки'!$A$5:$CX$5,0))</f>
        <v>#N/A</v>
      </c>
      <c r="CD14" s="240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7"/>
      <c r="CH14" s="216">
        <f t="shared" si="4"/>
        <v>-105.75</v>
      </c>
      <c r="CI14" s="207"/>
      <c r="CJ14" s="216" t="e">
        <f t="shared" si="5"/>
        <v>#N/A</v>
      </c>
      <c r="CK14" s="207"/>
      <c r="CO14" s="222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8" t="s">
        <v>274</v>
      </c>
      <c r="C15" s="243" t="e">
        <f>INDEX('файл остатки'!$A$5:$CX$265,MATCH($C$1,'файл остатки'!$A$5:$A$228,0),MATCH(B15,'файл остатки'!$A$5:$CX$5,0))</f>
        <v>#N/A</v>
      </c>
      <c r="D15" s="247"/>
      <c r="E15" s="216"/>
      <c r="F15" s="207"/>
      <c r="G15" s="269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2" t="e">
        <f>INDEX('файл остатки'!$A$5:$CX$265,MATCH($H$1,'файл остатки'!$A$5:$A$228,0),MATCH($B15,'файл остатки'!$A$5:$CX$5,0))</f>
        <v>#N/A</v>
      </c>
      <c r="I15" s="240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7"/>
      <c r="K15" s="216">
        <v>-0.75</v>
      </c>
      <c r="L15" s="207"/>
      <c r="M15" s="269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2" t="e">
        <f>INDEX('файл остатки'!$A$5:$CX$265,MATCH($H$1,'файл остатки'!$A$5:$A$228,0),MATCH($B15,'файл остатки'!$A$5:$CX$5,0))</f>
        <v>#N/A</v>
      </c>
      <c r="O15" s="240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7">
        <v>223.25</v>
      </c>
      <c r="Q15" s="216"/>
      <c r="R15" s="207"/>
      <c r="S15" s="269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2" t="e">
        <f>INDEX('файл остатки'!$A$5:$CX$265,MATCH($H$1,'файл остатки'!$A$5:$A$228,0),MATCH($B15,'файл остатки'!$A$5:$CX$5,0))</f>
        <v>#N/A</v>
      </c>
      <c r="U15" s="240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7"/>
      <c r="W15" s="216"/>
      <c r="X15" s="207"/>
      <c r="Y15" s="269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2" t="e">
        <f>INDEX('файл остатки'!$A$5:$CX$265,MATCH($H$1,'файл остатки'!$A$5:$A$228,0),MATCH($B15,'файл остатки'!$A$5:$CX$5,0))</f>
        <v>#N/A</v>
      </c>
      <c r="AA15" s="240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7"/>
      <c r="AC15" s="216">
        <v>-306</v>
      </c>
      <c r="AD15" s="207"/>
      <c r="AE15" s="269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2" t="e">
        <f>INDEX('файл остатки'!$A$5:$CX$265,MATCH($H$1,'файл остатки'!$A$5:$A$228,0),MATCH($B15,'файл остатки'!$A$5:$CX$5,0))</f>
        <v>#N/A</v>
      </c>
      <c r="AG15" s="240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7"/>
      <c r="AI15" s="216">
        <v>-323</v>
      </c>
      <c r="AJ15" s="207"/>
      <c r="AK15" s="269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2" t="e">
        <f>INDEX('файл остатки'!$A$5:$CX$265,MATCH($H$1,'файл остатки'!$A$5:$A$228,0),MATCH($B15,'файл остатки'!$A$5:$CX$5,0))</f>
        <v>#N/A</v>
      </c>
      <c r="AM15" s="240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7"/>
      <c r="AO15" s="216"/>
      <c r="AP15" s="207"/>
      <c r="AQ15" s="269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2" t="e">
        <f>INDEX('файл остатки'!$A$5:$CX$265,MATCH($H$1,'файл остатки'!$A$5:$A$228,0),MATCH($B15,'файл остатки'!$A$5:$CX$5,0))</f>
        <v>#N/A</v>
      </c>
      <c r="AS15" s="240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7"/>
      <c r="AU15" s="216"/>
      <c r="AV15" s="207"/>
      <c r="AW15" s="269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2" t="e">
        <f>INDEX('файл остатки'!$A$5:$CX$265,MATCH($H$1,'файл остатки'!$A$5:$A$228,0),MATCH($B15,'файл остатки'!$A$5:$CX$5,0))</f>
        <v>#N/A</v>
      </c>
      <c r="AY15" s="240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7"/>
      <c r="BA15" s="216">
        <v>-867.25</v>
      </c>
      <c r="BB15" s="207"/>
      <c r="BC15" s="269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2" t="e">
        <f>INDEX('файл остатки'!$A$5:$CX$265,MATCH($H$1,'файл остатки'!$A$5:$A$228,0),MATCH($B15,'файл остатки'!$A$5:$CX$5,0))</f>
        <v>#N/A</v>
      </c>
      <c r="BE15" s="240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7"/>
      <c r="BG15" s="216"/>
      <c r="BH15" s="207"/>
      <c r="BI15" s="269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2" t="e">
        <f>INDEX('файл остатки'!$A$5:$CX$265,MATCH($H$1,'файл остатки'!$A$5:$A$228,0),MATCH($B15,'файл остатки'!$A$5:$CX$5,0))</f>
        <v>#N/A</v>
      </c>
      <c r="BK15" s="212" t="e">
        <f>((-CJ15/10+BP15/7+BV15/7+CB15/7)/4)*CO15</f>
        <v>#N/A</v>
      </c>
      <c r="BL15" s="240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7"/>
      <c r="BN15" s="216" t="e">
        <f>-BP15</f>
        <v>#N/A</v>
      </c>
      <c r="BO15" s="207"/>
      <c r="BP15" s="269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2" t="e">
        <f>INDEX('файл остатки'!$A$5:$CX$265,MATCH($H$1,'файл остатки'!$A$5:$A$228,0),MATCH($B15,'файл остатки'!$A$5:$CX$5,0))</f>
        <v>#N/A</v>
      </c>
      <c r="BR15" s="240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7"/>
      <c r="BT15" s="216" t="e">
        <f>-BV15</f>
        <v>#N/A</v>
      </c>
      <c r="BU15" s="207"/>
      <c r="BV15" s="269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2" t="e">
        <f>INDEX('файл остатки'!$A$5:$CX$265,MATCH($H$1,'файл остатки'!$A$5:$A$228,0),MATCH($B15,'файл остатки'!$A$5:$CX$5,0))</f>
        <v>#N/A</v>
      </c>
      <c r="BX15" s="240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7"/>
      <c r="BZ15" s="216" t="e">
        <f>-CB15</f>
        <v>#N/A</v>
      </c>
      <c r="CA15" s="207"/>
      <c r="CB15" s="269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2" t="e">
        <f>INDEX('файл остатки'!$A$5:$CX$265,MATCH($H$1,'файл остатки'!$A$5:$A$228,0),MATCH($B15,'файл остатки'!$A$5:$CX$5,0))</f>
        <v>#N/A</v>
      </c>
      <c r="CD15" s="240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7"/>
      <c r="CH15" s="216">
        <f>E15+K15+Q15+W15+AC15+AI15+AO15+AU15+BA15+BG15</f>
        <v>-1497</v>
      </c>
      <c r="CI15" s="207"/>
      <c r="CJ15" s="216" t="e">
        <f>-(G15+M15+S15+Y15+AE15+AK15+AQ15+AW15+BC15+BI15)</f>
        <v>#N/A</v>
      </c>
      <c r="CK15" s="207"/>
      <c r="CO15" s="222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4" t="s">
        <v>149</v>
      </c>
      <c r="C16" s="243" t="e">
        <f>INDEX('файл остатки'!$A$5:$CX$265,MATCH($C$1,'файл остатки'!$A$5:$A$228,0),MATCH(B16,'файл остатки'!$A$5:$CX$5,0))</f>
        <v>#N/A</v>
      </c>
      <c r="D16" s="247"/>
      <c r="E16" s="216"/>
      <c r="F16" s="207"/>
      <c r="G16" s="233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2" t="e">
        <f>INDEX('файл остатки'!$A$5:$CX$265,MATCH($H$1,'файл остатки'!$A$5:$A$228,0),MATCH($B16,'файл остатки'!$A$5:$CX$5,0))</f>
        <v>#N/A</v>
      </c>
      <c r="I16" s="240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7"/>
      <c r="K16" s="216">
        <v>-57</v>
      </c>
      <c r="L16" s="207"/>
      <c r="M16" s="233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2" t="e">
        <f>INDEX('файл остатки'!$A$5:$CX$265,MATCH($H$1,'файл остатки'!$A$5:$A$228,0),MATCH($B16,'файл остатки'!$A$5:$CX$5,0))</f>
        <v>#N/A</v>
      </c>
      <c r="O16" s="240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7">
        <v>4.24</v>
      </c>
      <c r="Q16" s="216"/>
      <c r="R16" s="207"/>
      <c r="S16" s="233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2" t="e">
        <f>INDEX('файл остатки'!$A$5:$CX$265,MATCH($H$1,'файл остатки'!$A$5:$A$228,0),MATCH($B16,'файл остатки'!$A$5:$CX$5,0))</f>
        <v>#N/A</v>
      </c>
      <c r="U16" s="240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7"/>
      <c r="W16" s="216"/>
      <c r="X16" s="207"/>
      <c r="Y16" s="233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2" t="e">
        <f>INDEX('файл остатки'!$A$5:$CX$265,MATCH($H$1,'файл остатки'!$A$5:$A$228,0),MATCH($B16,'файл остатки'!$A$5:$CX$5,0))</f>
        <v>#N/A</v>
      </c>
      <c r="AA16" s="240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7"/>
      <c r="AC16" s="216">
        <v>-14</v>
      </c>
      <c r="AD16" s="207"/>
      <c r="AE16" s="233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2" t="e">
        <f>INDEX('файл остатки'!$A$5:$CX$265,MATCH($H$1,'файл остатки'!$A$5:$A$228,0),MATCH($B16,'файл остатки'!$A$5:$CX$5,0))</f>
        <v>#N/A</v>
      </c>
      <c r="AG16" s="240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7"/>
      <c r="AI16" s="216">
        <v>-12</v>
      </c>
      <c r="AJ16" s="207"/>
      <c r="AK16" s="233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2" t="e">
        <f>INDEX('файл остатки'!$A$5:$CX$265,MATCH($H$1,'файл остатки'!$A$5:$A$228,0),MATCH($B16,'файл остатки'!$A$5:$CX$5,0))</f>
        <v>#N/A</v>
      </c>
      <c r="AM16" s="240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7"/>
      <c r="AO16" s="216"/>
      <c r="AP16" s="207"/>
      <c r="AQ16" s="233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2" t="e">
        <f>INDEX('файл остатки'!$A$5:$CX$265,MATCH($H$1,'файл остатки'!$A$5:$A$228,0),MATCH($B16,'файл остатки'!$A$5:$CX$5,0))</f>
        <v>#N/A</v>
      </c>
      <c r="AS16" s="240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7"/>
      <c r="AU16" s="216"/>
      <c r="AV16" s="207"/>
      <c r="AW16" s="233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2" t="e">
        <f>INDEX('файл остатки'!$A$5:$CX$265,MATCH($H$1,'файл остатки'!$A$5:$A$228,0),MATCH($B16,'файл остатки'!$A$5:$CX$5,0))</f>
        <v>#N/A</v>
      </c>
      <c r="AY16" s="240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7"/>
      <c r="BA16" s="216">
        <v>-8</v>
      </c>
      <c r="BB16" s="207"/>
      <c r="BC16" s="233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2" t="e">
        <f>INDEX('файл остатки'!$A$5:$CX$265,MATCH($H$1,'файл остатки'!$A$5:$A$228,0),MATCH($B16,'файл остатки'!$A$5:$CX$5,0))</f>
        <v>#N/A</v>
      </c>
      <c r="BE16" s="240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7"/>
      <c r="BG16" s="216"/>
      <c r="BH16" s="207"/>
      <c r="BI16" s="233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2" t="e">
        <f>INDEX('файл остатки'!$A$5:$CX$265,MATCH($H$1,'файл остатки'!$A$5:$A$228,0),MATCH($B16,'файл остатки'!$A$5:$CX$5,0))</f>
        <v>#N/A</v>
      </c>
      <c r="BK16" s="212" t="e">
        <f t="shared" si="0"/>
        <v>#N/A</v>
      </c>
      <c r="BL16" s="240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7"/>
      <c r="BN16" s="216" t="e">
        <f t="shared" si="1"/>
        <v>#N/A</v>
      </c>
      <c r="BO16" s="207"/>
      <c r="BP16" s="233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2" t="e">
        <f>INDEX('файл остатки'!$A$5:$CX$265,MATCH($H$1,'файл остатки'!$A$5:$A$228,0),MATCH($B16,'файл остатки'!$A$5:$CX$5,0))</f>
        <v>#N/A</v>
      </c>
      <c r="BR16" s="240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7"/>
      <c r="BT16" s="216" t="e">
        <f t="shared" si="2"/>
        <v>#N/A</v>
      </c>
      <c r="BU16" s="207"/>
      <c r="BV16" s="233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2" t="e">
        <f>INDEX('файл остатки'!$A$5:$CX$265,MATCH($H$1,'файл остатки'!$A$5:$A$228,0),MATCH($B16,'файл остатки'!$A$5:$CX$5,0))</f>
        <v>#N/A</v>
      </c>
      <c r="BX16" s="240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7"/>
      <c r="BZ16" s="216" t="e">
        <f t="shared" si="3"/>
        <v>#N/A</v>
      </c>
      <c r="CA16" s="207"/>
      <c r="CB16" s="233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2" t="e">
        <f>INDEX('файл остатки'!$A$5:$CX$265,MATCH($H$1,'файл остатки'!$A$5:$A$228,0),MATCH($B16,'файл остатки'!$A$5:$CX$5,0))</f>
        <v>#N/A</v>
      </c>
      <c r="CD16" s="240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7"/>
      <c r="CH16" s="216">
        <f t="shared" si="4"/>
        <v>-91</v>
      </c>
      <c r="CI16" s="207"/>
      <c r="CJ16" s="216" t="e">
        <f t="shared" si="5"/>
        <v>#N/A</v>
      </c>
      <c r="CK16" s="207"/>
      <c r="CO16" s="222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4" t="s">
        <v>93</v>
      </c>
      <c r="C17" s="243" t="e">
        <f>INDEX('файл остатки'!$A$5:$CX$265,MATCH($C$1,'файл остатки'!$A$5:$A$228,0),MATCH(B17,'файл остатки'!$A$5:$CX$5,0))</f>
        <v>#N/A</v>
      </c>
      <c r="D17" s="247"/>
      <c r="E17" s="216"/>
      <c r="F17" s="207"/>
      <c r="G17" s="233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2" t="e">
        <f>INDEX('файл остатки'!$A$5:$CX$265,MATCH($H$1,'файл остатки'!$A$5:$A$228,0),MATCH($B17,'файл остатки'!$A$5:$CX$5,0))</f>
        <v>#N/A</v>
      </c>
      <c r="I17" s="240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7"/>
      <c r="K17" s="216">
        <v>-194.4</v>
      </c>
      <c r="L17" s="207"/>
      <c r="M17" s="233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2" t="e">
        <f>INDEX('файл остатки'!$A$5:$CX$265,MATCH($H$1,'файл остатки'!$A$5:$A$228,0),MATCH($B17,'файл остатки'!$A$5:$CX$5,0))</f>
        <v>#N/A</v>
      </c>
      <c r="O17" s="240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7"/>
      <c r="Q17" s="216"/>
      <c r="R17" s="207"/>
      <c r="S17" s="233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2" t="e">
        <f>INDEX('файл остатки'!$A$5:$CX$265,MATCH($H$1,'файл остатки'!$A$5:$A$228,0),MATCH($B17,'файл остатки'!$A$5:$CX$5,0))</f>
        <v>#N/A</v>
      </c>
      <c r="U17" s="240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7"/>
      <c r="W17" s="216"/>
      <c r="X17" s="207"/>
      <c r="Y17" s="233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2" t="e">
        <f>INDEX('файл остатки'!$A$5:$CX$265,MATCH($H$1,'файл остатки'!$A$5:$A$228,0),MATCH($B17,'файл остатки'!$A$5:$CX$5,0))</f>
        <v>#N/A</v>
      </c>
      <c r="AA17" s="240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7"/>
      <c r="AC17" s="216">
        <v>-68</v>
      </c>
      <c r="AD17" s="207"/>
      <c r="AE17" s="233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2" t="e">
        <f>INDEX('файл остатки'!$A$5:$CX$265,MATCH($H$1,'файл остатки'!$A$5:$A$228,0),MATCH($B17,'файл остатки'!$A$5:$CX$5,0))</f>
        <v>#N/A</v>
      </c>
      <c r="AG17" s="240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7"/>
      <c r="AI17" s="216">
        <v>-34.833333333333329</v>
      </c>
      <c r="AJ17" s="207"/>
      <c r="AK17" s="233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2" t="e">
        <f>INDEX('файл остатки'!$A$5:$CX$265,MATCH($H$1,'файл остатки'!$A$5:$A$228,0),MATCH($B17,'файл остатки'!$A$5:$CX$5,0))</f>
        <v>#N/A</v>
      </c>
      <c r="AM17" s="240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7"/>
      <c r="AO17" s="216"/>
      <c r="AP17" s="207"/>
      <c r="AQ17" s="233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2" t="e">
        <f>INDEX('файл остатки'!$A$5:$CX$265,MATCH($H$1,'файл остатки'!$A$5:$A$228,0),MATCH($B17,'файл остатки'!$A$5:$CX$5,0))</f>
        <v>#N/A</v>
      </c>
      <c r="AS17" s="240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7"/>
      <c r="AU17" s="216"/>
      <c r="AV17" s="207"/>
      <c r="AW17" s="233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2" t="e">
        <f>INDEX('файл остатки'!$A$5:$CX$265,MATCH($H$1,'файл остатки'!$A$5:$A$228,0),MATCH($B17,'файл остатки'!$A$5:$CX$5,0))</f>
        <v>#N/A</v>
      </c>
      <c r="AY17" s="240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7"/>
      <c r="BA17" s="216">
        <v>-83</v>
      </c>
      <c r="BB17" s="207"/>
      <c r="BC17" s="233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2" t="e">
        <f>INDEX('файл остатки'!$A$5:$CX$265,MATCH($H$1,'файл остатки'!$A$5:$A$228,0),MATCH($B17,'файл остатки'!$A$5:$CX$5,0))</f>
        <v>#N/A</v>
      </c>
      <c r="BE17" s="240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7"/>
      <c r="BG17" s="216"/>
      <c r="BH17" s="207"/>
      <c r="BI17" s="233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2" t="e">
        <f>INDEX('файл остатки'!$A$5:$CX$265,MATCH($H$1,'файл остатки'!$A$5:$A$228,0),MATCH($B17,'файл остатки'!$A$5:$CX$5,0))</f>
        <v>#N/A</v>
      </c>
      <c r="BK17" s="212" t="e">
        <f t="shared" si="0"/>
        <v>#N/A</v>
      </c>
      <c r="BL17" s="240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7"/>
      <c r="BN17" s="216" t="e">
        <f t="shared" si="1"/>
        <v>#N/A</v>
      </c>
      <c r="BO17" s="207"/>
      <c r="BP17" s="233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2" t="e">
        <f>INDEX('файл остатки'!$A$5:$CX$265,MATCH($H$1,'файл остатки'!$A$5:$A$228,0),MATCH($B17,'файл остатки'!$A$5:$CX$5,0))</f>
        <v>#N/A</v>
      </c>
      <c r="BR17" s="240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7"/>
      <c r="BT17" s="216" t="e">
        <f t="shared" si="2"/>
        <v>#N/A</v>
      </c>
      <c r="BU17" s="207"/>
      <c r="BV17" s="233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2" t="e">
        <f>INDEX('файл остатки'!$A$5:$CX$265,MATCH($H$1,'файл остатки'!$A$5:$A$228,0),MATCH($B17,'файл остатки'!$A$5:$CX$5,0))</f>
        <v>#N/A</v>
      </c>
      <c r="BX17" s="240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7"/>
      <c r="BZ17" s="216" t="e">
        <f t="shared" si="3"/>
        <v>#N/A</v>
      </c>
      <c r="CA17" s="207"/>
      <c r="CB17" s="233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2" t="e">
        <f>INDEX('файл остатки'!$A$5:$CX$265,MATCH($H$1,'файл остатки'!$A$5:$A$228,0),MATCH($B17,'файл остатки'!$A$5:$CX$5,0))</f>
        <v>#N/A</v>
      </c>
      <c r="CD17" s="240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7"/>
      <c r="CH17" s="216">
        <f t="shared" si="4"/>
        <v>-380.23333333333329</v>
      </c>
      <c r="CI17" s="207"/>
      <c r="CJ17" s="216" t="e">
        <f t="shared" si="5"/>
        <v>#N/A</v>
      </c>
      <c r="CK17" s="207"/>
      <c r="CO17" s="222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4"/>
      <c r="C18" s="243"/>
      <c r="D18" s="247"/>
      <c r="E18" s="216"/>
      <c r="F18" s="207"/>
      <c r="G18" s="233"/>
      <c r="H18" s="212"/>
      <c r="I18" s="240"/>
      <c r="J18" s="217"/>
      <c r="K18" s="216"/>
      <c r="L18" s="207"/>
      <c r="M18" s="233"/>
      <c r="N18" s="212"/>
      <c r="O18" s="240"/>
      <c r="P18" s="217"/>
      <c r="Q18" s="216">
        <v>0</v>
      </c>
      <c r="R18" s="207"/>
      <c r="S18" s="233"/>
      <c r="T18" s="212"/>
      <c r="U18" s="240"/>
      <c r="V18" s="217"/>
      <c r="W18" s="216"/>
      <c r="X18" s="207"/>
      <c r="Y18" s="233"/>
      <c r="Z18" s="212"/>
      <c r="AA18" s="240"/>
      <c r="AB18" s="217"/>
      <c r="AC18" s="216"/>
      <c r="AD18" s="207"/>
      <c r="AE18" s="233"/>
      <c r="AF18" s="212"/>
      <c r="AG18" s="240"/>
      <c r="AH18" s="217"/>
      <c r="AI18" s="216"/>
      <c r="AJ18" s="207"/>
      <c r="AK18" s="233"/>
      <c r="AL18" s="212"/>
      <c r="AM18" s="240"/>
      <c r="AN18" s="217"/>
      <c r="AO18" s="216"/>
      <c r="AP18" s="207"/>
      <c r="AQ18" s="233"/>
      <c r="AR18" s="212"/>
      <c r="AS18" s="240"/>
      <c r="AT18" s="217"/>
      <c r="AU18" s="216"/>
      <c r="AV18" s="207"/>
      <c r="AW18" s="233"/>
      <c r="AX18" s="212"/>
      <c r="AY18" s="240"/>
      <c r="AZ18" s="217"/>
      <c r="BA18" s="216"/>
      <c r="BB18" s="207"/>
      <c r="BC18" s="233"/>
      <c r="BD18" s="212"/>
      <c r="BE18" s="240"/>
      <c r="BF18" s="217"/>
      <c r="BG18" s="216"/>
      <c r="BH18" s="207"/>
      <c r="BI18" s="233"/>
      <c r="BJ18" s="212"/>
      <c r="BK18" s="212">
        <f t="shared" si="0"/>
        <v>0</v>
      </c>
      <c r="BL18" s="240"/>
      <c r="BM18" s="217"/>
      <c r="BN18" s="216"/>
      <c r="BO18" s="207"/>
      <c r="BP18" s="233"/>
      <c r="BQ18" s="212"/>
      <c r="BR18" s="240"/>
      <c r="BS18" s="217"/>
      <c r="BT18" s="216"/>
      <c r="BU18" s="207"/>
      <c r="BV18" s="233"/>
      <c r="BW18" s="212"/>
      <c r="BX18" s="240"/>
      <c r="BY18" s="217"/>
      <c r="BZ18" s="216"/>
      <c r="CA18" s="207"/>
      <c r="CB18" s="233"/>
      <c r="CC18" s="212"/>
      <c r="CD18" s="240"/>
      <c r="CE18" s="217"/>
      <c r="CH18" s="216"/>
      <c r="CI18" s="207"/>
      <c r="CJ18" s="216"/>
      <c r="CK18" s="207"/>
      <c r="CO18" s="222"/>
    </row>
    <row r="19" spans="1:93" s="211" customFormat="1" ht="24" customHeight="1">
      <c r="C19" s="214"/>
      <c r="D19" s="208"/>
      <c r="E19" s="214"/>
      <c r="F19" s="249"/>
      <c r="G19" s="207"/>
      <c r="H19" s="207"/>
      <c r="I19" s="207"/>
      <c r="J19" s="215"/>
      <c r="K19" s="214"/>
      <c r="L19" s="249"/>
      <c r="M19" s="207"/>
      <c r="N19" s="207"/>
      <c r="O19" s="207"/>
      <c r="P19" s="215"/>
      <c r="Q19" s="214"/>
      <c r="R19" s="249"/>
      <c r="S19" s="207"/>
      <c r="T19" s="207"/>
      <c r="U19" s="207"/>
      <c r="V19" s="215"/>
      <c r="W19" s="214"/>
      <c r="X19" s="249"/>
      <c r="Y19" s="207"/>
      <c r="Z19" s="207"/>
      <c r="AA19" s="207"/>
      <c r="AB19" s="215"/>
      <c r="AC19" s="214"/>
      <c r="AD19" s="249"/>
      <c r="AE19" s="207"/>
      <c r="AF19" s="207"/>
      <c r="AG19" s="207"/>
      <c r="AH19" s="215"/>
      <c r="AI19" s="214"/>
      <c r="AJ19" s="249"/>
      <c r="AK19" s="207"/>
      <c r="AL19" s="207"/>
      <c r="AM19" s="207"/>
      <c r="AN19" s="215"/>
      <c r="AO19" s="214"/>
      <c r="AP19" s="249"/>
      <c r="AQ19" s="207"/>
      <c r="AR19" s="207"/>
      <c r="AS19" s="207"/>
      <c r="AT19" s="215"/>
      <c r="AU19" s="214"/>
      <c r="AV19" s="249"/>
      <c r="AW19" s="207"/>
      <c r="AX19" s="207"/>
      <c r="AY19" s="207"/>
      <c r="AZ19" s="215"/>
      <c r="BA19" s="214"/>
      <c r="BB19" s="249"/>
      <c r="BC19" s="207"/>
      <c r="BD19" s="207"/>
      <c r="BE19" s="207"/>
      <c r="BF19" s="215"/>
      <c r="BG19" s="214"/>
      <c r="BH19" s="249"/>
      <c r="BI19" s="207"/>
      <c r="BJ19" s="207"/>
      <c r="BK19" s="207"/>
      <c r="BL19" s="207"/>
      <c r="BM19" s="215"/>
      <c r="BN19" s="214"/>
      <c r="BO19" s="249"/>
      <c r="BP19" s="207"/>
      <c r="BQ19" s="207"/>
      <c r="BR19" s="207"/>
      <c r="BS19" s="215"/>
      <c r="BT19" s="214"/>
      <c r="BU19" s="249"/>
      <c r="BV19" s="207"/>
      <c r="BW19" s="207"/>
      <c r="BX19" s="207"/>
      <c r="BY19" s="215"/>
      <c r="BZ19" s="214"/>
      <c r="CA19" s="249"/>
      <c r="CB19" s="207"/>
      <c r="CC19" s="207"/>
      <c r="CD19" s="207"/>
      <c r="CE19" s="215"/>
      <c r="CH19" s="216"/>
      <c r="CI19" s="249"/>
      <c r="CJ19" s="216"/>
      <c r="CK19" s="249"/>
      <c r="CO19" s="261"/>
    </row>
    <row r="20" spans="1:93" ht="24" customHeight="1">
      <c r="A20" s="163" t="s">
        <v>19</v>
      </c>
      <c r="B20" s="205" t="s">
        <v>173</v>
      </c>
      <c r="C20" s="243" t="e">
        <f>INDEX('файл остатки'!$A$5:$CX$265,MATCH($C$1,'файл остатки'!$A$5:$A$228,0),MATCH(B20,'файл остатки'!$A$5:$CX$5,0))</f>
        <v>#N/A</v>
      </c>
      <c r="D20" s="247"/>
      <c r="E20" s="216"/>
      <c r="F20" s="207"/>
      <c r="G20" s="233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2" t="e">
        <f>INDEX('файл остатки'!$A$5:$CX$265,MATCH($H$1,'файл остатки'!$A$5:$A$228,0),MATCH($B20,'файл остатки'!$A$5:$CX$5,0))</f>
        <v>#N/A</v>
      </c>
      <c r="I20" s="240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7"/>
      <c r="K20" s="216">
        <v>-350</v>
      </c>
      <c r="L20" s="207"/>
      <c r="M20" s="233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2" t="e">
        <f>INDEX('файл остатки'!$A$5:$CX$265,MATCH($H$1,'файл остатки'!$A$5:$A$228,0),MATCH($B20,'файл остатки'!$A$5:$CX$5,0))</f>
        <v>#N/A</v>
      </c>
      <c r="O20" s="240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7">
        <v>169.09</v>
      </c>
      <c r="Q20" s="216"/>
      <c r="R20" s="207"/>
      <c r="S20" s="233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2" t="e">
        <f>INDEX('файл остатки'!$A$5:$CX$265,MATCH($H$1,'файл остатки'!$A$5:$A$228,0),MATCH($B20,'файл остатки'!$A$5:$CX$5,0))</f>
        <v>#N/A</v>
      </c>
      <c r="U20" s="240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7"/>
      <c r="W20" s="216"/>
      <c r="X20" s="207"/>
      <c r="Y20" s="233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2" t="e">
        <f>INDEX('файл остатки'!$A$5:$CX$265,MATCH($H$1,'файл остатки'!$A$5:$A$228,0),MATCH($B20,'файл остатки'!$A$5:$CX$5,0))</f>
        <v>#N/A</v>
      </c>
      <c r="AA20" s="240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7"/>
      <c r="AC20" s="216">
        <v>-40.261537198226335</v>
      </c>
      <c r="AD20" s="207"/>
      <c r="AE20" s="233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2" t="e">
        <f>INDEX('файл остатки'!$A$5:$CX$265,MATCH($H$1,'файл остатки'!$A$5:$A$228,0),MATCH($B20,'файл остатки'!$A$5:$CX$5,0))</f>
        <v>#N/A</v>
      </c>
      <c r="AG20" s="240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7"/>
      <c r="AI20" s="216">
        <v>-267.16666666666669</v>
      </c>
      <c r="AJ20" s="207"/>
      <c r="AK20" s="233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2" t="e">
        <f>INDEX('файл остатки'!$A$5:$CX$265,MATCH($H$1,'файл остатки'!$A$5:$A$228,0),MATCH($B20,'файл остатки'!$A$5:$CX$5,0))</f>
        <v>#N/A</v>
      </c>
      <c r="AM20" s="240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7"/>
      <c r="AO20" s="216"/>
      <c r="AP20" s="207"/>
      <c r="AQ20" s="233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2" t="e">
        <f>INDEX('файл остатки'!$A$5:$CX$265,MATCH($H$1,'файл остатки'!$A$5:$A$228,0),MATCH($B20,'файл остатки'!$A$5:$CX$5,0))</f>
        <v>#N/A</v>
      </c>
      <c r="AS20" s="240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7"/>
      <c r="AU20" s="216"/>
      <c r="AV20" s="207"/>
      <c r="AW20" s="233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2" t="e">
        <f>INDEX('файл остатки'!$A$5:$CX$265,MATCH($H$1,'файл остатки'!$A$5:$A$228,0),MATCH($B20,'файл остатки'!$A$5:$CX$5,0))</f>
        <v>#N/A</v>
      </c>
      <c r="AY20" s="240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7"/>
      <c r="BA20" s="216">
        <v>-351</v>
      </c>
      <c r="BB20" s="207"/>
      <c r="BC20" s="233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2" t="e">
        <f>INDEX('файл остатки'!$A$5:$CX$265,MATCH($H$1,'файл остатки'!$A$5:$A$228,0),MATCH($B20,'файл остатки'!$A$5:$CX$5,0))</f>
        <v>#N/A</v>
      </c>
      <c r="BE20" s="240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7"/>
      <c r="BG20" s="216"/>
      <c r="BH20" s="207"/>
      <c r="BI20" s="233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2" t="e">
        <f>INDEX('файл остатки'!$A$5:$CX$265,MATCH($H$1,'файл остатки'!$A$5:$A$228,0),MATCH($B20,'файл остатки'!$A$5:$CX$5,0))</f>
        <v>#N/A</v>
      </c>
      <c r="BK20" s="212" t="e">
        <f t="shared" si="0"/>
        <v>#N/A</v>
      </c>
      <c r="BL20" s="240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7"/>
      <c r="BN20" s="216" t="e">
        <f t="shared" si="1"/>
        <v>#N/A</v>
      </c>
      <c r="BO20" s="207"/>
      <c r="BP20" s="233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2" t="e">
        <f>INDEX('файл остатки'!$A$5:$CX$265,MATCH($H$1,'файл остатки'!$A$5:$A$228,0),MATCH($B20,'файл остатки'!$A$5:$CX$5,0))</f>
        <v>#N/A</v>
      </c>
      <c r="BR20" s="240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7"/>
      <c r="BT20" s="216" t="e">
        <f t="shared" si="2"/>
        <v>#N/A</v>
      </c>
      <c r="BU20" s="207"/>
      <c r="BV20" s="233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2" t="e">
        <f>INDEX('файл остатки'!$A$5:$CX$265,MATCH($H$1,'файл остатки'!$A$5:$A$228,0),MATCH($B20,'файл остатки'!$A$5:$CX$5,0))</f>
        <v>#N/A</v>
      </c>
      <c r="BX20" s="240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7"/>
      <c r="BZ20" s="216" t="e">
        <f t="shared" si="3"/>
        <v>#N/A</v>
      </c>
      <c r="CA20" s="207"/>
      <c r="CB20" s="233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2" t="e">
        <f>INDEX('файл остатки'!$A$5:$CX$265,MATCH($H$1,'файл остатки'!$A$5:$A$228,0),MATCH($B20,'файл остатки'!$A$5:$CX$5,0))</f>
        <v>#N/A</v>
      </c>
      <c r="CD20" s="240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7"/>
      <c r="CH20" s="216">
        <f t="shared" si="4"/>
        <v>-1008.428203864893</v>
      </c>
      <c r="CI20" s="207"/>
      <c r="CJ20" s="216" t="e">
        <f t="shared" si="5"/>
        <v>#N/A</v>
      </c>
      <c r="CK20" s="207"/>
      <c r="CO20" s="222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5" t="s">
        <v>151</v>
      </c>
      <c r="C21" s="243" t="e">
        <f>INDEX('файл остатки'!$A$5:$CX$265,MATCH($C$1,'файл остатки'!$A$5:$A$228,0),MATCH(B21,'файл остатки'!$A$5:$CX$5,0))</f>
        <v>#N/A</v>
      </c>
      <c r="D21" s="247"/>
      <c r="E21" s="216"/>
      <c r="F21" s="207" t="s">
        <v>217</v>
      </c>
      <c r="G21" s="233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2" t="e">
        <f>INDEX('файл остатки'!$A$5:$CX$265,MATCH($H$1,'файл остатки'!$A$5:$A$228,0),MATCH($B21,'файл остатки'!$A$5:$CX$5,0))</f>
        <v>#N/A</v>
      </c>
      <c r="I21" s="240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7"/>
      <c r="K21" s="216">
        <v>-383.25</v>
      </c>
      <c r="L21" s="207" t="s">
        <v>217</v>
      </c>
      <c r="M21" s="233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2" t="e">
        <f>INDEX('файл остатки'!$A$5:$CX$265,MATCH($H$1,'файл остатки'!$A$5:$A$228,0),MATCH($B21,'файл остатки'!$A$5:$CX$5,0))</f>
        <v>#N/A</v>
      </c>
      <c r="O21" s="240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7"/>
      <c r="Q21" s="216"/>
      <c r="R21" s="207" t="s">
        <v>217</v>
      </c>
      <c r="S21" s="233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2" t="e">
        <f>INDEX('файл остатки'!$A$5:$CX$265,MATCH($H$1,'файл остатки'!$A$5:$A$228,0),MATCH($B21,'файл остатки'!$A$5:$CX$5,0))</f>
        <v>#N/A</v>
      </c>
      <c r="U21" s="240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7"/>
      <c r="W21" s="216"/>
      <c r="X21" s="207" t="s">
        <v>217</v>
      </c>
      <c r="Y21" s="233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2" t="e">
        <f>INDEX('файл остатки'!$A$5:$CX$265,MATCH($H$1,'файл остатки'!$A$5:$A$228,0),MATCH($B21,'файл остатки'!$A$5:$CX$5,0))</f>
        <v>#N/A</v>
      </c>
      <c r="AA21" s="240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7"/>
      <c r="AC21" s="216">
        <v>-661</v>
      </c>
      <c r="AD21" s="207" t="s">
        <v>217</v>
      </c>
      <c r="AE21" s="233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2" t="e">
        <f>INDEX('файл остатки'!$A$5:$CX$265,MATCH($H$1,'файл остатки'!$A$5:$A$228,0),MATCH($B21,'файл остатки'!$A$5:$CX$5,0))</f>
        <v>#N/A</v>
      </c>
      <c r="AG21" s="240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7"/>
      <c r="AI21" s="216">
        <v>-74</v>
      </c>
      <c r="AJ21" s="207" t="s">
        <v>217</v>
      </c>
      <c r="AK21" s="233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2" t="e">
        <f>INDEX('файл остатки'!$A$5:$CX$265,MATCH($H$1,'файл остатки'!$A$5:$A$228,0),MATCH($B21,'файл остатки'!$A$5:$CX$5,0))</f>
        <v>#N/A</v>
      </c>
      <c r="AM21" s="240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7"/>
      <c r="AO21" s="216"/>
      <c r="AP21" s="207" t="s">
        <v>217</v>
      </c>
      <c r="AQ21" s="233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2" t="e">
        <f>INDEX('файл остатки'!$A$5:$CX$265,MATCH($H$1,'файл остатки'!$A$5:$A$228,0),MATCH($B21,'файл остатки'!$A$5:$CX$5,0))</f>
        <v>#N/A</v>
      </c>
      <c r="AS21" s="240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7"/>
      <c r="AU21" s="216"/>
      <c r="AV21" s="207" t="s">
        <v>183</v>
      </c>
      <c r="AW21" s="233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2" t="e">
        <f>INDEX('файл остатки'!$A$5:$CX$265,MATCH($H$1,'файл остатки'!$A$5:$A$228,0),MATCH($B21,'файл остатки'!$A$5:$CX$5,0))</f>
        <v>#N/A</v>
      </c>
      <c r="AY21" s="240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7"/>
      <c r="BA21" s="216">
        <v>-116.91666666666667</v>
      </c>
      <c r="BB21" s="207" t="s">
        <v>183</v>
      </c>
      <c r="BC21" s="233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2" t="e">
        <f>INDEX('файл остатки'!$A$5:$CX$265,MATCH($H$1,'файл остатки'!$A$5:$A$228,0),MATCH($B21,'файл остатки'!$A$5:$CX$5,0))</f>
        <v>#N/A</v>
      </c>
      <c r="BE21" s="240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7"/>
      <c r="BG21" s="216"/>
      <c r="BH21" s="207" t="s">
        <v>183</v>
      </c>
      <c r="BI21" s="233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2" t="e">
        <f>INDEX('файл остатки'!$A$5:$CX$265,MATCH($H$1,'файл остатки'!$A$5:$A$228,0),MATCH($B21,'файл остатки'!$A$5:$CX$5,0))</f>
        <v>#N/A</v>
      </c>
      <c r="BK21" s="212" t="e">
        <f t="shared" si="0"/>
        <v>#N/A</v>
      </c>
      <c r="BL21" s="240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7"/>
      <c r="BN21" s="216" t="e">
        <f t="shared" si="1"/>
        <v>#N/A</v>
      </c>
      <c r="BO21" s="207" t="s">
        <v>183</v>
      </c>
      <c r="BP21" s="233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2" t="e">
        <f>INDEX('файл остатки'!$A$5:$CX$265,MATCH($H$1,'файл остатки'!$A$5:$A$228,0),MATCH($B21,'файл остатки'!$A$5:$CX$5,0))</f>
        <v>#N/A</v>
      </c>
      <c r="BR21" s="240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7"/>
      <c r="BT21" s="216" t="e">
        <f t="shared" si="2"/>
        <v>#N/A</v>
      </c>
      <c r="BU21" s="207" t="s">
        <v>183</v>
      </c>
      <c r="BV21" s="233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2" t="e">
        <f>INDEX('файл остатки'!$A$5:$CX$265,MATCH($H$1,'файл остатки'!$A$5:$A$228,0),MATCH($B21,'файл остатки'!$A$5:$CX$5,0))</f>
        <v>#N/A</v>
      </c>
      <c r="BX21" s="240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7"/>
      <c r="BZ21" s="216" t="e">
        <f t="shared" si="3"/>
        <v>#N/A</v>
      </c>
      <c r="CA21" s="207" t="s">
        <v>183</v>
      </c>
      <c r="CB21" s="233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2" t="e">
        <f>INDEX('файл остатки'!$A$5:$CX$265,MATCH($H$1,'файл остатки'!$A$5:$A$228,0),MATCH($B21,'файл остатки'!$A$5:$CX$5,0))</f>
        <v>#N/A</v>
      </c>
      <c r="CD21" s="240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7"/>
      <c r="CH21" s="216">
        <f t="shared" si="4"/>
        <v>-1235.1666666666667</v>
      </c>
      <c r="CI21" s="207" t="s">
        <v>183</v>
      </c>
      <c r="CJ21" s="216" t="e">
        <f t="shared" si="5"/>
        <v>#N/A</v>
      </c>
      <c r="CK21" s="207" t="s">
        <v>183</v>
      </c>
      <c r="CO21" s="222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5" t="s">
        <v>172</v>
      </c>
      <c r="C22" s="243" t="e">
        <f>INDEX('файл остатки'!$A$5:$CX$265,MATCH($C$1,'файл остатки'!$A$5:$A$228,0),MATCH(B22,'файл остатки'!$A$5:$CX$5,0))</f>
        <v>#N/A</v>
      </c>
      <c r="D22" s="247"/>
      <c r="E22" s="216"/>
      <c r="F22" s="150">
        <f>-(E20+E21+E25)/'планирование суточное'!$K$25</f>
        <v>0</v>
      </c>
      <c r="G22" s="233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2" t="e">
        <f>INDEX('файл остатки'!$A$5:$CX$265,MATCH($H$1,'файл остатки'!$A$5:$A$228,0),MATCH($B22,'файл остатки'!$A$5:$CX$5,0))</f>
        <v>#N/A</v>
      </c>
      <c r="I22" s="240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7"/>
      <c r="K22" s="216"/>
      <c r="L22" s="150">
        <f>-(K20+K21+K25)/'планирование суточное'!$K$25</f>
        <v>0.82174999999999998</v>
      </c>
      <c r="M22" s="233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2" t="e">
        <f>INDEX('файл остатки'!$A$5:$CX$265,MATCH($H$1,'файл остатки'!$A$5:$A$228,0),MATCH($B22,'файл остатки'!$A$5:$CX$5,0))</f>
        <v>#N/A</v>
      </c>
      <c r="O22" s="240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7">
        <v>107</v>
      </c>
      <c r="Q22" s="216"/>
      <c r="R22" s="150">
        <f>-(Q20+Q21+Q25)/'планирование суточное'!$K$25</f>
        <v>0</v>
      </c>
      <c r="S22" s="233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2" t="e">
        <f>INDEX('файл остатки'!$A$5:$CX$265,MATCH($H$1,'файл остатки'!$A$5:$A$228,0),MATCH($B22,'файл остатки'!$A$5:$CX$5,0))</f>
        <v>#N/A</v>
      </c>
      <c r="U22" s="240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7"/>
      <c r="W22" s="216"/>
      <c r="X22" s="150">
        <f>-(W20+W21+W25)/'планирование суточное'!$K$25</f>
        <v>0</v>
      </c>
      <c r="Y22" s="233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2" t="e">
        <f>INDEX('файл остатки'!$A$5:$CX$265,MATCH($H$1,'файл остатки'!$A$5:$A$228,0),MATCH($B22,'файл остатки'!$A$5:$CX$5,0))</f>
        <v>#N/A</v>
      </c>
      <c r="AA22" s="240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7"/>
      <c r="AC22" s="216">
        <v>-85.8</v>
      </c>
      <c r="AD22" s="150">
        <f>-(AC20+AC21+AC25)/'планирование суточное'!$K$25</f>
        <v>0.71192820386489286</v>
      </c>
      <c r="AE22" s="233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2" t="e">
        <f>INDEX('файл остатки'!$A$5:$CX$265,MATCH($H$1,'файл остатки'!$A$5:$A$228,0),MATCH($B22,'файл остатки'!$A$5:$CX$5,0))</f>
        <v>#N/A</v>
      </c>
      <c r="AG22" s="240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7"/>
      <c r="AI22" s="216">
        <v>-156</v>
      </c>
      <c r="AJ22" s="150">
        <f>-(AI20+AI21+AI25)/'планирование суточное'!$K$25</f>
        <v>0.41116666666666668</v>
      </c>
      <c r="AK22" s="233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2" t="e">
        <f>INDEX('файл остатки'!$A$5:$CX$265,MATCH($H$1,'файл остатки'!$A$5:$A$228,0),MATCH($B22,'файл остатки'!$A$5:$CX$5,0))</f>
        <v>#N/A</v>
      </c>
      <c r="AM22" s="240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7"/>
      <c r="AO22" s="216"/>
      <c r="AP22" s="150">
        <f>-(AO20+AO21+AO25)/'планирование суточное'!$K$25</f>
        <v>0</v>
      </c>
      <c r="AQ22" s="233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2" t="e">
        <f>INDEX('файл остатки'!$A$5:$CX$265,MATCH($H$1,'файл остатки'!$A$5:$A$228,0),MATCH($B22,'файл остатки'!$A$5:$CX$5,0))</f>
        <v>#N/A</v>
      </c>
      <c r="AS22" s="240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7"/>
      <c r="AU22" s="216"/>
      <c r="AV22" s="150">
        <f>-(AU20+AU21+AU25)/'планирование суточное'!$K$25</f>
        <v>0</v>
      </c>
      <c r="AW22" s="233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2" t="e">
        <f>INDEX('файл остатки'!$A$5:$CX$265,MATCH($H$1,'файл остатки'!$A$5:$A$228,0),MATCH($B22,'файл остатки'!$A$5:$CX$5,0))</f>
        <v>#N/A</v>
      </c>
      <c r="AY22" s="240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7"/>
      <c r="BA22" s="216">
        <v>-42</v>
      </c>
      <c r="BB22" s="150">
        <f>-(BA20+BA21+BA25)/'планирование суточное'!$K$25</f>
        <v>0.56491666666666673</v>
      </c>
      <c r="BC22" s="233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2" t="e">
        <f>INDEX('файл остатки'!$A$5:$CX$265,MATCH($H$1,'файл остатки'!$A$5:$A$228,0),MATCH($B22,'файл остатки'!$A$5:$CX$5,0))</f>
        <v>#N/A</v>
      </c>
      <c r="BE22" s="240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7"/>
      <c r="BG22" s="216"/>
      <c r="BH22" s="150">
        <f>-(BG20+BG21+BG25)/'планирование суточное'!$K$25</f>
        <v>0</v>
      </c>
      <c r="BI22" s="233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2" t="e">
        <f>INDEX('файл остатки'!$A$5:$CX$265,MATCH($H$1,'файл остатки'!$A$5:$A$228,0),MATCH($B22,'файл остатки'!$A$5:$CX$5,0))</f>
        <v>#N/A</v>
      </c>
      <c r="BK22" s="212" t="e">
        <f t="shared" si="0"/>
        <v>#N/A</v>
      </c>
      <c r="BL22" s="240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7"/>
      <c r="BN22" s="216" t="e">
        <f t="shared" si="1"/>
        <v>#N/A</v>
      </c>
      <c r="BO22" s="150" t="e">
        <f>-(BN20+BN21+BN25)/'планирование суточное'!$K$25</f>
        <v>#N/A</v>
      </c>
      <c r="BP22" s="233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2" t="e">
        <f>INDEX('файл остатки'!$A$5:$CX$265,MATCH($H$1,'файл остатки'!$A$5:$A$228,0),MATCH($B22,'файл остатки'!$A$5:$CX$5,0))</f>
        <v>#N/A</v>
      </c>
      <c r="BR22" s="240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7"/>
      <c r="BT22" s="216" t="e">
        <f t="shared" si="2"/>
        <v>#N/A</v>
      </c>
      <c r="BU22" s="150" t="e">
        <f>-(BT20+BT21+BT25)/'планирование суточное'!$K$25</f>
        <v>#N/A</v>
      </c>
      <c r="BV22" s="233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2" t="e">
        <f>INDEX('файл остатки'!$A$5:$CX$265,MATCH($H$1,'файл остатки'!$A$5:$A$228,0),MATCH($B22,'файл остатки'!$A$5:$CX$5,0))</f>
        <v>#N/A</v>
      </c>
      <c r="BX22" s="240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7"/>
      <c r="BZ22" s="216" t="e">
        <f t="shared" si="3"/>
        <v>#N/A</v>
      </c>
      <c r="CA22" s="150" t="e">
        <f>-(BZ20+BZ21+BZ25)/'планирование суточное'!$K$25</f>
        <v>#N/A</v>
      </c>
      <c r="CB22" s="233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2" t="e">
        <f>INDEX('файл остатки'!$A$5:$CX$265,MATCH($H$1,'файл остатки'!$A$5:$A$228,0),MATCH($B22,'файл остатки'!$A$5:$CX$5,0))</f>
        <v>#N/A</v>
      </c>
      <c r="CD22" s="240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7"/>
      <c r="CH22" s="216">
        <f t="shared" si="4"/>
        <v>-283.8</v>
      </c>
      <c r="CI22" s="150">
        <f>-(CH20+CH21+CH25)/'планирование суточное'!$K$25</f>
        <v>2.509761537198226</v>
      </c>
      <c r="CJ22" s="216" t="e">
        <f t="shared" si="5"/>
        <v>#N/A</v>
      </c>
      <c r="CK22" s="150" t="e">
        <f>-(CJ20+CJ21+CJ25)/'планирование суточное'!$K$25</f>
        <v>#N/A</v>
      </c>
      <c r="CO22" s="222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5" t="s">
        <v>105</v>
      </c>
      <c r="C23" s="243" t="e">
        <f>INDEX('файл остатки'!$A$5:$CX$265,MATCH($C$1,'файл остатки'!$A$5:$A$228,0),MATCH(B23,'файл остатки'!$A$5:$CX$5,0))</f>
        <v>#N/A</v>
      </c>
      <c r="D23" s="247"/>
      <c r="E23" s="216"/>
      <c r="F23" s="207" t="s">
        <v>184</v>
      </c>
      <c r="G23" s="233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2" t="e">
        <f>INDEX('файл остатки'!$A$5:$CX$265,MATCH($H$1,'файл остатки'!$A$5:$A$228,0),MATCH($B23,'файл остатки'!$A$5:$CX$5,0))</f>
        <v>#N/A</v>
      </c>
      <c r="I23" s="240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7"/>
      <c r="K23" s="216">
        <v>-4.5</v>
      </c>
      <c r="L23" s="207" t="s">
        <v>184</v>
      </c>
      <c r="M23" s="233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2" t="e">
        <f>INDEX('файл остатки'!$A$5:$CX$265,MATCH($H$1,'файл остатки'!$A$5:$A$228,0),MATCH($B23,'файл остатки'!$A$5:$CX$5,0))</f>
        <v>#N/A</v>
      </c>
      <c r="O23" s="240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7">
        <v>11</v>
      </c>
      <c r="Q23" s="216"/>
      <c r="R23" s="207" t="s">
        <v>184</v>
      </c>
      <c r="S23" s="233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2" t="e">
        <f>INDEX('файл остатки'!$A$5:$CX$265,MATCH($H$1,'файл остатки'!$A$5:$A$228,0),MATCH($B23,'файл остатки'!$A$5:$CX$5,0))</f>
        <v>#N/A</v>
      </c>
      <c r="U23" s="240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7"/>
      <c r="W23" s="216"/>
      <c r="X23" s="207" t="s">
        <v>184</v>
      </c>
      <c r="Y23" s="233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2" t="e">
        <f>INDEX('файл остатки'!$A$5:$CX$265,MATCH($H$1,'файл остатки'!$A$5:$A$228,0),MATCH($B23,'файл остатки'!$A$5:$CX$5,0))</f>
        <v>#N/A</v>
      </c>
      <c r="AA23" s="240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7"/>
      <c r="AC23" s="216">
        <v>-1</v>
      </c>
      <c r="AD23" s="207" t="s">
        <v>184</v>
      </c>
      <c r="AE23" s="233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2" t="e">
        <f>INDEX('файл остатки'!$A$5:$CX$265,MATCH($H$1,'файл остатки'!$A$5:$A$228,0),MATCH($B23,'файл остатки'!$A$5:$CX$5,0))</f>
        <v>#N/A</v>
      </c>
      <c r="AG23" s="240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7"/>
      <c r="AI23" s="216">
        <v>-50</v>
      </c>
      <c r="AJ23" s="207" t="s">
        <v>184</v>
      </c>
      <c r="AK23" s="233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2" t="e">
        <f>INDEX('файл остатки'!$A$5:$CX$265,MATCH($H$1,'файл остатки'!$A$5:$A$228,0),MATCH($B23,'файл остатки'!$A$5:$CX$5,0))</f>
        <v>#N/A</v>
      </c>
      <c r="AM23" s="240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7"/>
      <c r="AO23" s="216"/>
      <c r="AP23" s="207" t="s">
        <v>184</v>
      </c>
      <c r="AQ23" s="233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2" t="e">
        <f>INDEX('файл остатки'!$A$5:$CX$265,MATCH($H$1,'файл остатки'!$A$5:$A$228,0),MATCH($B23,'файл остатки'!$A$5:$CX$5,0))</f>
        <v>#N/A</v>
      </c>
      <c r="AS23" s="240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7"/>
      <c r="AU23" s="216"/>
      <c r="AV23" s="207" t="s">
        <v>184</v>
      </c>
      <c r="AW23" s="233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2" t="e">
        <f>INDEX('файл остатки'!$A$5:$CX$265,MATCH($H$1,'файл остатки'!$A$5:$A$228,0),MATCH($B23,'файл остатки'!$A$5:$CX$5,0))</f>
        <v>#N/A</v>
      </c>
      <c r="AY23" s="240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7"/>
      <c r="BA23" s="216">
        <v>-111</v>
      </c>
      <c r="BB23" s="207" t="s">
        <v>184</v>
      </c>
      <c r="BC23" s="233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2" t="e">
        <f>INDEX('файл остатки'!$A$5:$CX$265,MATCH($H$1,'файл остатки'!$A$5:$A$228,0),MATCH($B23,'файл остатки'!$A$5:$CX$5,0))</f>
        <v>#N/A</v>
      </c>
      <c r="BE23" s="240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7"/>
      <c r="BG23" s="216"/>
      <c r="BH23" s="207" t="s">
        <v>184</v>
      </c>
      <c r="BI23" s="233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2" t="e">
        <f>INDEX('файл остатки'!$A$5:$CX$265,MATCH($H$1,'файл остатки'!$A$5:$A$228,0),MATCH($B23,'файл остатки'!$A$5:$CX$5,0))</f>
        <v>#N/A</v>
      </c>
      <c r="BK23" s="212" t="e">
        <f t="shared" si="0"/>
        <v>#N/A</v>
      </c>
      <c r="BL23" s="240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7"/>
      <c r="BN23" s="216" t="e">
        <f t="shared" si="1"/>
        <v>#N/A</v>
      </c>
      <c r="BO23" s="207" t="s">
        <v>184</v>
      </c>
      <c r="BP23" s="233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2" t="e">
        <f>INDEX('файл остатки'!$A$5:$CX$265,MATCH($H$1,'файл остатки'!$A$5:$A$228,0),MATCH($B23,'файл остатки'!$A$5:$CX$5,0))</f>
        <v>#N/A</v>
      </c>
      <c r="BR23" s="240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7"/>
      <c r="BT23" s="216" t="e">
        <f t="shared" si="2"/>
        <v>#N/A</v>
      </c>
      <c r="BU23" s="207" t="s">
        <v>184</v>
      </c>
      <c r="BV23" s="233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2" t="e">
        <f>INDEX('файл остатки'!$A$5:$CX$265,MATCH($H$1,'файл остатки'!$A$5:$A$228,0),MATCH($B23,'файл остатки'!$A$5:$CX$5,0))</f>
        <v>#N/A</v>
      </c>
      <c r="BX23" s="240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7"/>
      <c r="BZ23" s="216" t="e">
        <f t="shared" si="3"/>
        <v>#N/A</v>
      </c>
      <c r="CA23" s="207" t="s">
        <v>184</v>
      </c>
      <c r="CB23" s="233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2" t="e">
        <f>INDEX('файл остатки'!$A$5:$CX$265,MATCH($H$1,'файл остатки'!$A$5:$A$228,0),MATCH($B23,'файл остатки'!$A$5:$CX$5,0))</f>
        <v>#N/A</v>
      </c>
      <c r="CD23" s="240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7"/>
      <c r="CH23" s="216">
        <f t="shared" si="4"/>
        <v>-166.5</v>
      </c>
      <c r="CI23" s="207" t="s">
        <v>184</v>
      </c>
      <c r="CJ23" s="216" t="e">
        <f t="shared" si="5"/>
        <v>#N/A</v>
      </c>
      <c r="CK23" s="207" t="s">
        <v>184</v>
      </c>
      <c r="CO23" s="222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5" t="s">
        <v>159</v>
      </c>
      <c r="C24" s="243" t="e">
        <f>INDEX('файл остатки'!$A$5:$CX$265,MATCH($C$1,'файл остатки'!$A$5:$A$228,0),MATCH(B24,'файл остатки'!$A$5:$CX$5,0))</f>
        <v>#N/A</v>
      </c>
      <c r="D24" s="247"/>
      <c r="E24" s="216"/>
      <c r="F24" s="150">
        <f>-(E22+E23+E24+E26+E27+E29+E28)/'планирование суточное'!$K$25</f>
        <v>0</v>
      </c>
      <c r="G24" s="233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2" t="e">
        <f>INDEX('файл остатки'!$A$5:$CX$265,MATCH($H$1,'файл остатки'!$A$5:$A$228,0),MATCH($B24,'файл остатки'!$A$5:$CX$5,0))</f>
        <v>#N/A</v>
      </c>
      <c r="I24" s="240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7"/>
      <c r="K24" s="216">
        <v>-1173.5999999999999</v>
      </c>
      <c r="L24" s="150">
        <f>-(K22+K23+K24+K26+K27+K29+K28)/'планирование суточное'!$K$25</f>
        <v>2.2656000000000001</v>
      </c>
      <c r="M24" s="233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2" t="e">
        <f>INDEX('файл остатки'!$A$5:$CX$265,MATCH($H$1,'файл остатки'!$A$5:$A$228,0),MATCH($B24,'файл остатки'!$A$5:$CX$5,0))</f>
        <v>#N/A</v>
      </c>
      <c r="O24" s="240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7"/>
      <c r="Q24" s="216">
        <v>-1162.2</v>
      </c>
      <c r="R24" s="150">
        <f>-(Q22+Q23+Q24+Q26+Q27+Q29+Q28)/'планирование суточное'!$K$25</f>
        <v>1.7919</v>
      </c>
      <c r="S24" s="233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2" t="e">
        <f>INDEX('файл остатки'!$A$5:$CX$265,MATCH($H$1,'файл остатки'!$A$5:$A$228,0),MATCH($B24,'файл остатки'!$A$5:$CX$5,0))</f>
        <v>#N/A</v>
      </c>
      <c r="U24" s="240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7"/>
      <c r="W24" s="216"/>
      <c r="X24" s="150">
        <f>-(W22+W23+W24+W26+W27+W29+W28)/'планирование суточное'!$K$25</f>
        <v>0</v>
      </c>
      <c r="Y24" s="233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2" t="e">
        <f>INDEX('файл остатки'!$A$5:$CX$265,MATCH($H$1,'файл остатки'!$A$5:$A$228,0),MATCH($B24,'файл остатки'!$A$5:$CX$5,0))</f>
        <v>#N/A</v>
      </c>
      <c r="AA24" s="240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7"/>
      <c r="AC24" s="216">
        <v>-559.00000000000023</v>
      </c>
      <c r="AD24" s="150">
        <f>-(AC22+AC23+AC24+AC26+AC27+AC29+AC28)/'планирование суточное'!$K$25</f>
        <v>1.5758000000000001</v>
      </c>
      <c r="AE24" s="233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2" t="e">
        <f>INDEX('файл остатки'!$A$5:$CX$265,MATCH($H$1,'файл остатки'!$A$5:$A$228,0),MATCH($B24,'файл остатки'!$A$5:$CX$5,0))</f>
        <v>#N/A</v>
      </c>
      <c r="AG24" s="240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7"/>
      <c r="AI24" s="216">
        <v>-1160.5</v>
      </c>
      <c r="AJ24" s="150">
        <f>-(AI22+AI23+AI24+AI26+AI27+AI29+AI28)/'планирование суточное'!$K$25</f>
        <v>1.7164999999999999</v>
      </c>
      <c r="AK24" s="233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2" t="e">
        <f>INDEX('файл остатки'!$A$5:$CX$265,MATCH($H$1,'файл остатки'!$A$5:$A$228,0),MATCH($B24,'файл остатки'!$A$5:$CX$5,0))</f>
        <v>#N/A</v>
      </c>
      <c r="AM24" s="240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7"/>
      <c r="AO24" s="216"/>
      <c r="AP24" s="150">
        <f>-(AO22+AO23+AO24+AO26+AO27+AO29+AO28)/'планирование суточное'!$K$25</f>
        <v>0</v>
      </c>
      <c r="AQ24" s="233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2" t="e">
        <f>INDEX('файл остатки'!$A$5:$CX$265,MATCH($H$1,'файл остатки'!$A$5:$A$228,0),MATCH($B24,'файл остатки'!$A$5:$CX$5,0))</f>
        <v>#N/A</v>
      </c>
      <c r="AS24" s="240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7"/>
      <c r="AU24" s="216"/>
      <c r="AV24" s="150">
        <f>-(AU22+AU23+AU24+AU26+AU27+AU29+AU28)/'планирование суточное'!$K$25</f>
        <v>0</v>
      </c>
      <c r="AW24" s="233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2" t="e">
        <f>INDEX('файл остатки'!$A$5:$CX$265,MATCH($H$1,'файл остатки'!$A$5:$A$228,0),MATCH($B24,'файл остатки'!$A$5:$CX$5,0))</f>
        <v>#N/A</v>
      </c>
      <c r="AY24" s="240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7"/>
      <c r="BA24" s="216">
        <v>-1214.8333333333335</v>
      </c>
      <c r="BB24" s="150">
        <f>-(BA22+BA23+BA24+BA26+BA27+BA29+BA28)/'планирование суточное'!$K$25</f>
        <v>2.6608333333333336</v>
      </c>
      <c r="BC24" s="233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2" t="e">
        <f>INDEX('файл остатки'!$A$5:$CX$265,MATCH($H$1,'файл остатки'!$A$5:$A$228,0),MATCH($B24,'файл остатки'!$A$5:$CX$5,0))</f>
        <v>#N/A</v>
      </c>
      <c r="BE24" s="240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7"/>
      <c r="BG24" s="216"/>
      <c r="BH24" s="150">
        <f>-(BG22+BG23+BG24+BG26+BG27+BG29+BG28)/'планирование суточное'!$K$25</f>
        <v>0</v>
      </c>
      <c r="BI24" s="233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2" t="e">
        <f>INDEX('файл остатки'!$A$5:$CX$265,MATCH($H$1,'файл остатки'!$A$5:$A$228,0),MATCH($B24,'файл остатки'!$A$5:$CX$5,0))</f>
        <v>#N/A</v>
      </c>
      <c r="BK24" s="212" t="e">
        <f t="shared" si="0"/>
        <v>#N/A</v>
      </c>
      <c r="BL24" s="240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7"/>
      <c r="BN24" s="216" t="e">
        <f t="shared" si="1"/>
        <v>#N/A</v>
      </c>
      <c r="BO24" s="150" t="e">
        <f>-(BN22+BN23+BN24+BN26+BN27+BN29+BN28)/'планирование суточное'!$K$25</f>
        <v>#N/A</v>
      </c>
      <c r="BP24" s="233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2" t="e">
        <f>INDEX('файл остатки'!$A$5:$CX$265,MATCH($H$1,'файл остатки'!$A$5:$A$228,0),MATCH($B24,'файл остатки'!$A$5:$CX$5,0))</f>
        <v>#N/A</v>
      </c>
      <c r="BR24" s="240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7"/>
      <c r="BT24" s="216" t="e">
        <f t="shared" si="2"/>
        <v>#N/A</v>
      </c>
      <c r="BU24" s="150" t="e">
        <f>-(BT22+BT23+BT24+BT26+BT27+BT29+BT28)/'планирование суточное'!$K$25</f>
        <v>#N/A</v>
      </c>
      <c r="BV24" s="233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2" t="e">
        <f>INDEX('файл остатки'!$A$5:$CX$265,MATCH($H$1,'файл остатки'!$A$5:$A$228,0),MATCH($B24,'файл остатки'!$A$5:$CX$5,0))</f>
        <v>#N/A</v>
      </c>
      <c r="BX24" s="240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7"/>
      <c r="BZ24" s="216" t="e">
        <f t="shared" si="3"/>
        <v>#N/A</v>
      </c>
      <c r="CA24" s="150" t="e">
        <f>-(BZ22+BZ23+BZ24+BZ26+BZ27+BZ29+BZ28)/'планирование суточное'!$K$25</f>
        <v>#N/A</v>
      </c>
      <c r="CB24" s="233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2" t="e">
        <f>INDEX('файл остатки'!$A$5:$CX$265,MATCH($H$1,'файл остатки'!$A$5:$A$228,0),MATCH($B24,'файл остатки'!$A$5:$CX$5,0))</f>
        <v>#N/A</v>
      </c>
      <c r="CD24" s="240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7"/>
      <c r="CH24" s="216">
        <f t="shared" si="4"/>
        <v>-5270.1333333333332</v>
      </c>
      <c r="CI24" s="150">
        <f>-(CH22+CH23+CH24+CH26+CH27+CH29+CH28)/'планирование суточное'!$K$25</f>
        <v>10.010633333333333</v>
      </c>
      <c r="CJ24" s="216" t="e">
        <f t="shared" si="5"/>
        <v>#N/A</v>
      </c>
      <c r="CK24" s="150" t="e">
        <f>-(CJ22+CJ23+CJ24+CJ26+CJ27+CJ29+CJ28)/'планирование суточное'!$K$25</f>
        <v>#N/A</v>
      </c>
      <c r="CO24" s="222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5" t="s">
        <v>113</v>
      </c>
      <c r="C25" s="243" t="e">
        <f>INDEX('файл остатки'!$A$5:$CX$265,MATCH($C$1,'файл остатки'!$A$5:$A$228,0),MATCH(B25,'файл остатки'!$A$5:$CX$5,0))</f>
        <v>#N/A</v>
      </c>
      <c r="D25" s="247"/>
      <c r="E25" s="216"/>
      <c r="F25" s="207"/>
      <c r="G25" s="233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2" t="e">
        <f>INDEX('файл остатки'!$A$5:$CX$265,MATCH($H$1,'файл остатки'!$A$5:$A$228,0),MATCH($B25,'файл остатки'!$A$5:$CX$5,0))</f>
        <v>#N/A</v>
      </c>
      <c r="I25" s="240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7"/>
      <c r="K25" s="216">
        <v>-88.5</v>
      </c>
      <c r="L25" s="207"/>
      <c r="M25" s="233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2" t="e">
        <f>INDEX('файл остатки'!$A$5:$CX$265,MATCH($H$1,'файл остатки'!$A$5:$A$228,0),MATCH($B25,'файл остатки'!$A$5:$CX$5,0))</f>
        <v>#N/A</v>
      </c>
      <c r="O25" s="240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7">
        <v>1.0900000000000001</v>
      </c>
      <c r="Q25" s="216"/>
      <c r="R25" s="207"/>
      <c r="S25" s="233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2" t="e">
        <f>INDEX('файл остатки'!$A$5:$CX$265,MATCH($H$1,'файл остатки'!$A$5:$A$228,0),MATCH($B25,'файл остатки'!$A$5:$CX$5,0))</f>
        <v>#N/A</v>
      </c>
      <c r="U25" s="240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7"/>
      <c r="W25" s="216"/>
      <c r="X25" s="207"/>
      <c r="Y25" s="233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2" t="e">
        <f>INDEX('файл остатки'!$A$5:$CX$265,MATCH($H$1,'файл остатки'!$A$5:$A$228,0),MATCH($B25,'файл остатки'!$A$5:$CX$5,0))</f>
        <v>#N/A</v>
      </c>
      <c r="AA25" s="240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7"/>
      <c r="AC25" s="216">
        <v>-10.666666666666661</v>
      </c>
      <c r="AD25" s="207"/>
      <c r="AE25" s="233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2" t="e">
        <f>INDEX('файл остатки'!$A$5:$CX$265,MATCH($H$1,'файл остатки'!$A$5:$A$228,0),MATCH($B25,'файл остатки'!$A$5:$CX$5,0))</f>
        <v>#N/A</v>
      </c>
      <c r="AG25" s="240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7"/>
      <c r="AI25" s="216">
        <v>-70</v>
      </c>
      <c r="AJ25" s="207"/>
      <c r="AK25" s="233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2" t="e">
        <f>INDEX('файл остатки'!$A$5:$CX$265,MATCH($H$1,'файл остатки'!$A$5:$A$228,0),MATCH($B25,'файл остатки'!$A$5:$CX$5,0))</f>
        <v>#N/A</v>
      </c>
      <c r="AM25" s="240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7"/>
      <c r="AO25" s="216"/>
      <c r="AP25" s="207"/>
      <c r="AQ25" s="233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2" t="e">
        <f>INDEX('файл остатки'!$A$5:$CX$265,MATCH($H$1,'файл остатки'!$A$5:$A$228,0),MATCH($B25,'файл остатки'!$A$5:$CX$5,0))</f>
        <v>#N/A</v>
      </c>
      <c r="AS25" s="240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7"/>
      <c r="AU25" s="216"/>
      <c r="AV25" s="207"/>
      <c r="AW25" s="233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2" t="e">
        <f>INDEX('файл остатки'!$A$5:$CX$265,MATCH($H$1,'файл остатки'!$A$5:$A$228,0),MATCH($B25,'файл остатки'!$A$5:$CX$5,0))</f>
        <v>#N/A</v>
      </c>
      <c r="AY25" s="240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7"/>
      <c r="BA25" s="216">
        <v>-97</v>
      </c>
      <c r="BB25" s="207"/>
      <c r="BC25" s="233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2" t="e">
        <f>INDEX('файл остатки'!$A$5:$CX$265,MATCH($H$1,'файл остатки'!$A$5:$A$228,0),MATCH($B25,'файл остатки'!$A$5:$CX$5,0))</f>
        <v>#N/A</v>
      </c>
      <c r="BE25" s="240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7"/>
      <c r="BG25" s="216"/>
      <c r="BH25" s="207"/>
      <c r="BI25" s="233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2" t="e">
        <f>INDEX('файл остатки'!$A$5:$CX$265,MATCH($H$1,'файл остатки'!$A$5:$A$228,0),MATCH($B25,'файл остатки'!$A$5:$CX$5,0))</f>
        <v>#N/A</v>
      </c>
      <c r="BK25" s="212" t="e">
        <f t="shared" si="0"/>
        <v>#N/A</v>
      </c>
      <c r="BL25" s="240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7"/>
      <c r="BN25" s="216" t="e">
        <f t="shared" si="1"/>
        <v>#N/A</v>
      </c>
      <c r="BO25" s="207"/>
      <c r="BP25" s="233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2" t="e">
        <f>INDEX('файл остатки'!$A$5:$CX$265,MATCH($H$1,'файл остатки'!$A$5:$A$228,0),MATCH($B25,'файл остатки'!$A$5:$CX$5,0))</f>
        <v>#N/A</v>
      </c>
      <c r="BR25" s="240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7"/>
      <c r="BT25" s="216" t="e">
        <f t="shared" si="2"/>
        <v>#N/A</v>
      </c>
      <c r="BU25" s="207"/>
      <c r="BV25" s="233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2" t="e">
        <f>INDEX('файл остатки'!$A$5:$CX$265,MATCH($H$1,'файл остатки'!$A$5:$A$228,0),MATCH($B25,'файл остатки'!$A$5:$CX$5,0))</f>
        <v>#N/A</v>
      </c>
      <c r="BX25" s="240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7"/>
      <c r="BZ25" s="216" t="e">
        <f t="shared" si="3"/>
        <v>#N/A</v>
      </c>
      <c r="CA25" s="207"/>
      <c r="CB25" s="233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2" t="e">
        <f>INDEX('файл остатки'!$A$5:$CX$265,MATCH($H$1,'файл остатки'!$A$5:$A$228,0),MATCH($B25,'файл остатки'!$A$5:$CX$5,0))</f>
        <v>#N/A</v>
      </c>
      <c r="CD25" s="240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7"/>
      <c r="CH25" s="216">
        <f t="shared" si="4"/>
        <v>-266.16666666666663</v>
      </c>
      <c r="CI25" s="207"/>
      <c r="CJ25" s="216" t="e">
        <f t="shared" si="5"/>
        <v>#N/A</v>
      </c>
      <c r="CK25" s="207"/>
      <c r="CO25" s="222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5" t="s">
        <v>144</v>
      </c>
      <c r="C26" s="243">
        <f>INDEX('файл остатки'!$A$5:$CX$265,MATCH($C$1,'файл остатки'!$A$5:$A$228,0),MATCH(B26,'файл остатки'!$A$5:$CX$5,0))</f>
        <v>33</v>
      </c>
      <c r="D26" s="247"/>
      <c r="E26" s="216"/>
      <c r="F26" s="207"/>
      <c r="G26" s="233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2">
        <f>INDEX('файл остатки'!$A$5:$CX$265,MATCH($H$1,'файл остатки'!$A$5:$A$228,0),MATCH($B26,'файл остатки'!$A$5:$CX$5,0))</f>
        <v>0</v>
      </c>
      <c r="I26" s="240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7"/>
      <c r="K26" s="216">
        <v>-33</v>
      </c>
      <c r="L26" s="207"/>
      <c r="M26" s="233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2">
        <f>INDEX('файл остатки'!$A$5:$CX$265,MATCH($H$1,'файл остатки'!$A$5:$A$228,0),MATCH($B26,'файл остатки'!$A$5:$CX$5,0))</f>
        <v>0</v>
      </c>
      <c r="O26" s="240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7">
        <v>11.5</v>
      </c>
      <c r="Q26" s="216">
        <v>-64.5</v>
      </c>
      <c r="R26" s="207"/>
      <c r="S26" s="233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2">
        <f>INDEX('файл остатки'!$A$5:$CX$265,MATCH($H$1,'файл остатки'!$A$5:$A$228,0),MATCH($B26,'файл остатки'!$A$5:$CX$5,0))</f>
        <v>0</v>
      </c>
      <c r="U26" s="240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7"/>
      <c r="W26" s="216"/>
      <c r="X26" s="207"/>
      <c r="Y26" s="233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2">
        <f>INDEX('файл остатки'!$A$5:$CX$265,MATCH($H$1,'файл остатки'!$A$5:$A$228,0),MATCH($B26,'файл остатки'!$A$5:$CX$5,0))</f>
        <v>0</v>
      </c>
      <c r="AA26" s="240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7"/>
      <c r="AC26" s="216">
        <v>-23</v>
      </c>
      <c r="AD26" s="207"/>
      <c r="AE26" s="233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2">
        <f>INDEX('файл остатки'!$A$5:$CX$265,MATCH($H$1,'файл остатки'!$A$5:$A$228,0),MATCH($B26,'файл остатки'!$A$5:$CX$5,0))</f>
        <v>0</v>
      </c>
      <c r="AG26" s="240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7"/>
      <c r="AI26" s="216">
        <v>-50</v>
      </c>
      <c r="AJ26" s="207"/>
      <c r="AK26" s="233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2">
        <f>INDEX('файл остатки'!$A$5:$CX$265,MATCH($H$1,'файл остатки'!$A$5:$A$228,0),MATCH($B26,'файл остатки'!$A$5:$CX$5,0))</f>
        <v>0</v>
      </c>
      <c r="AM26" s="240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7"/>
      <c r="AO26" s="216"/>
      <c r="AP26" s="207"/>
      <c r="AQ26" s="233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2">
        <f>INDEX('файл остатки'!$A$5:$CX$265,MATCH($H$1,'файл остатки'!$A$5:$A$228,0),MATCH($B26,'файл остатки'!$A$5:$CX$5,0))</f>
        <v>0</v>
      </c>
      <c r="AS26" s="240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7"/>
      <c r="AU26" s="216"/>
      <c r="AV26" s="207"/>
      <c r="AW26" s="233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2">
        <f>INDEX('файл остатки'!$A$5:$CX$265,MATCH($H$1,'файл остатки'!$A$5:$A$228,0),MATCH($B26,'файл остатки'!$A$5:$CX$5,0))</f>
        <v>0</v>
      </c>
      <c r="AY26" s="240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7"/>
      <c r="BA26" s="216">
        <v>-22</v>
      </c>
      <c r="BB26" s="207"/>
      <c r="BC26" s="233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2">
        <f>INDEX('файл остатки'!$A$5:$CX$265,MATCH($H$1,'файл остатки'!$A$5:$A$228,0),MATCH($B26,'файл остатки'!$A$5:$CX$5,0))</f>
        <v>0</v>
      </c>
      <c r="BE26" s="240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7"/>
      <c r="BG26" s="216"/>
      <c r="BH26" s="207"/>
      <c r="BI26" s="233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2">
        <f>INDEX('файл остатки'!$A$5:$CX$265,MATCH($H$1,'файл остатки'!$A$5:$A$228,0),MATCH($B26,'файл остатки'!$A$5:$CX$5,0))</f>
        <v>0</v>
      </c>
      <c r="BK26" s="212" t="e">
        <f t="shared" si="0"/>
        <v>#N/A</v>
      </c>
      <c r="BL26" s="240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7"/>
      <c r="BN26" s="216">
        <f t="shared" si="1"/>
        <v>-175.65625</v>
      </c>
      <c r="BO26" s="207"/>
      <c r="BP26" s="233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2">
        <f>INDEX('файл остатки'!$A$5:$CX$265,MATCH($H$1,'файл остатки'!$A$5:$A$228,0),MATCH($B26,'файл остатки'!$A$5:$CX$5,0))</f>
        <v>0</v>
      </c>
      <c r="BR26" s="240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7"/>
      <c r="BT26" s="216">
        <f t="shared" si="2"/>
        <v>-175.65625</v>
      </c>
      <c r="BU26" s="207"/>
      <c r="BV26" s="233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2">
        <f>INDEX('файл остатки'!$A$5:$CX$265,MATCH($H$1,'файл остатки'!$A$5:$A$228,0),MATCH($B26,'файл остатки'!$A$5:$CX$5,0))</f>
        <v>0</v>
      </c>
      <c r="BX26" s="240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7"/>
      <c r="BZ26" s="216">
        <f t="shared" si="3"/>
        <v>-175.65625</v>
      </c>
      <c r="CA26" s="207"/>
      <c r="CB26" s="233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2">
        <f>INDEX('файл остатки'!$A$5:$CX$265,MATCH($H$1,'файл остатки'!$A$5:$A$228,0),MATCH($B26,'файл остатки'!$A$5:$CX$5,0))</f>
        <v>0</v>
      </c>
      <c r="CD26" s="240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7"/>
      <c r="CH26" s="216">
        <f t="shared" si="4"/>
        <v>-192.5</v>
      </c>
      <c r="CI26" s="207"/>
      <c r="CJ26" s="216" t="e">
        <f t="shared" si="5"/>
        <v>#N/A</v>
      </c>
      <c r="CK26" s="207"/>
      <c r="CO26" s="222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5" t="s">
        <v>145</v>
      </c>
      <c r="C27" s="243" t="e">
        <f>INDEX('файл остатки'!$A$5:$CX$265,MATCH($C$1,'файл остатки'!$A$5:$A$228,0),MATCH(B27,'файл остатки'!$A$5:$CX$5,0))</f>
        <v>#N/A</v>
      </c>
      <c r="D27" s="247"/>
      <c r="E27" s="216"/>
      <c r="F27" s="207"/>
      <c r="G27" s="233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2" t="e">
        <f>INDEX('файл остатки'!$A$5:$CX$265,MATCH($H$1,'файл остатки'!$A$5:$A$228,0),MATCH($B27,'файл остатки'!$A$5:$CX$5,0))</f>
        <v>#N/A</v>
      </c>
      <c r="I27" s="240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7"/>
      <c r="K27" s="216">
        <v>-310.2</v>
      </c>
      <c r="L27" s="207"/>
      <c r="M27" s="233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2" t="e">
        <f>INDEX('файл остатки'!$A$5:$CX$265,MATCH($H$1,'файл остатки'!$A$5:$A$228,0),MATCH($B27,'файл остатки'!$A$5:$CX$5,0))</f>
        <v>#N/A</v>
      </c>
      <c r="O27" s="240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7"/>
      <c r="Q27" s="216">
        <v>-505.2</v>
      </c>
      <c r="R27" s="207"/>
      <c r="S27" s="233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2" t="e">
        <f>INDEX('файл остатки'!$A$5:$CX$265,MATCH($H$1,'файл остатки'!$A$5:$A$228,0),MATCH($B27,'файл остатки'!$A$5:$CX$5,0))</f>
        <v>#N/A</v>
      </c>
      <c r="U27" s="240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7"/>
      <c r="W27" s="216"/>
      <c r="X27" s="207"/>
      <c r="Y27" s="233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2" t="e">
        <f>INDEX('файл остатки'!$A$5:$CX$265,MATCH($H$1,'файл остатки'!$A$5:$A$228,0),MATCH($B27,'файл остатки'!$A$5:$CX$5,0))</f>
        <v>#N/A</v>
      </c>
      <c r="AA27" s="240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7"/>
      <c r="AC27" s="216">
        <v>-100</v>
      </c>
      <c r="AD27" s="207"/>
      <c r="AE27" s="233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2" t="e">
        <f>INDEX('файл остатки'!$A$5:$CX$265,MATCH($H$1,'файл остатки'!$A$5:$A$228,0),MATCH($B27,'файл остатки'!$A$5:$CX$5,0))</f>
        <v>#N/A</v>
      </c>
      <c r="AG27" s="240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7"/>
      <c r="AI27" s="216">
        <v>-80</v>
      </c>
      <c r="AJ27" s="207"/>
      <c r="AK27" s="233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2" t="e">
        <f>INDEX('файл остатки'!$A$5:$CX$265,MATCH($H$1,'файл остатки'!$A$5:$A$228,0),MATCH($B27,'файл остатки'!$A$5:$CX$5,0))</f>
        <v>#N/A</v>
      </c>
      <c r="AM27" s="240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7"/>
      <c r="AO27" s="216"/>
      <c r="AP27" s="207"/>
      <c r="AQ27" s="233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2" t="e">
        <f>INDEX('файл остатки'!$A$5:$CX$265,MATCH($H$1,'файл остатки'!$A$5:$A$228,0),MATCH($B27,'файл остатки'!$A$5:$CX$5,0))</f>
        <v>#N/A</v>
      </c>
      <c r="AS27" s="240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7"/>
      <c r="AU27" s="216"/>
      <c r="AV27" s="207"/>
      <c r="AW27" s="233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2" t="e">
        <f>INDEX('файл остатки'!$A$5:$CX$265,MATCH($H$1,'файл остатки'!$A$5:$A$228,0),MATCH($B27,'файл остатки'!$A$5:$CX$5,0))</f>
        <v>#N/A</v>
      </c>
      <c r="AY27" s="240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7"/>
      <c r="BA27" s="216">
        <v>-285</v>
      </c>
      <c r="BB27" s="207"/>
      <c r="BC27" s="233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2" t="e">
        <f>INDEX('файл остатки'!$A$5:$CX$265,MATCH($H$1,'файл остатки'!$A$5:$A$228,0),MATCH($B27,'файл остатки'!$A$5:$CX$5,0))</f>
        <v>#N/A</v>
      </c>
      <c r="BE27" s="240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7"/>
      <c r="BG27" s="216"/>
      <c r="BH27" s="207"/>
      <c r="BI27" s="233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2" t="e">
        <f>INDEX('файл остатки'!$A$5:$CX$265,MATCH($H$1,'файл остатки'!$A$5:$A$228,0),MATCH($B27,'файл остатки'!$A$5:$CX$5,0))</f>
        <v>#N/A</v>
      </c>
      <c r="BK27" s="212" t="e">
        <f t="shared" si="0"/>
        <v>#N/A</v>
      </c>
      <c r="BL27" s="240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7"/>
      <c r="BN27" s="216" t="e">
        <f t="shared" si="1"/>
        <v>#N/A</v>
      </c>
      <c r="BO27" s="207"/>
      <c r="BP27" s="233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2" t="e">
        <f>INDEX('файл остатки'!$A$5:$CX$265,MATCH($H$1,'файл остатки'!$A$5:$A$228,0),MATCH($B27,'файл остатки'!$A$5:$CX$5,0))</f>
        <v>#N/A</v>
      </c>
      <c r="BR27" s="240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7"/>
      <c r="BT27" s="216" t="e">
        <f t="shared" si="2"/>
        <v>#N/A</v>
      </c>
      <c r="BU27" s="207"/>
      <c r="BV27" s="233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2" t="e">
        <f>INDEX('файл остатки'!$A$5:$CX$265,MATCH($H$1,'файл остатки'!$A$5:$A$228,0),MATCH($B27,'файл остатки'!$A$5:$CX$5,0))</f>
        <v>#N/A</v>
      </c>
      <c r="BX27" s="240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7"/>
      <c r="BZ27" s="216" t="e">
        <f t="shared" si="3"/>
        <v>#N/A</v>
      </c>
      <c r="CA27" s="207"/>
      <c r="CB27" s="233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2" t="e">
        <f>INDEX('файл остатки'!$A$5:$CX$265,MATCH($H$1,'файл остатки'!$A$5:$A$228,0),MATCH($B27,'файл остатки'!$A$5:$CX$5,0))</f>
        <v>#N/A</v>
      </c>
      <c r="CD27" s="240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7"/>
      <c r="CH27" s="216">
        <f t="shared" si="4"/>
        <v>-1280.4000000000001</v>
      </c>
      <c r="CI27" s="207"/>
      <c r="CJ27" s="216" t="e">
        <f t="shared" si="5"/>
        <v>#N/A</v>
      </c>
      <c r="CK27" s="207"/>
      <c r="CO27" s="222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5" t="s">
        <v>98</v>
      </c>
      <c r="C28" s="243">
        <f>INDEX('файл остатки'!$A$5:$CX$265,MATCH($C$1,'файл остатки'!$A$5:$A$228,0),MATCH(B28,'файл остатки'!$A$5:$CX$5,0))</f>
        <v>0</v>
      </c>
      <c r="D28" s="247"/>
      <c r="E28" s="216"/>
      <c r="F28" s="207"/>
      <c r="G28" s="233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2">
        <f>INDEX('файл остатки'!$A$5:$CX$265,MATCH($H$1,'файл остатки'!$A$5:$A$228,0),MATCH($B28,'файл остатки'!$A$5:$CX$5,0))</f>
        <v>0</v>
      </c>
      <c r="I28" s="240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7"/>
      <c r="K28" s="216">
        <v>-298.8</v>
      </c>
      <c r="L28" s="207"/>
      <c r="M28" s="233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2">
        <f>INDEX('файл остатки'!$A$5:$CX$265,MATCH($H$1,'файл остатки'!$A$5:$A$228,0),MATCH($B28,'файл остатки'!$A$5:$CX$5,0))</f>
        <v>0</v>
      </c>
      <c r="O28" s="240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7"/>
      <c r="Q28" s="216"/>
      <c r="R28" s="207"/>
      <c r="S28" s="233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2">
        <f>INDEX('файл остатки'!$A$5:$CX$265,MATCH($H$1,'файл остатки'!$A$5:$A$228,0),MATCH($B28,'файл остатки'!$A$5:$CX$5,0))</f>
        <v>0</v>
      </c>
      <c r="U28" s="240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7"/>
      <c r="W28" s="216"/>
      <c r="X28" s="207"/>
      <c r="Y28" s="233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2">
        <f>INDEX('файл остатки'!$A$5:$CX$265,MATCH($H$1,'файл остатки'!$A$5:$A$228,0),MATCH($B28,'файл остатки'!$A$5:$CX$5,0))</f>
        <v>0</v>
      </c>
      <c r="AA28" s="240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7"/>
      <c r="AC28" s="216">
        <v>-220</v>
      </c>
      <c r="AD28" s="207"/>
      <c r="AE28" s="233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2">
        <f>INDEX('файл остатки'!$A$5:$CX$265,MATCH($H$1,'файл остатки'!$A$5:$A$228,0),MATCH($B28,'файл остатки'!$A$5:$CX$5,0))</f>
        <v>0</v>
      </c>
      <c r="AG28" s="240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7"/>
      <c r="AI28" s="216">
        <v>0</v>
      </c>
      <c r="AJ28" s="207"/>
      <c r="AK28" s="233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2">
        <f>INDEX('файл остатки'!$A$5:$CX$265,MATCH($H$1,'файл остатки'!$A$5:$A$228,0),MATCH($B28,'файл остатки'!$A$5:$CX$5,0))</f>
        <v>0</v>
      </c>
      <c r="AM28" s="240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7"/>
      <c r="AO28" s="216"/>
      <c r="AP28" s="207"/>
      <c r="AQ28" s="233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2">
        <f>INDEX('файл остатки'!$A$5:$CX$265,MATCH($H$1,'файл остатки'!$A$5:$A$228,0),MATCH($B28,'файл остатки'!$A$5:$CX$5,0))</f>
        <v>0</v>
      </c>
      <c r="AS28" s="240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7"/>
      <c r="AU28" s="216"/>
      <c r="AV28" s="207"/>
      <c r="AW28" s="233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2">
        <f>INDEX('файл остатки'!$A$5:$CX$265,MATCH($H$1,'файл остатки'!$A$5:$A$228,0),MATCH($B28,'файл остатки'!$A$5:$CX$5,0))</f>
        <v>0</v>
      </c>
      <c r="AY28" s="240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7"/>
      <c r="BA28" s="216">
        <v>-220</v>
      </c>
      <c r="BB28" s="207"/>
      <c r="BC28" s="233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2">
        <f>INDEX('файл остатки'!$A$5:$CX$265,MATCH($H$1,'файл остатки'!$A$5:$A$228,0),MATCH($B28,'файл остатки'!$A$5:$CX$5,0))</f>
        <v>0</v>
      </c>
      <c r="BE28" s="240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7"/>
      <c r="BG28" s="216"/>
      <c r="BH28" s="207"/>
      <c r="BI28" s="233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2">
        <f>INDEX('файл остатки'!$A$5:$CX$265,MATCH($H$1,'файл остатки'!$A$5:$A$228,0),MATCH($B28,'файл остатки'!$A$5:$CX$5,0))</f>
        <v>0</v>
      </c>
      <c r="BK28" s="212" t="e">
        <f t="shared" si="0"/>
        <v>#N/A</v>
      </c>
      <c r="BL28" s="240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7"/>
      <c r="BN28" s="216">
        <f t="shared" si="1"/>
        <v>-500</v>
      </c>
      <c r="BO28" s="207"/>
      <c r="BP28" s="233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500</v>
      </c>
      <c r="BQ28" s="212">
        <f>INDEX('файл остатки'!$A$5:$CX$265,MATCH($H$1,'файл остатки'!$A$5:$A$228,0),MATCH($B28,'файл остатки'!$A$5:$CX$5,0))</f>
        <v>0</v>
      </c>
      <c r="BR28" s="240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7"/>
      <c r="BT28" s="216">
        <f t="shared" si="2"/>
        <v>-500</v>
      </c>
      <c r="BU28" s="207"/>
      <c r="BV28" s="233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500</v>
      </c>
      <c r="BW28" s="212">
        <f>INDEX('файл остатки'!$A$5:$CX$265,MATCH($H$1,'файл остатки'!$A$5:$A$228,0),MATCH($B28,'файл остатки'!$A$5:$CX$5,0))</f>
        <v>0</v>
      </c>
      <c r="BX28" s="240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7"/>
      <c r="BZ28" s="216">
        <f t="shared" si="3"/>
        <v>-500</v>
      </c>
      <c r="CA28" s="207"/>
      <c r="CB28" s="233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500</v>
      </c>
      <c r="CC28" s="212">
        <f>INDEX('файл остатки'!$A$5:$CX$265,MATCH($H$1,'файл остатки'!$A$5:$A$228,0),MATCH($B28,'файл остатки'!$A$5:$CX$5,0))</f>
        <v>0</v>
      </c>
      <c r="CD28" s="240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7"/>
      <c r="CH28" s="216">
        <f t="shared" si="4"/>
        <v>-738.8</v>
      </c>
      <c r="CI28" s="207"/>
      <c r="CJ28" s="216" t="e">
        <f t="shared" si="5"/>
        <v>#N/A</v>
      </c>
      <c r="CK28" s="207"/>
      <c r="CO28" s="222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5" t="s">
        <v>115</v>
      </c>
      <c r="C29" s="243" t="e">
        <f>INDEX('файл остатки'!$A$5:$CX$265,MATCH($C$1,'файл остатки'!$A$5:$A$228,0),MATCH(B29,'файл остатки'!$A$5:$CX$5,0))</f>
        <v>#N/A</v>
      </c>
      <c r="D29" s="247"/>
      <c r="E29" s="216"/>
      <c r="F29" s="207"/>
      <c r="G29" s="233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2" t="e">
        <f>INDEX('файл остатки'!$A$5:$CX$265,MATCH($H$1,'файл остатки'!$A$5:$A$228,0),MATCH($B29,'файл остатки'!$A$5:$CX$5,0))</f>
        <v>#N/A</v>
      </c>
      <c r="I29" s="240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7"/>
      <c r="K29" s="216">
        <v>-445.5</v>
      </c>
      <c r="L29" s="207"/>
      <c r="M29" s="233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2" t="e">
        <f>INDEX('файл остатки'!$A$5:$CX$265,MATCH($H$1,'файл остатки'!$A$5:$A$228,0),MATCH($B29,'файл остатки'!$A$5:$CX$5,0))</f>
        <v>#N/A</v>
      </c>
      <c r="O29" s="240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7"/>
      <c r="Q29" s="216">
        <v>-60</v>
      </c>
      <c r="R29" s="207"/>
      <c r="S29" s="233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2" t="e">
        <f>INDEX('файл остатки'!$A$5:$CX$265,MATCH($H$1,'файл остатки'!$A$5:$A$228,0),MATCH($B29,'файл остатки'!$A$5:$CX$5,0))</f>
        <v>#N/A</v>
      </c>
      <c r="U29" s="240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7"/>
      <c r="W29" s="216"/>
      <c r="X29" s="207"/>
      <c r="Y29" s="233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2" t="e">
        <f>INDEX('файл остатки'!$A$5:$CX$265,MATCH($H$1,'файл остатки'!$A$5:$A$228,0),MATCH($B29,'файл остатки'!$A$5:$CX$5,0))</f>
        <v>#N/A</v>
      </c>
      <c r="AA29" s="240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7"/>
      <c r="AC29" s="216">
        <v>-587</v>
      </c>
      <c r="AD29" s="207"/>
      <c r="AE29" s="233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2" t="e">
        <f>INDEX('файл остатки'!$A$5:$CX$265,MATCH($H$1,'файл остатки'!$A$5:$A$228,0),MATCH($B29,'файл остатки'!$A$5:$CX$5,0))</f>
        <v>#N/A</v>
      </c>
      <c r="AG29" s="240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7"/>
      <c r="AI29" s="216">
        <v>-220</v>
      </c>
      <c r="AJ29" s="207"/>
      <c r="AK29" s="233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2" t="e">
        <f>INDEX('файл остатки'!$A$5:$CX$265,MATCH($H$1,'файл остатки'!$A$5:$A$228,0),MATCH($B29,'файл остатки'!$A$5:$CX$5,0))</f>
        <v>#N/A</v>
      </c>
      <c r="AM29" s="240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7"/>
      <c r="AO29" s="216"/>
      <c r="AP29" s="207"/>
      <c r="AQ29" s="233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2" t="e">
        <f>INDEX('файл остатки'!$A$5:$CX$265,MATCH($H$1,'файл остатки'!$A$5:$A$228,0),MATCH($B29,'файл остатки'!$A$5:$CX$5,0))</f>
        <v>#N/A</v>
      </c>
      <c r="AS29" s="240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7"/>
      <c r="AU29" s="216"/>
      <c r="AV29" s="207"/>
      <c r="AW29" s="233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2" t="e">
        <f>INDEX('файл остатки'!$A$5:$CX$265,MATCH($H$1,'файл остатки'!$A$5:$A$228,0),MATCH($B29,'файл остатки'!$A$5:$CX$5,0))</f>
        <v>#N/A</v>
      </c>
      <c r="AY29" s="240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7"/>
      <c r="BA29" s="216">
        <v>-766</v>
      </c>
      <c r="BB29" s="207"/>
      <c r="BC29" s="233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2" t="e">
        <f>INDEX('файл остатки'!$A$5:$CX$265,MATCH($H$1,'файл остатки'!$A$5:$A$228,0),MATCH($B29,'файл остатки'!$A$5:$CX$5,0))</f>
        <v>#N/A</v>
      </c>
      <c r="BE29" s="240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7"/>
      <c r="BG29" s="216"/>
      <c r="BH29" s="207"/>
      <c r="BI29" s="233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2" t="e">
        <f>INDEX('файл остатки'!$A$5:$CX$265,MATCH($H$1,'файл остатки'!$A$5:$A$228,0),MATCH($B29,'файл остатки'!$A$5:$CX$5,0))</f>
        <v>#N/A</v>
      </c>
      <c r="BK29" s="212" t="e">
        <f t="shared" si="0"/>
        <v>#N/A</v>
      </c>
      <c r="BL29" s="240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7"/>
      <c r="BN29" s="216" t="e">
        <f t="shared" si="1"/>
        <v>#N/A</v>
      </c>
      <c r="BO29" s="207"/>
      <c r="BP29" s="233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2" t="e">
        <f>INDEX('файл остатки'!$A$5:$CX$265,MATCH($H$1,'файл остатки'!$A$5:$A$228,0),MATCH($B29,'файл остатки'!$A$5:$CX$5,0))</f>
        <v>#N/A</v>
      </c>
      <c r="BR29" s="240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7"/>
      <c r="BT29" s="216" t="e">
        <f t="shared" si="2"/>
        <v>#N/A</v>
      </c>
      <c r="BU29" s="207"/>
      <c r="BV29" s="233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2" t="e">
        <f>INDEX('файл остатки'!$A$5:$CX$265,MATCH($H$1,'файл остатки'!$A$5:$A$228,0),MATCH($B29,'файл остатки'!$A$5:$CX$5,0))</f>
        <v>#N/A</v>
      </c>
      <c r="BX29" s="240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7"/>
      <c r="BZ29" s="216" t="e">
        <f t="shared" si="3"/>
        <v>#N/A</v>
      </c>
      <c r="CA29" s="207"/>
      <c r="CB29" s="233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2" t="e">
        <f>INDEX('файл остатки'!$A$5:$CX$265,MATCH($H$1,'файл остатки'!$A$5:$A$228,0),MATCH($B29,'файл остатки'!$A$5:$CX$5,0))</f>
        <v>#N/A</v>
      </c>
      <c r="CD29" s="240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7"/>
      <c r="CH29" s="216">
        <f t="shared" si="4"/>
        <v>-2078.5</v>
      </c>
      <c r="CI29" s="207"/>
      <c r="CJ29" s="216" t="e">
        <f t="shared" si="5"/>
        <v>#N/A</v>
      </c>
      <c r="CK29" s="207"/>
      <c r="CO29" s="222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5"/>
      <c r="C30" s="243"/>
      <c r="D30" s="247"/>
      <c r="E30" s="216"/>
      <c r="F30" s="207"/>
      <c r="G30" s="233"/>
      <c r="H30" s="212"/>
      <c r="I30" s="240"/>
      <c r="J30" s="217"/>
      <c r="K30" s="216"/>
      <c r="L30" s="207"/>
      <c r="M30" s="233"/>
      <c r="N30" s="212"/>
      <c r="O30" s="240"/>
      <c r="P30" s="217"/>
      <c r="Q30" s="216">
        <v>0</v>
      </c>
      <c r="R30" s="207"/>
      <c r="S30" s="233"/>
      <c r="T30" s="212"/>
      <c r="U30" s="240"/>
      <c r="V30" s="217"/>
      <c r="W30" s="216"/>
      <c r="X30" s="207"/>
      <c r="Y30" s="233"/>
      <c r="Z30" s="212"/>
      <c r="AA30" s="240"/>
      <c r="AB30" s="217"/>
      <c r="AC30" s="216"/>
      <c r="AD30" s="207"/>
      <c r="AE30" s="233"/>
      <c r="AF30" s="212"/>
      <c r="AG30" s="240"/>
      <c r="AH30" s="217"/>
      <c r="AI30" s="216"/>
      <c r="AJ30" s="207"/>
      <c r="AK30" s="233"/>
      <c r="AL30" s="212"/>
      <c r="AM30" s="240"/>
      <c r="AN30" s="217"/>
      <c r="AO30" s="216"/>
      <c r="AP30" s="207"/>
      <c r="AQ30" s="233"/>
      <c r="AR30" s="212"/>
      <c r="AS30" s="240"/>
      <c r="AT30" s="217"/>
      <c r="AU30" s="216"/>
      <c r="AV30" s="207"/>
      <c r="AW30" s="233"/>
      <c r="AX30" s="212"/>
      <c r="AY30" s="240"/>
      <c r="AZ30" s="217"/>
      <c r="BA30" s="216"/>
      <c r="BB30" s="207"/>
      <c r="BC30" s="233"/>
      <c r="BD30" s="212"/>
      <c r="BE30" s="240"/>
      <c r="BF30" s="217"/>
      <c r="BG30" s="216"/>
      <c r="BH30" s="207"/>
      <c r="BI30" s="233"/>
      <c r="BJ30" s="212"/>
      <c r="BK30" s="212"/>
      <c r="BL30" s="240"/>
      <c r="BM30" s="217"/>
      <c r="BN30" s="216"/>
      <c r="BO30" s="207"/>
      <c r="BP30" s="233"/>
      <c r="BQ30" s="212"/>
      <c r="BR30" s="240"/>
      <c r="BS30" s="217"/>
      <c r="BT30" s="216"/>
      <c r="BU30" s="207"/>
      <c r="BV30" s="233"/>
      <c r="BW30" s="212"/>
      <c r="BX30" s="240"/>
      <c r="BY30" s="217"/>
      <c r="BZ30" s="216"/>
      <c r="CA30" s="207"/>
      <c r="CB30" s="233"/>
      <c r="CC30" s="212"/>
      <c r="CD30" s="240"/>
      <c r="CE30" s="217"/>
      <c r="CH30" s="216"/>
      <c r="CI30" s="207"/>
      <c r="CJ30" s="216"/>
      <c r="CK30" s="207"/>
      <c r="CO30" s="222"/>
    </row>
    <row r="31" spans="1:93" s="211" customFormat="1" ht="23.1" customHeight="1">
      <c r="C31" s="214"/>
      <c r="D31" s="208"/>
      <c r="E31" s="214"/>
      <c r="F31" s="249"/>
      <c r="G31" s="207"/>
      <c r="H31" s="207"/>
      <c r="I31" s="207"/>
      <c r="J31" s="215"/>
      <c r="K31" s="214"/>
      <c r="L31" s="249"/>
      <c r="M31" s="207"/>
      <c r="N31" s="207"/>
      <c r="O31" s="207"/>
      <c r="P31" s="215"/>
      <c r="Q31" s="214"/>
      <c r="R31" s="249"/>
      <c r="S31" s="207"/>
      <c r="T31" s="207"/>
      <c r="U31" s="207"/>
      <c r="V31" s="215"/>
      <c r="W31" s="214"/>
      <c r="X31" s="249"/>
      <c r="Y31" s="207"/>
      <c r="Z31" s="207"/>
      <c r="AA31" s="207"/>
      <c r="AB31" s="215"/>
      <c r="AC31" s="214"/>
      <c r="AD31" s="249"/>
      <c r="AE31" s="207"/>
      <c r="AF31" s="207"/>
      <c r="AG31" s="207"/>
      <c r="AH31" s="215"/>
      <c r="AI31" s="214"/>
      <c r="AJ31" s="249"/>
      <c r="AK31" s="207"/>
      <c r="AL31" s="207"/>
      <c r="AM31" s="207"/>
      <c r="AN31" s="215"/>
      <c r="AO31" s="214"/>
      <c r="AP31" s="249"/>
      <c r="AQ31" s="207"/>
      <c r="AR31" s="207"/>
      <c r="AS31" s="207"/>
      <c r="AT31" s="215"/>
      <c r="AU31" s="214"/>
      <c r="AV31" s="249"/>
      <c r="AW31" s="207"/>
      <c r="AX31" s="207"/>
      <c r="AY31" s="207"/>
      <c r="AZ31" s="215"/>
      <c r="BA31" s="214"/>
      <c r="BB31" s="249"/>
      <c r="BC31" s="207"/>
      <c r="BD31" s="207"/>
      <c r="BE31" s="207"/>
      <c r="BF31" s="215"/>
      <c r="BG31" s="214"/>
      <c r="BH31" s="249"/>
      <c r="BI31" s="207"/>
      <c r="BJ31" s="207"/>
      <c r="BK31" s="207"/>
      <c r="BL31" s="207"/>
      <c r="BM31" s="215"/>
      <c r="BN31" s="214"/>
      <c r="BO31" s="249"/>
      <c r="BP31" s="207"/>
      <c r="BQ31" s="207"/>
      <c r="BR31" s="207"/>
      <c r="BS31" s="215"/>
      <c r="BT31" s="214"/>
      <c r="BU31" s="249"/>
      <c r="BV31" s="207"/>
      <c r="BW31" s="207"/>
      <c r="BX31" s="207"/>
      <c r="BY31" s="215"/>
      <c r="BZ31" s="214"/>
      <c r="CA31" s="249"/>
      <c r="CB31" s="207"/>
      <c r="CC31" s="207"/>
      <c r="CD31" s="207"/>
      <c r="CE31" s="215"/>
      <c r="CH31" s="216"/>
      <c r="CI31" s="249"/>
      <c r="CJ31" s="216"/>
      <c r="CK31" s="249"/>
      <c r="CO31" s="261"/>
    </row>
    <row r="32" spans="1:93" ht="24" customHeight="1">
      <c r="A32" s="189"/>
      <c r="B32" s="201"/>
      <c r="C32" s="243"/>
      <c r="D32" s="247"/>
      <c r="E32" s="216"/>
      <c r="F32" s="207" t="s">
        <v>221</v>
      </c>
      <c r="G32" s="233"/>
      <c r="H32" s="212"/>
      <c r="I32" s="240"/>
      <c r="J32" s="217"/>
      <c r="K32" s="216"/>
      <c r="L32" s="207" t="s">
        <v>221</v>
      </c>
      <c r="M32" s="233"/>
      <c r="N32" s="212"/>
      <c r="O32" s="240"/>
      <c r="P32" s="217"/>
      <c r="Q32" s="216"/>
      <c r="R32" s="207" t="s">
        <v>221</v>
      </c>
      <c r="S32" s="233"/>
      <c r="T32" s="212"/>
      <c r="U32" s="240"/>
      <c r="V32" s="217"/>
      <c r="W32" s="216"/>
      <c r="X32" s="207"/>
      <c r="Y32" s="233"/>
      <c r="Z32" s="212"/>
      <c r="AA32" s="240"/>
      <c r="AB32" s="217"/>
      <c r="AC32" s="216"/>
      <c r="AD32" s="207" t="s">
        <v>221</v>
      </c>
      <c r="AE32" s="233"/>
      <c r="AF32" s="212"/>
      <c r="AG32" s="240"/>
      <c r="AH32" s="217"/>
      <c r="AI32" s="216"/>
      <c r="AJ32" s="207" t="s">
        <v>221</v>
      </c>
      <c r="AK32" s="233"/>
      <c r="AL32" s="212"/>
      <c r="AM32" s="240"/>
      <c r="AN32" s="217"/>
      <c r="AO32" s="216"/>
      <c r="AP32" s="207" t="s">
        <v>221</v>
      </c>
      <c r="AQ32" s="233"/>
      <c r="AR32" s="212"/>
      <c r="AS32" s="240"/>
      <c r="AT32" s="217"/>
      <c r="AU32" s="216"/>
      <c r="AV32" s="207" t="s">
        <v>188</v>
      </c>
      <c r="AW32" s="233"/>
      <c r="AX32" s="212"/>
      <c r="AY32" s="240"/>
      <c r="AZ32" s="217"/>
      <c r="BA32" s="216"/>
      <c r="BB32" s="207" t="s">
        <v>188</v>
      </c>
      <c r="BC32" s="233"/>
      <c r="BD32" s="212"/>
      <c r="BE32" s="240"/>
      <c r="BF32" s="217"/>
      <c r="BG32" s="216"/>
      <c r="BH32" s="207" t="s">
        <v>188</v>
      </c>
      <c r="BI32" s="233"/>
      <c r="BJ32" s="212"/>
      <c r="BK32" s="212"/>
      <c r="BL32" s="240"/>
      <c r="BM32" s="217"/>
      <c r="BN32" s="216"/>
      <c r="BO32" s="207" t="s">
        <v>188</v>
      </c>
      <c r="BP32" s="233"/>
      <c r="BQ32" s="212"/>
      <c r="BR32" s="240"/>
      <c r="BS32" s="217"/>
      <c r="BT32" s="216"/>
      <c r="BU32" s="207" t="s">
        <v>188</v>
      </c>
      <c r="BV32" s="233"/>
      <c r="BW32" s="212"/>
      <c r="BX32" s="240"/>
      <c r="BY32" s="217"/>
      <c r="BZ32" s="216"/>
      <c r="CA32" s="207" t="s">
        <v>188</v>
      </c>
      <c r="CB32" s="233"/>
      <c r="CC32" s="212"/>
      <c r="CD32" s="240"/>
      <c r="CE32" s="217"/>
      <c r="CH32" s="216"/>
      <c r="CI32" s="207" t="s">
        <v>188</v>
      </c>
      <c r="CJ32" s="216"/>
      <c r="CK32" s="207" t="s">
        <v>188</v>
      </c>
      <c r="CO32" s="222"/>
    </row>
    <row r="33" spans="1:93" ht="24" customHeight="1">
      <c r="A33" s="189" t="s">
        <v>46</v>
      </c>
      <c r="B33" s="201" t="s">
        <v>177</v>
      </c>
      <c r="C33" s="243" t="e">
        <f>INDEX('файл остатки'!$A$5:$CX$265,MATCH($C$1,'файл остатки'!$A$5:$A$228,0),MATCH(B33,'файл остатки'!$A$5:$CX$5,0))</f>
        <v>#N/A</v>
      </c>
      <c r="D33" s="247"/>
      <c r="E33" s="216">
        <v>-600</v>
      </c>
      <c r="F33" s="150">
        <f>-(E33+E32)/'планирование суточное'!$K$36</f>
        <v>1</v>
      </c>
      <c r="G33" s="233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2" t="e">
        <f>INDEX('файл остатки'!$A$5:$CX$265,MATCH($H$1,'файл остатки'!$A$5:$A$228,0),MATCH($B33,'файл остатки'!$A$5:$CX$5,0))</f>
        <v>#N/A</v>
      </c>
      <c r="I33" s="240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7"/>
      <c r="K33" s="216"/>
      <c r="L33" s="150">
        <f>-(K33+K32)/'планирование суточное'!$K$36</f>
        <v>0</v>
      </c>
      <c r="M33" s="233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2" t="e">
        <f>INDEX('файл остатки'!$A$5:$CX$265,MATCH($H$1,'файл остатки'!$A$5:$A$228,0),MATCH($B33,'файл остатки'!$A$5:$CX$5,0))</f>
        <v>#N/A</v>
      </c>
      <c r="O33" s="240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7"/>
      <c r="Q33" s="216">
        <v>-300</v>
      </c>
      <c r="R33" s="150">
        <f>-(Q33+Q32)/'планирование суточное'!$K$36</f>
        <v>0.5</v>
      </c>
      <c r="S33" s="233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2" t="e">
        <f>INDEX('файл остатки'!$A$5:$CX$265,MATCH($H$1,'файл остатки'!$A$5:$A$228,0),MATCH($B33,'файл остатки'!$A$5:$CX$5,0))</f>
        <v>#N/A</v>
      </c>
      <c r="U33" s="240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7"/>
      <c r="W33" s="216"/>
      <c r="X33" s="150">
        <f>-(W33+W32)/'планирование суточное'!$K$36</f>
        <v>0</v>
      </c>
      <c r="Y33" s="233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2" t="e">
        <f>INDEX('файл остатки'!$A$5:$CX$265,MATCH($H$1,'файл остатки'!$A$5:$A$228,0),MATCH($B33,'файл остатки'!$A$5:$CX$5,0))</f>
        <v>#N/A</v>
      </c>
      <c r="AA33" s="240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7"/>
      <c r="AC33" s="216"/>
      <c r="AD33" s="150">
        <f>-(AC33+AC32)/'планирование суточное'!$K$36</f>
        <v>0</v>
      </c>
      <c r="AE33" s="233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2" t="e">
        <f>INDEX('файл остатки'!$A$5:$CX$265,MATCH($H$1,'файл остатки'!$A$5:$A$228,0),MATCH($B33,'файл остатки'!$A$5:$CX$5,0))</f>
        <v>#N/A</v>
      </c>
      <c r="AG33" s="240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7"/>
      <c r="AI33" s="216">
        <v>-660</v>
      </c>
      <c r="AJ33" s="150">
        <f>-(AI33+AI32)/'планирование суточное'!$K$36</f>
        <v>1.1000000000000001</v>
      </c>
      <c r="AK33" s="233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2" t="e">
        <f>INDEX('файл остатки'!$A$5:$CX$265,MATCH($H$1,'файл остатки'!$A$5:$A$228,0),MATCH($B33,'файл остатки'!$A$5:$CX$5,0))</f>
        <v>#N/A</v>
      </c>
      <c r="AM33" s="240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7"/>
      <c r="AO33" s="216"/>
      <c r="AP33" s="150">
        <f>-(AO33+AO32)/'планирование суточное'!$K$36</f>
        <v>0</v>
      </c>
      <c r="AQ33" s="233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2" t="e">
        <f>INDEX('файл остатки'!$A$5:$CX$265,MATCH($H$1,'файл остатки'!$A$5:$A$228,0),MATCH($B33,'файл остатки'!$A$5:$CX$5,0))</f>
        <v>#N/A</v>
      </c>
      <c r="AS33" s="240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7"/>
      <c r="AU33" s="216"/>
      <c r="AV33" s="150">
        <f>-(AU33+AU32)/'планирование суточное'!$K$36</f>
        <v>0</v>
      </c>
      <c r="AW33" s="233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2" t="e">
        <f>INDEX('файл остатки'!$A$5:$CX$265,MATCH($H$1,'файл остатки'!$A$5:$A$228,0),MATCH($B33,'файл остатки'!$A$5:$CX$5,0))</f>
        <v>#N/A</v>
      </c>
      <c r="AY33" s="240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7"/>
      <c r="BA33" s="216"/>
      <c r="BB33" s="150">
        <f>-(BA33+BA32)/'планирование суточное'!$K$36</f>
        <v>0</v>
      </c>
      <c r="BC33" s="233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2" t="e">
        <f>INDEX('файл остатки'!$A$5:$CX$265,MATCH($H$1,'файл остатки'!$A$5:$A$228,0),MATCH($B33,'файл остатки'!$A$5:$CX$5,0))</f>
        <v>#N/A</v>
      </c>
      <c r="BE33" s="240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7"/>
      <c r="BG33" s="216"/>
      <c r="BH33" s="150">
        <f>-(BG33+BG32)/'планирование суточное'!$K$36</f>
        <v>0</v>
      </c>
      <c r="BI33" s="233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2" t="e">
        <f>INDEX('файл остатки'!$A$5:$CX$265,MATCH($H$1,'файл остатки'!$A$5:$A$228,0),MATCH($B33,'файл остатки'!$A$5:$CX$5,0))</f>
        <v>#N/A</v>
      </c>
      <c r="BK33" s="212" t="e">
        <f t="shared" si="0"/>
        <v>#N/A</v>
      </c>
      <c r="BL33" s="240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7"/>
      <c r="BN33" s="216" t="e">
        <f t="shared" si="1"/>
        <v>#N/A</v>
      </c>
      <c r="BO33" s="150" t="e">
        <f>-(BN33+BN32)/'планирование суточное'!$K$36</f>
        <v>#N/A</v>
      </c>
      <c r="BP33" s="233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2" t="e">
        <f>INDEX('файл остатки'!$A$5:$CX$265,MATCH($H$1,'файл остатки'!$A$5:$A$228,0),MATCH($B33,'файл остатки'!$A$5:$CX$5,0))</f>
        <v>#N/A</v>
      </c>
      <c r="BR33" s="240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7"/>
      <c r="BT33" s="216" t="e">
        <f t="shared" si="2"/>
        <v>#N/A</v>
      </c>
      <c r="BU33" s="150" t="e">
        <f>-(BT33+BT32)/'планирование суточное'!$K$36</f>
        <v>#N/A</v>
      </c>
      <c r="BV33" s="233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2" t="e">
        <f>INDEX('файл остатки'!$A$5:$CX$265,MATCH($H$1,'файл остатки'!$A$5:$A$228,0),MATCH($B33,'файл остатки'!$A$5:$CX$5,0))</f>
        <v>#N/A</v>
      </c>
      <c r="BX33" s="240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7"/>
      <c r="BZ33" s="216" t="e">
        <f t="shared" si="3"/>
        <v>#N/A</v>
      </c>
      <c r="CA33" s="150" t="e">
        <f>-(BZ33+BZ32)/'планирование суточное'!$K$36</f>
        <v>#N/A</v>
      </c>
      <c r="CB33" s="233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2" t="e">
        <f>INDEX('файл остатки'!$A$5:$CX$265,MATCH($H$1,'файл остатки'!$A$5:$A$228,0),MATCH($B33,'файл остатки'!$A$5:$CX$5,0))</f>
        <v>#N/A</v>
      </c>
      <c r="CD33" s="240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7"/>
      <c r="CH33" s="216">
        <f t="shared" si="4"/>
        <v>-1560</v>
      </c>
      <c r="CI33" s="150">
        <f>-(CH33+CH32)/'планирование суточное'!$K$36</f>
        <v>2.6</v>
      </c>
      <c r="CJ33" s="216" t="e">
        <f t="shared" si="5"/>
        <v>#N/A</v>
      </c>
      <c r="CK33" s="150" t="e">
        <f>-(CJ33+CJ32)/'планирование суточное'!$K$36</f>
        <v>#N/A</v>
      </c>
      <c r="CO33" s="222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89" t="s">
        <v>166</v>
      </c>
      <c r="B34" s="201" t="s">
        <v>167</v>
      </c>
      <c r="C34" s="243">
        <f>INDEX('файл остатки'!$A$5:$CX$265,MATCH($C$1,'файл остатки'!$A$5:$A$228,0),MATCH(B34,'файл остатки'!$A$5:$CX$5,0))</f>
        <v>0</v>
      </c>
      <c r="D34" s="247"/>
      <c r="E34" s="216">
        <v>0</v>
      </c>
      <c r="F34" s="207" t="s">
        <v>189</v>
      </c>
      <c r="G34" s="233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2">
        <f>INDEX('файл остатки'!$A$5:$CX$265,MATCH($H$1,'файл остатки'!$A$5:$A$228,0),MATCH($B34,'файл остатки'!$A$5:$CX$5,0))</f>
        <v>0</v>
      </c>
      <c r="I34" s="240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7"/>
      <c r="K34" s="216"/>
      <c r="L34" s="207" t="s">
        <v>189</v>
      </c>
      <c r="M34" s="233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2">
        <f>INDEX('файл остатки'!$A$5:$CX$265,MATCH($H$1,'файл остатки'!$A$5:$A$228,0),MATCH($B34,'файл остатки'!$A$5:$CX$5,0))</f>
        <v>0</v>
      </c>
      <c r="O34" s="240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7"/>
      <c r="Q34" s="216">
        <v>0</v>
      </c>
      <c r="R34" s="207" t="s">
        <v>189</v>
      </c>
      <c r="S34" s="233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2">
        <f>INDEX('файл остатки'!$A$5:$CX$265,MATCH($H$1,'файл остатки'!$A$5:$A$228,0),MATCH($B34,'файл остатки'!$A$5:$CX$5,0))</f>
        <v>0</v>
      </c>
      <c r="U34" s="240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7"/>
      <c r="W34" s="216"/>
      <c r="X34" s="207" t="s">
        <v>189</v>
      </c>
      <c r="Y34" s="233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2">
        <f>INDEX('файл остатки'!$A$5:$CX$265,MATCH($H$1,'файл остатки'!$A$5:$A$228,0),MATCH($B34,'файл остатки'!$A$5:$CX$5,0))</f>
        <v>0</v>
      </c>
      <c r="AA34" s="240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7"/>
      <c r="AC34" s="216"/>
      <c r="AD34" s="207" t="s">
        <v>189</v>
      </c>
      <c r="AE34" s="233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2">
        <f>INDEX('файл остатки'!$A$5:$CX$265,MATCH($H$1,'файл остатки'!$A$5:$A$228,0),MATCH($B34,'файл остатки'!$A$5:$CX$5,0))</f>
        <v>0</v>
      </c>
      <c r="AG34" s="240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7"/>
      <c r="AI34" s="216"/>
      <c r="AJ34" s="207" t="s">
        <v>189</v>
      </c>
      <c r="AK34" s="233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2">
        <f>INDEX('файл остатки'!$A$5:$CX$265,MATCH($H$1,'файл остатки'!$A$5:$A$228,0),MATCH($B34,'файл остатки'!$A$5:$CX$5,0))</f>
        <v>0</v>
      </c>
      <c r="AM34" s="240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7"/>
      <c r="AO34" s="216"/>
      <c r="AP34" s="207" t="s">
        <v>189</v>
      </c>
      <c r="AQ34" s="233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2">
        <f>INDEX('файл остатки'!$A$5:$CX$265,MATCH($H$1,'файл остатки'!$A$5:$A$228,0),MATCH($B34,'файл остатки'!$A$5:$CX$5,0))</f>
        <v>0</v>
      </c>
      <c r="AS34" s="240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7"/>
      <c r="AU34" s="216"/>
      <c r="AV34" s="207" t="s">
        <v>189</v>
      </c>
      <c r="AW34" s="233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2">
        <f>INDEX('файл остатки'!$A$5:$CX$265,MATCH($H$1,'файл остатки'!$A$5:$A$228,0),MATCH($B34,'файл остатки'!$A$5:$CX$5,0))</f>
        <v>0</v>
      </c>
      <c r="AY34" s="240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7"/>
      <c r="BA34" s="216"/>
      <c r="BB34" s="207" t="s">
        <v>189</v>
      </c>
      <c r="BC34" s="233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2">
        <f>INDEX('файл остатки'!$A$5:$CX$265,MATCH($H$1,'файл остатки'!$A$5:$A$228,0),MATCH($B34,'файл остатки'!$A$5:$CX$5,0))</f>
        <v>0</v>
      </c>
      <c r="BE34" s="240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7"/>
      <c r="BG34" s="216"/>
      <c r="BH34" s="207" t="s">
        <v>189</v>
      </c>
      <c r="BI34" s="233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2">
        <f>INDEX('файл остатки'!$A$5:$CX$265,MATCH($H$1,'файл остатки'!$A$5:$A$228,0),MATCH($B34,'файл остатки'!$A$5:$CX$5,0))</f>
        <v>0</v>
      </c>
      <c r="BK34" s="212" t="e">
        <f t="shared" si="0"/>
        <v>#N/A</v>
      </c>
      <c r="BL34" s="240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7"/>
      <c r="BN34" s="216">
        <f t="shared" si="1"/>
        <v>0</v>
      </c>
      <c r="BO34" s="207" t="s">
        <v>189</v>
      </c>
      <c r="BP34" s="233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2">
        <f>INDEX('файл остатки'!$A$5:$CX$265,MATCH($H$1,'файл остатки'!$A$5:$A$228,0),MATCH($B34,'файл остатки'!$A$5:$CX$5,0))</f>
        <v>0</v>
      </c>
      <c r="BR34" s="240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7"/>
      <c r="BT34" s="216">
        <f t="shared" si="2"/>
        <v>0</v>
      </c>
      <c r="BU34" s="207" t="s">
        <v>189</v>
      </c>
      <c r="BV34" s="233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2">
        <f>INDEX('файл остатки'!$A$5:$CX$265,MATCH($H$1,'файл остатки'!$A$5:$A$228,0),MATCH($B34,'файл остатки'!$A$5:$CX$5,0))</f>
        <v>0</v>
      </c>
      <c r="BX34" s="240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7"/>
      <c r="BZ34" s="216">
        <f t="shared" si="3"/>
        <v>0</v>
      </c>
      <c r="CA34" s="207" t="s">
        <v>189</v>
      </c>
      <c r="CB34" s="233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2">
        <f>INDEX('файл остатки'!$A$5:$CX$265,MATCH($H$1,'файл остатки'!$A$5:$A$228,0),MATCH($B34,'файл остатки'!$A$5:$CX$5,0))</f>
        <v>0</v>
      </c>
      <c r="CD34" s="240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7"/>
      <c r="CH34" s="216">
        <f t="shared" si="4"/>
        <v>0</v>
      </c>
      <c r="CI34" s="207" t="s">
        <v>189</v>
      </c>
      <c r="CJ34" s="216" t="e">
        <f t="shared" si="5"/>
        <v>#N/A</v>
      </c>
      <c r="CK34" s="207" t="s">
        <v>189</v>
      </c>
      <c r="CO34" s="222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89"/>
      <c r="B35" s="201"/>
      <c r="C35" s="243"/>
      <c r="D35" s="247"/>
      <c r="E35" s="216">
        <v>0</v>
      </c>
      <c r="F35" s="150">
        <f>-(E34)/'планирование суточное'!$K$36</f>
        <v>0</v>
      </c>
      <c r="G35" s="233"/>
      <c r="H35" s="212"/>
      <c r="I35" s="240"/>
      <c r="J35" s="217"/>
      <c r="K35" s="216"/>
      <c r="L35" s="150">
        <f>-(K34)/'планирование суточное'!$K$36</f>
        <v>0</v>
      </c>
      <c r="M35" s="233"/>
      <c r="N35" s="212"/>
      <c r="O35" s="240"/>
      <c r="P35" s="217"/>
      <c r="Q35" s="216">
        <v>0</v>
      </c>
      <c r="R35" s="150">
        <f>-(Q34)/'планирование суточное'!$K$36</f>
        <v>0</v>
      </c>
      <c r="S35" s="233"/>
      <c r="T35" s="212"/>
      <c r="U35" s="240"/>
      <c r="V35" s="217"/>
      <c r="W35" s="216"/>
      <c r="X35" s="150">
        <f>-(W34)/'планирование суточное'!$K$36</f>
        <v>0</v>
      </c>
      <c r="Y35" s="233"/>
      <c r="Z35" s="212"/>
      <c r="AA35" s="240"/>
      <c r="AB35" s="217"/>
      <c r="AC35" s="216"/>
      <c r="AD35" s="150">
        <f>-(AC34)/'планирование суточное'!$K$36</f>
        <v>0</v>
      </c>
      <c r="AE35" s="233"/>
      <c r="AF35" s="212"/>
      <c r="AG35" s="240"/>
      <c r="AH35" s="217"/>
      <c r="AI35" s="216"/>
      <c r="AJ35" s="150">
        <f>-(AI34)/'планирование суточное'!$K$36</f>
        <v>0</v>
      </c>
      <c r="AK35" s="233"/>
      <c r="AL35" s="212"/>
      <c r="AM35" s="240"/>
      <c r="AN35" s="217"/>
      <c r="AO35" s="216"/>
      <c r="AP35" s="150">
        <f>-(AO34)/'планирование суточное'!$K$36</f>
        <v>0</v>
      </c>
      <c r="AQ35" s="233"/>
      <c r="AR35" s="212"/>
      <c r="AS35" s="240"/>
      <c r="AT35" s="217"/>
      <c r="AU35" s="216"/>
      <c r="AV35" s="150">
        <f>-(AU34)/'планирование суточное'!$K$36</f>
        <v>0</v>
      </c>
      <c r="AW35" s="233"/>
      <c r="AX35" s="212"/>
      <c r="AY35" s="240"/>
      <c r="AZ35" s="217"/>
      <c r="BA35" s="216"/>
      <c r="BB35" s="150">
        <f>-(BA34)/'планирование суточное'!$K$36</f>
        <v>0</v>
      </c>
      <c r="BC35" s="233"/>
      <c r="BD35" s="212"/>
      <c r="BE35" s="240"/>
      <c r="BF35" s="217"/>
      <c r="BG35" s="216"/>
      <c r="BH35" s="150">
        <f>-(BG34)/'планирование суточное'!$K$36</f>
        <v>0</v>
      </c>
      <c r="BI35" s="233"/>
      <c r="BJ35" s="212"/>
      <c r="BK35" s="212"/>
      <c r="BL35" s="240"/>
      <c r="BM35" s="217"/>
      <c r="BN35" s="216"/>
      <c r="BO35" s="150">
        <f>-(BN34)/'планирование суточное'!$K$36</f>
        <v>0</v>
      </c>
      <c r="BP35" s="233"/>
      <c r="BQ35" s="212"/>
      <c r="BR35" s="240"/>
      <c r="BS35" s="217"/>
      <c r="BT35" s="216"/>
      <c r="BU35" s="150">
        <f>-(BT34)/'планирование суточное'!$K$36</f>
        <v>0</v>
      </c>
      <c r="BV35" s="233"/>
      <c r="BW35" s="212"/>
      <c r="BX35" s="240"/>
      <c r="BY35" s="217"/>
      <c r="BZ35" s="216"/>
      <c r="CA35" s="150">
        <f>-(BZ34)/'планирование суточное'!$K$36</f>
        <v>0</v>
      </c>
      <c r="CB35" s="233"/>
      <c r="CC35" s="212"/>
      <c r="CD35" s="240"/>
      <c r="CE35" s="217"/>
      <c r="CH35" s="216"/>
      <c r="CI35" s="150">
        <f>-(CH34)/'планирование суточное'!$K$36</f>
        <v>0</v>
      </c>
      <c r="CJ35" s="216"/>
      <c r="CK35" s="150" t="e">
        <f>-(CJ34)/'планирование суточное'!$K$36</f>
        <v>#N/A</v>
      </c>
      <c r="CO35" s="222"/>
    </row>
    <row r="36" spans="1:93" s="211" customFormat="1" ht="24.6" customHeight="1">
      <c r="C36" s="214"/>
      <c r="D36" s="208"/>
      <c r="E36" s="214"/>
      <c r="F36" s="249"/>
      <c r="G36" s="207"/>
      <c r="H36" s="207"/>
      <c r="I36" s="207"/>
      <c r="J36" s="215"/>
      <c r="K36" s="214"/>
      <c r="L36" s="249"/>
      <c r="M36" s="207"/>
      <c r="N36" s="207"/>
      <c r="O36" s="207"/>
      <c r="P36" s="215"/>
      <c r="Q36" s="214"/>
      <c r="R36" s="249"/>
      <c r="S36" s="207"/>
      <c r="T36" s="207"/>
      <c r="U36" s="207"/>
      <c r="V36" s="215"/>
      <c r="W36" s="214"/>
      <c r="X36" s="249"/>
      <c r="Y36" s="207"/>
      <c r="Z36" s="207"/>
      <c r="AA36" s="207"/>
      <c r="AB36" s="215"/>
      <c r="AC36" s="214"/>
      <c r="AD36" s="249"/>
      <c r="AE36" s="207"/>
      <c r="AF36" s="207"/>
      <c r="AG36" s="207"/>
      <c r="AH36" s="215"/>
      <c r="AI36" s="214"/>
      <c r="AJ36" s="249"/>
      <c r="AK36" s="207"/>
      <c r="AL36" s="207"/>
      <c r="AM36" s="207"/>
      <c r="AN36" s="215"/>
      <c r="AO36" s="214"/>
      <c r="AP36" s="249"/>
      <c r="AQ36" s="207"/>
      <c r="AR36" s="207"/>
      <c r="AS36" s="207"/>
      <c r="AT36" s="215"/>
      <c r="AU36" s="214"/>
      <c r="AV36" s="249"/>
      <c r="AW36" s="207"/>
      <c r="AX36" s="207"/>
      <c r="AY36" s="207"/>
      <c r="AZ36" s="215"/>
      <c r="BA36" s="214"/>
      <c r="BB36" s="249"/>
      <c r="BC36" s="207"/>
      <c r="BD36" s="207"/>
      <c r="BE36" s="207"/>
      <c r="BF36" s="215"/>
      <c r="BG36" s="214"/>
      <c r="BH36" s="249"/>
      <c r="BI36" s="207"/>
      <c r="BJ36" s="207"/>
      <c r="BK36" s="207"/>
      <c r="BL36" s="207"/>
      <c r="BM36" s="215"/>
      <c r="BN36" s="214"/>
      <c r="BO36" s="249"/>
      <c r="BP36" s="207"/>
      <c r="BQ36" s="207"/>
      <c r="BR36" s="207"/>
      <c r="BS36" s="215"/>
      <c r="BT36" s="214"/>
      <c r="BU36" s="249"/>
      <c r="BV36" s="207"/>
      <c r="BW36" s="207"/>
      <c r="BX36" s="207"/>
      <c r="BY36" s="215"/>
      <c r="BZ36" s="214"/>
      <c r="CA36" s="249"/>
      <c r="CB36" s="207"/>
      <c r="CC36" s="207"/>
      <c r="CD36" s="207"/>
      <c r="CE36" s="215"/>
      <c r="CH36" s="216"/>
      <c r="CI36" s="249"/>
      <c r="CJ36" s="216"/>
      <c r="CK36" s="249"/>
      <c r="CO36" s="261"/>
    </row>
    <row r="37" spans="1:93" s="211" customFormat="1" ht="24" customHeight="1">
      <c r="C37" s="214"/>
      <c r="D37" s="208"/>
      <c r="E37" s="214"/>
      <c r="F37" s="249"/>
      <c r="G37" s="207"/>
      <c r="H37" s="207"/>
      <c r="I37" s="207"/>
      <c r="J37" s="215"/>
      <c r="K37" s="214"/>
      <c r="L37" s="249"/>
      <c r="M37" s="207"/>
      <c r="N37" s="207"/>
      <c r="O37" s="207"/>
      <c r="P37" s="215"/>
      <c r="Q37" s="214"/>
      <c r="R37" s="249"/>
      <c r="S37" s="207"/>
      <c r="T37" s="207"/>
      <c r="U37" s="207"/>
      <c r="V37" s="215"/>
      <c r="W37" s="214"/>
      <c r="X37" s="249"/>
      <c r="Y37" s="207"/>
      <c r="Z37" s="207"/>
      <c r="AA37" s="207"/>
      <c r="AB37" s="215"/>
      <c r="AC37" s="214"/>
      <c r="AD37" s="249"/>
      <c r="AE37" s="207"/>
      <c r="AF37" s="207"/>
      <c r="AG37" s="207"/>
      <c r="AH37" s="215"/>
      <c r="AI37" s="214"/>
      <c r="AJ37" s="249"/>
      <c r="AK37" s="207"/>
      <c r="AL37" s="207"/>
      <c r="AM37" s="207"/>
      <c r="AN37" s="215"/>
      <c r="AO37" s="214"/>
      <c r="AP37" s="249"/>
      <c r="AQ37" s="207"/>
      <c r="AR37" s="207"/>
      <c r="AS37" s="207"/>
      <c r="AT37" s="215"/>
      <c r="AU37" s="214"/>
      <c r="AV37" s="249"/>
      <c r="AW37" s="207"/>
      <c r="AX37" s="207"/>
      <c r="AY37" s="207"/>
      <c r="AZ37" s="215"/>
      <c r="BA37" s="214"/>
      <c r="BB37" s="249"/>
      <c r="BC37" s="207"/>
      <c r="BD37" s="207"/>
      <c r="BE37" s="207"/>
      <c r="BF37" s="215"/>
      <c r="BG37" s="214"/>
      <c r="BH37" s="249"/>
      <c r="BI37" s="207"/>
      <c r="BJ37" s="207"/>
      <c r="BK37" s="207"/>
      <c r="BL37" s="207"/>
      <c r="BM37" s="215"/>
      <c r="BN37" s="214"/>
      <c r="BO37" s="249"/>
      <c r="BP37" s="207"/>
      <c r="BQ37" s="207"/>
      <c r="BR37" s="207"/>
      <c r="BS37" s="215"/>
      <c r="BT37" s="214"/>
      <c r="BU37" s="249"/>
      <c r="BV37" s="207"/>
      <c r="BW37" s="207"/>
      <c r="BX37" s="207"/>
      <c r="BY37" s="215"/>
      <c r="BZ37" s="214"/>
      <c r="CA37" s="249"/>
      <c r="CB37" s="207"/>
      <c r="CC37" s="207"/>
      <c r="CD37" s="207"/>
      <c r="CE37" s="215"/>
      <c r="CH37" s="216"/>
      <c r="CI37" s="249"/>
      <c r="CJ37" s="216"/>
      <c r="CK37" s="249"/>
      <c r="CO37" s="261"/>
    </row>
    <row r="38" spans="1:93" ht="24" customHeight="1">
      <c r="A38" s="138" t="s">
        <v>46</v>
      </c>
      <c r="B38" s="203" t="s">
        <v>102</v>
      </c>
      <c r="C38" s="243" t="e">
        <f>INDEX('файл остатки'!$A$5:$CX$265,MATCH($C$1,'файл остатки'!$A$5:$A$228,0),MATCH(B38,'файл остатки'!$A$5:$CX$5,0))</f>
        <v>#N/A</v>
      </c>
      <c r="D38" s="247"/>
      <c r="E38" s="216">
        <v>-5280</v>
      </c>
      <c r="F38" s="250" t="s">
        <v>222</v>
      </c>
      <c r="G38" s="233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2" t="e">
        <f>INDEX('файл остатки'!$A$5:$CX$265,MATCH($H$1,'файл остатки'!$A$5:$A$228,0),MATCH($B38,'файл остатки'!$A$5:$CX$5,0))</f>
        <v>#N/A</v>
      </c>
      <c r="I38" s="240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7"/>
      <c r="K38" s="216">
        <v>-1980</v>
      </c>
      <c r="L38" s="250" t="s">
        <v>222</v>
      </c>
      <c r="M38" s="233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2" t="e">
        <f>INDEX('файл остатки'!$A$5:$CX$265,MATCH($H$1,'файл остатки'!$A$5:$A$228,0),MATCH($B38,'файл остатки'!$A$5:$CX$5,0))</f>
        <v>#N/A</v>
      </c>
      <c r="O38" s="240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7"/>
      <c r="Q38" s="216"/>
      <c r="R38" s="250" t="s">
        <v>222</v>
      </c>
      <c r="S38" s="233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2" t="e">
        <f>INDEX('файл остатки'!$A$5:$CX$265,MATCH($H$1,'файл остатки'!$A$5:$A$228,0),MATCH($B38,'файл остатки'!$A$5:$CX$5,0))</f>
        <v>#N/A</v>
      </c>
      <c r="U38" s="240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7"/>
      <c r="W38" s="216">
        <v>-5280</v>
      </c>
      <c r="X38" s="250" t="s">
        <v>222</v>
      </c>
      <c r="Y38" s="233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2" t="e">
        <f>INDEX('файл остатки'!$A$5:$CX$265,MATCH($H$1,'файл остатки'!$A$5:$A$228,0),MATCH($B38,'файл остатки'!$A$5:$CX$5,0))</f>
        <v>#N/A</v>
      </c>
      <c r="AA38" s="240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7"/>
      <c r="AC38" s="216"/>
      <c r="AD38" s="250" t="s">
        <v>222</v>
      </c>
      <c r="AE38" s="233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2" t="e">
        <f>INDEX('файл остатки'!$A$5:$CX$265,MATCH($H$1,'файл остатки'!$A$5:$A$228,0),MATCH($B38,'файл остатки'!$A$5:$CX$5,0))</f>
        <v>#N/A</v>
      </c>
      <c r="AG38" s="240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7"/>
      <c r="AI38" s="216">
        <v>-1980</v>
      </c>
      <c r="AJ38" s="250" t="s">
        <v>222</v>
      </c>
      <c r="AK38" s="233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2" t="e">
        <f>INDEX('файл остатки'!$A$5:$CX$265,MATCH($H$1,'файл остатки'!$A$5:$A$228,0),MATCH($B38,'файл остатки'!$A$5:$CX$5,0))</f>
        <v>#N/A</v>
      </c>
      <c r="AM38" s="240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7"/>
      <c r="AO38" s="216">
        <v>-6600</v>
      </c>
      <c r="AP38" s="250" t="s">
        <v>222</v>
      </c>
      <c r="AQ38" s="233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2" t="e">
        <f>INDEX('файл остатки'!$A$5:$CX$265,MATCH($H$1,'файл остатки'!$A$5:$A$228,0),MATCH($B38,'файл остатки'!$A$5:$CX$5,0))</f>
        <v>#N/A</v>
      </c>
      <c r="AS38" s="240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7"/>
      <c r="AU38" s="216">
        <v>-5280</v>
      </c>
      <c r="AV38" s="250" t="s">
        <v>192</v>
      </c>
      <c r="AW38" s="233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2" t="e">
        <f>INDEX('файл остатки'!$A$5:$CX$265,MATCH($H$1,'файл остатки'!$A$5:$A$228,0),MATCH($B38,'файл остатки'!$A$5:$CX$5,0))</f>
        <v>#N/A</v>
      </c>
      <c r="AY38" s="240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7"/>
      <c r="BA38" s="216"/>
      <c r="BB38" s="250" t="s">
        <v>192</v>
      </c>
      <c r="BC38" s="233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2" t="e">
        <f>INDEX('файл остатки'!$A$5:$CX$265,MATCH($H$1,'файл остатки'!$A$5:$A$228,0),MATCH($B38,'файл остатки'!$A$5:$CX$5,0))</f>
        <v>#N/A</v>
      </c>
      <c r="BE38" s="240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7"/>
      <c r="BG38" s="216">
        <v>-3960</v>
      </c>
      <c r="BH38" s="250" t="s">
        <v>192</v>
      </c>
      <c r="BI38" s="233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2" t="e">
        <f>INDEX('файл остатки'!$A$5:$CX$265,MATCH($H$1,'файл остатки'!$A$5:$A$228,0),MATCH($B38,'файл остатки'!$A$5:$CX$5,0))</f>
        <v>#N/A</v>
      </c>
      <c r="BK38" s="212" t="e">
        <f t="shared" si="0"/>
        <v>#N/A</v>
      </c>
      <c r="BL38" s="240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7"/>
      <c r="BN38" s="216" t="e">
        <f t="shared" si="1"/>
        <v>#N/A</v>
      </c>
      <c r="BO38" s="250" t="s">
        <v>192</v>
      </c>
      <c r="BP38" s="233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2" t="e">
        <f>INDEX('файл остатки'!$A$5:$CX$265,MATCH($H$1,'файл остатки'!$A$5:$A$228,0),MATCH($B38,'файл остатки'!$A$5:$CX$5,0))</f>
        <v>#N/A</v>
      </c>
      <c r="BR38" s="240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7"/>
      <c r="BT38" s="216" t="e">
        <f t="shared" si="2"/>
        <v>#N/A</v>
      </c>
      <c r="BU38" s="250" t="s">
        <v>192</v>
      </c>
      <c r="BV38" s="233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2" t="e">
        <f>INDEX('файл остатки'!$A$5:$CX$265,MATCH($H$1,'файл остатки'!$A$5:$A$228,0),MATCH($B38,'файл остатки'!$A$5:$CX$5,0))</f>
        <v>#N/A</v>
      </c>
      <c r="BX38" s="240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7"/>
      <c r="BZ38" s="216" t="e">
        <f t="shared" si="3"/>
        <v>#N/A</v>
      </c>
      <c r="CA38" s="250" t="s">
        <v>192</v>
      </c>
      <c r="CB38" s="233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2" t="e">
        <f>INDEX('файл остатки'!$A$5:$CX$265,MATCH($H$1,'файл остатки'!$A$5:$A$228,0),MATCH($B38,'файл остатки'!$A$5:$CX$5,0))</f>
        <v>#N/A</v>
      </c>
      <c r="CD38" s="240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7"/>
      <c r="CH38" s="216">
        <f t="shared" si="4"/>
        <v>-30360</v>
      </c>
      <c r="CI38" s="250" t="s">
        <v>192</v>
      </c>
      <c r="CJ38" s="216" t="e">
        <f t="shared" si="5"/>
        <v>#N/A</v>
      </c>
      <c r="CK38" s="250" t="s">
        <v>192</v>
      </c>
      <c r="CO38" s="222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3" t="s">
        <v>143</v>
      </c>
      <c r="C39" s="243">
        <f>INDEX('файл остатки'!$A$5:$CX$265,MATCH($C$1,'файл остатки'!$A$5:$A$228,0),MATCH(B39,'файл остатки'!$A$5:$CX$5,0))</f>
        <v>152.32</v>
      </c>
      <c r="D39" s="247"/>
      <c r="E39" s="216">
        <v>-200</v>
      </c>
      <c r="F39" s="213">
        <f>-(E38)/'планирование суточное'!$K$46</f>
        <v>6.2117647058823531</v>
      </c>
      <c r="G39" s="233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2">
        <f>INDEX('файл остатки'!$A$5:$CX$265,MATCH($H$1,'файл остатки'!$A$5:$A$228,0),MATCH($B39,'файл остатки'!$A$5:$CX$5,0))</f>
        <v>459.73333333333329</v>
      </c>
      <c r="I39" s="240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7"/>
      <c r="K39" s="216"/>
      <c r="L39" s="213">
        <f>-(K38)/'планирование суточное'!$K$46</f>
        <v>2.3294117647058825</v>
      </c>
      <c r="M39" s="233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2">
        <f>INDEX('файл остатки'!$A$5:$CX$265,MATCH($H$1,'файл остатки'!$A$5:$A$228,0),MATCH($B39,'файл остатки'!$A$5:$CX$5,0))</f>
        <v>459.73333333333329</v>
      </c>
      <c r="O39" s="240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7"/>
      <c r="Q39" s="216"/>
      <c r="R39" s="213">
        <f>-(Q38)/'планирование суточное'!$K$46</f>
        <v>0</v>
      </c>
      <c r="S39" s="233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2">
        <f>INDEX('файл остатки'!$A$5:$CX$265,MATCH($H$1,'файл остатки'!$A$5:$A$228,0),MATCH($B39,'файл остатки'!$A$5:$CX$5,0))</f>
        <v>459.73333333333329</v>
      </c>
      <c r="U39" s="240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7"/>
      <c r="W39" s="216">
        <v>-330</v>
      </c>
      <c r="X39" s="213">
        <f>-(W38)/'планирование суточное'!$K$46</f>
        <v>6.2117647058823531</v>
      </c>
      <c r="Y39" s="233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2">
        <f>INDEX('файл остатки'!$A$5:$CX$265,MATCH($H$1,'файл остатки'!$A$5:$A$228,0),MATCH($B39,'файл остатки'!$A$5:$CX$5,0))</f>
        <v>459.73333333333329</v>
      </c>
      <c r="AA39" s="240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7"/>
      <c r="AC39" s="216">
        <v>-330</v>
      </c>
      <c r="AD39" s="213">
        <f>-(AC38)/'планирование суточное'!$K$46</f>
        <v>0</v>
      </c>
      <c r="AE39" s="233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2">
        <f>INDEX('файл остатки'!$A$5:$CX$265,MATCH($H$1,'файл остатки'!$A$5:$A$228,0),MATCH($B39,'файл остатки'!$A$5:$CX$5,0))</f>
        <v>459.73333333333329</v>
      </c>
      <c r="AG39" s="240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7"/>
      <c r="AI39" s="216"/>
      <c r="AJ39" s="213">
        <f>-(AI38)/'планирование суточное'!$K$46</f>
        <v>2.3294117647058825</v>
      </c>
      <c r="AK39" s="233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2">
        <f>INDEX('файл остатки'!$A$5:$CX$265,MATCH($H$1,'файл остатки'!$A$5:$A$228,0),MATCH($B39,'файл остатки'!$A$5:$CX$5,0))</f>
        <v>459.73333333333329</v>
      </c>
      <c r="AM39" s="240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7"/>
      <c r="AO39" s="216"/>
      <c r="AP39" s="213">
        <f>-(AO38)/'планирование суточное'!$K$46</f>
        <v>7.7647058823529411</v>
      </c>
      <c r="AQ39" s="233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2">
        <f>INDEX('файл остатки'!$A$5:$CX$265,MATCH($H$1,'файл остатки'!$A$5:$A$228,0),MATCH($B39,'файл остатки'!$A$5:$CX$5,0))</f>
        <v>459.73333333333329</v>
      </c>
      <c r="AS39" s="240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7"/>
      <c r="AU39" s="216"/>
      <c r="AV39" s="213">
        <f>-(AU38)/'планирование суточное'!$K$46</f>
        <v>6.2117647058823531</v>
      </c>
      <c r="AW39" s="233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2">
        <f>INDEX('файл остатки'!$A$5:$CX$265,MATCH($H$1,'файл остатки'!$A$5:$A$228,0),MATCH($B39,'файл остатки'!$A$5:$CX$5,0))</f>
        <v>459.73333333333329</v>
      </c>
      <c r="AY39" s="240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7"/>
      <c r="BA39" s="216"/>
      <c r="BB39" s="213">
        <f>-(BA38)/'планирование суточное'!$K$46</f>
        <v>0</v>
      </c>
      <c r="BC39" s="233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2">
        <f>INDEX('файл остатки'!$A$5:$CX$265,MATCH($H$1,'файл остатки'!$A$5:$A$228,0),MATCH($B39,'файл остатки'!$A$5:$CX$5,0))</f>
        <v>459.73333333333329</v>
      </c>
      <c r="BE39" s="240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7"/>
      <c r="BG39" s="216"/>
      <c r="BH39" s="213">
        <f>-(BG38)/'планирование суточное'!$K$46</f>
        <v>4.658823529411765</v>
      </c>
      <c r="BI39" s="233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2">
        <f>INDEX('файл остатки'!$A$5:$CX$265,MATCH($H$1,'файл остатки'!$A$5:$A$228,0),MATCH($B39,'файл остатки'!$A$5:$CX$5,0))</f>
        <v>459.73333333333329</v>
      </c>
      <c r="BK39" s="212" t="e">
        <f t="shared" si="0"/>
        <v>#N/A</v>
      </c>
      <c r="BL39" s="240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7"/>
      <c r="BN39" s="216">
        <f t="shared" si="1"/>
        <v>-1400</v>
      </c>
      <c r="BO39" s="213" t="e">
        <f>-(BN38)/'планирование суточное'!$K$46</f>
        <v>#N/A</v>
      </c>
      <c r="BP39" s="233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1400</v>
      </c>
      <c r="BQ39" s="212">
        <f>INDEX('файл остатки'!$A$5:$CX$265,MATCH($H$1,'файл остатки'!$A$5:$A$228,0),MATCH($B39,'файл остатки'!$A$5:$CX$5,0))</f>
        <v>459.73333333333329</v>
      </c>
      <c r="BR39" s="240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7"/>
      <c r="BT39" s="216">
        <f t="shared" si="2"/>
        <v>-767.76</v>
      </c>
      <c r="BU39" s="213" t="e">
        <f>-(BT38)/'планирование суточное'!$K$46</f>
        <v>#N/A</v>
      </c>
      <c r="BV39" s="233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767.76</v>
      </c>
      <c r="BW39" s="212">
        <f>INDEX('файл остатки'!$A$5:$CX$265,MATCH($H$1,'файл остатки'!$A$5:$A$228,0),MATCH($B39,'файл остатки'!$A$5:$CX$5,0))</f>
        <v>459.73333333333329</v>
      </c>
      <c r="BX39" s="240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7"/>
      <c r="BZ39" s="216">
        <f t="shared" si="3"/>
        <v>-767.76</v>
      </c>
      <c r="CA39" s="213" t="e">
        <f>-(BZ38)/'планирование суточное'!$K$46</f>
        <v>#N/A</v>
      </c>
      <c r="CB39" s="233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2">
        <f>INDEX('файл остатки'!$A$5:$CX$265,MATCH($H$1,'файл остатки'!$A$5:$A$228,0),MATCH($B39,'файл остатки'!$A$5:$CX$5,0))</f>
        <v>459.73333333333329</v>
      </c>
      <c r="CD39" s="240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7"/>
      <c r="CH39" s="216">
        <f t="shared" si="4"/>
        <v>-860</v>
      </c>
      <c r="CI39" s="213">
        <f>-(CH39+CH38)/'планирование суточное'!$K$46</f>
        <v>36.72941176470588</v>
      </c>
      <c r="CJ39" s="216" t="e">
        <f t="shared" si="5"/>
        <v>#N/A</v>
      </c>
      <c r="CK39" s="213" t="e">
        <f>-(CJ39+CJ38)/'планирование суточное'!$K$46</f>
        <v>#N/A</v>
      </c>
      <c r="CO39" s="222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19" t="s">
        <v>86</v>
      </c>
      <c r="C40" s="243" t="e">
        <f>INDEX('файл остатки'!$A$5:$CX$265,MATCH($C$1,'файл остатки'!$A$5:$A$228,0),MATCH(B40,'файл остатки'!$A$5:$CX$5,0))</f>
        <v>#N/A</v>
      </c>
      <c r="D40" s="247"/>
      <c r="E40" s="216">
        <v>-460</v>
      </c>
      <c r="F40" s="250" t="s">
        <v>193</v>
      </c>
      <c r="G40" s="233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2" t="e">
        <f>INDEX('файл остатки'!$A$5:$CX$265,MATCH($H$1,'файл остатки'!$A$5:$A$228,0),MATCH($B40,'файл остатки'!$A$5:$CX$5,0))</f>
        <v>#N/A</v>
      </c>
      <c r="I40" s="240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7"/>
      <c r="K40" s="216"/>
      <c r="L40" s="250" t="s">
        <v>193</v>
      </c>
      <c r="M40" s="233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2" t="e">
        <f>INDEX('файл остатки'!$A$5:$CX$265,MATCH($H$1,'файл остатки'!$A$5:$A$228,0),MATCH($B40,'файл остатки'!$A$5:$CX$5,0))</f>
        <v>#N/A</v>
      </c>
      <c r="O40" s="240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7"/>
      <c r="Q40" s="216"/>
      <c r="R40" s="250" t="s">
        <v>193</v>
      </c>
      <c r="S40" s="233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2" t="e">
        <f>INDEX('файл остатки'!$A$5:$CX$265,MATCH($H$1,'файл остатки'!$A$5:$A$228,0),MATCH($B40,'файл остатки'!$A$5:$CX$5,0))</f>
        <v>#N/A</v>
      </c>
      <c r="U40" s="240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7"/>
      <c r="W40" s="216">
        <v>-330</v>
      </c>
      <c r="X40" s="250" t="s">
        <v>193</v>
      </c>
      <c r="Y40" s="233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2" t="e">
        <f>INDEX('файл остатки'!$A$5:$CX$265,MATCH($H$1,'файл остатки'!$A$5:$A$228,0),MATCH($B40,'файл остатки'!$A$5:$CX$5,0))</f>
        <v>#N/A</v>
      </c>
      <c r="AA40" s="240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7"/>
      <c r="AC40" s="216">
        <v>-330</v>
      </c>
      <c r="AD40" s="250" t="s">
        <v>193</v>
      </c>
      <c r="AE40" s="233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2" t="e">
        <f>INDEX('файл остатки'!$A$5:$CX$265,MATCH($H$1,'файл остатки'!$A$5:$A$228,0),MATCH($B40,'файл остатки'!$A$5:$CX$5,0))</f>
        <v>#N/A</v>
      </c>
      <c r="AG40" s="240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7"/>
      <c r="AI40" s="216"/>
      <c r="AJ40" s="250" t="s">
        <v>193</v>
      </c>
      <c r="AK40" s="233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2" t="e">
        <f>INDEX('файл остатки'!$A$5:$CX$265,MATCH($H$1,'файл остатки'!$A$5:$A$228,0),MATCH($B40,'файл остатки'!$A$5:$CX$5,0))</f>
        <v>#N/A</v>
      </c>
      <c r="AM40" s="240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7"/>
      <c r="AO40" s="216"/>
      <c r="AP40" s="250" t="s">
        <v>193</v>
      </c>
      <c r="AQ40" s="233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2" t="e">
        <f>INDEX('файл остатки'!$A$5:$CX$265,MATCH($H$1,'файл остатки'!$A$5:$A$228,0),MATCH($B40,'файл остатки'!$A$5:$CX$5,0))</f>
        <v>#N/A</v>
      </c>
      <c r="AS40" s="240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7"/>
      <c r="AU40" s="216">
        <v>-660</v>
      </c>
      <c r="AV40" s="250" t="s">
        <v>193</v>
      </c>
      <c r="AW40" s="233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2" t="e">
        <f>INDEX('файл остатки'!$A$5:$CX$265,MATCH($H$1,'файл остатки'!$A$5:$A$228,0),MATCH($B40,'файл остатки'!$A$5:$CX$5,0))</f>
        <v>#N/A</v>
      </c>
      <c r="AY40" s="240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7"/>
      <c r="BA40" s="216"/>
      <c r="BB40" s="250" t="s">
        <v>193</v>
      </c>
      <c r="BC40" s="233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2" t="e">
        <f>INDEX('файл остатки'!$A$5:$CX$265,MATCH($H$1,'файл остатки'!$A$5:$A$228,0),MATCH($B40,'файл остатки'!$A$5:$CX$5,0))</f>
        <v>#N/A</v>
      </c>
      <c r="BE40" s="240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7"/>
      <c r="BG40" s="216"/>
      <c r="BH40" s="250" t="s">
        <v>193</v>
      </c>
      <c r="BI40" s="233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2" t="e">
        <f>INDEX('файл остатки'!$A$5:$CX$265,MATCH($H$1,'файл остатки'!$A$5:$A$228,0),MATCH($B40,'файл остатки'!$A$5:$CX$5,0))</f>
        <v>#N/A</v>
      </c>
      <c r="BK40" s="212" t="e">
        <f t="shared" si="0"/>
        <v>#N/A</v>
      </c>
      <c r="BL40" s="240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7"/>
      <c r="BN40" s="216" t="e">
        <f t="shared" si="1"/>
        <v>#N/A</v>
      </c>
      <c r="BO40" s="250" t="s">
        <v>193</v>
      </c>
      <c r="BP40" s="233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2" t="e">
        <f>INDEX('файл остатки'!$A$5:$CX$265,MATCH($H$1,'файл остатки'!$A$5:$A$228,0),MATCH($B40,'файл остатки'!$A$5:$CX$5,0))</f>
        <v>#N/A</v>
      </c>
      <c r="BR40" s="240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7"/>
      <c r="BT40" s="216" t="e">
        <f t="shared" si="2"/>
        <v>#N/A</v>
      </c>
      <c r="BU40" s="250" t="s">
        <v>193</v>
      </c>
      <c r="BV40" s="233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2" t="e">
        <f>INDEX('файл остатки'!$A$5:$CX$265,MATCH($H$1,'файл остатки'!$A$5:$A$228,0),MATCH($B40,'файл остатки'!$A$5:$CX$5,0))</f>
        <v>#N/A</v>
      </c>
      <c r="BX40" s="240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7"/>
      <c r="BZ40" s="216" t="e">
        <f t="shared" si="3"/>
        <v>#N/A</v>
      </c>
      <c r="CA40" s="250" t="s">
        <v>193</v>
      </c>
      <c r="CB40" s="233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2" t="e">
        <f>INDEX('файл остатки'!$A$5:$CX$265,MATCH($H$1,'файл остатки'!$A$5:$A$228,0),MATCH($B40,'файл остатки'!$A$5:$CX$5,0))</f>
        <v>#N/A</v>
      </c>
      <c r="CD40" s="240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7"/>
      <c r="CH40" s="216">
        <f t="shared" si="4"/>
        <v>-1780</v>
      </c>
      <c r="CI40" s="250" t="s">
        <v>193</v>
      </c>
      <c r="CJ40" s="216" t="e">
        <f t="shared" si="5"/>
        <v>#N/A</v>
      </c>
      <c r="CK40" s="250" t="s">
        <v>193</v>
      </c>
      <c r="CO40" s="222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19"/>
      <c r="C41" s="243"/>
      <c r="D41" s="247"/>
      <c r="E41" s="216">
        <v>0</v>
      </c>
      <c r="F41" s="213">
        <f>-(E40+E39)/'планирование суточное'!$K$46</f>
        <v>0.77647058823529413</v>
      </c>
      <c r="G41" s="233"/>
      <c r="H41" s="212"/>
      <c r="I41" s="240"/>
      <c r="J41" s="217"/>
      <c r="K41" s="216"/>
      <c r="L41" s="213">
        <f>-(K40+K39)/'планирование суточное'!$K$46</f>
        <v>0</v>
      </c>
      <c r="M41" s="233"/>
      <c r="N41" s="212"/>
      <c r="O41" s="240"/>
      <c r="P41" s="217"/>
      <c r="Q41" s="216">
        <v>0</v>
      </c>
      <c r="R41" s="213">
        <f>-(Q40+Q39)/'планирование суточное'!$K$46</f>
        <v>0</v>
      </c>
      <c r="S41" s="233"/>
      <c r="T41" s="212"/>
      <c r="U41" s="240"/>
      <c r="V41" s="217"/>
      <c r="W41" s="216"/>
      <c r="X41" s="213">
        <f>-(W40+W39)/'планирование суточное'!$K$46</f>
        <v>0.77647058823529413</v>
      </c>
      <c r="Y41" s="233"/>
      <c r="Z41" s="212"/>
      <c r="AA41" s="240"/>
      <c r="AB41" s="217"/>
      <c r="AC41" s="216"/>
      <c r="AD41" s="213">
        <f>-(AC40+AC39)/'планирование суточное'!$K$46</f>
        <v>0.77647058823529413</v>
      </c>
      <c r="AE41" s="233"/>
      <c r="AF41" s="212"/>
      <c r="AG41" s="240"/>
      <c r="AH41" s="217"/>
      <c r="AI41" s="216"/>
      <c r="AJ41" s="213">
        <f>-(AI40+AI39)/'планирование суточное'!$K$46</f>
        <v>0</v>
      </c>
      <c r="AK41" s="233"/>
      <c r="AL41" s="212"/>
      <c r="AM41" s="240"/>
      <c r="AN41" s="217"/>
      <c r="AO41" s="216"/>
      <c r="AP41" s="213">
        <f>-(AO40+AO39)/'планирование суточное'!$K$46</f>
        <v>0</v>
      </c>
      <c r="AQ41" s="233"/>
      <c r="AR41" s="212"/>
      <c r="AS41" s="240"/>
      <c r="AT41" s="217"/>
      <c r="AU41" s="216"/>
      <c r="AV41" s="213">
        <f>-(AU40+AU39)/'планирование суточное'!$K$46</f>
        <v>0.77647058823529413</v>
      </c>
      <c r="AW41" s="233"/>
      <c r="AX41" s="212"/>
      <c r="AY41" s="240"/>
      <c r="AZ41" s="217"/>
      <c r="BA41" s="216"/>
      <c r="BB41" s="213">
        <f>-(BA40+BA39)/'планирование суточное'!$K$46</f>
        <v>0</v>
      </c>
      <c r="BC41" s="233"/>
      <c r="BD41" s="212"/>
      <c r="BE41" s="240"/>
      <c r="BF41" s="217"/>
      <c r="BG41" s="216"/>
      <c r="BH41" s="213">
        <f>-(BG40+BG39)/'планирование суточное'!$K$46</f>
        <v>0</v>
      </c>
      <c r="BI41" s="233"/>
      <c r="BJ41" s="212"/>
      <c r="BK41" s="212"/>
      <c r="BL41" s="240"/>
      <c r="BM41" s="217"/>
      <c r="BN41" s="216"/>
      <c r="BO41" s="213" t="e">
        <f>-(BN40+BN39)/'планирование суточное'!$K$46</f>
        <v>#N/A</v>
      </c>
      <c r="BP41" s="233"/>
      <c r="BQ41" s="212"/>
      <c r="BR41" s="240"/>
      <c r="BS41" s="217"/>
      <c r="BT41" s="216"/>
      <c r="BU41" s="213" t="e">
        <f>-(BT40+BT39)/'планирование суточное'!$K$46</f>
        <v>#N/A</v>
      </c>
      <c r="BV41" s="233"/>
      <c r="BW41" s="212"/>
      <c r="BX41" s="240"/>
      <c r="BY41" s="217"/>
      <c r="BZ41" s="216"/>
      <c r="CA41" s="213" t="e">
        <f>-(BZ40+BZ39)/'планирование суточное'!$K$46</f>
        <v>#N/A</v>
      </c>
      <c r="CB41" s="233"/>
      <c r="CC41" s="212"/>
      <c r="CD41" s="240"/>
      <c r="CE41" s="217"/>
      <c r="CH41" s="216"/>
      <c r="CI41" s="213">
        <f>-(CH40+CH39)/'планирование суточное'!$K$46</f>
        <v>3.1058823529411765</v>
      </c>
      <c r="CJ41" s="216"/>
      <c r="CK41" s="213" t="e">
        <f>-(CJ40+CJ39)/'планирование суточное'!$K$46</f>
        <v>#N/A</v>
      </c>
      <c r="CO41" s="222"/>
    </row>
    <row r="42" spans="1:93" s="211" customFormat="1" ht="24" customHeight="1">
      <c r="C42" s="214"/>
      <c r="D42" s="208"/>
      <c r="E42" s="214"/>
      <c r="F42" s="249"/>
      <c r="G42" s="207"/>
      <c r="H42" s="207"/>
      <c r="I42" s="207"/>
      <c r="J42" s="215"/>
      <c r="K42" s="214"/>
      <c r="L42" s="249"/>
      <c r="M42" s="207"/>
      <c r="N42" s="207"/>
      <c r="O42" s="207"/>
      <c r="P42" s="215"/>
      <c r="Q42" s="214"/>
      <c r="R42" s="249"/>
      <c r="S42" s="207"/>
      <c r="T42" s="207"/>
      <c r="U42" s="207"/>
      <c r="V42" s="215"/>
      <c r="W42" s="214"/>
      <c r="X42" s="249"/>
      <c r="Y42" s="207"/>
      <c r="Z42" s="207"/>
      <c r="AA42" s="207"/>
      <c r="AB42" s="215"/>
      <c r="AC42" s="214"/>
      <c r="AD42" s="249"/>
      <c r="AE42" s="207"/>
      <c r="AF42" s="207"/>
      <c r="AG42" s="207"/>
      <c r="AH42" s="215"/>
      <c r="AI42" s="214"/>
      <c r="AJ42" s="249"/>
      <c r="AK42" s="207"/>
      <c r="AL42" s="207"/>
      <c r="AM42" s="207"/>
      <c r="AN42" s="215"/>
      <c r="AO42" s="214"/>
      <c r="AP42" s="249"/>
      <c r="AQ42" s="207"/>
      <c r="AR42" s="207"/>
      <c r="AS42" s="207"/>
      <c r="AT42" s="215"/>
      <c r="AU42" s="214"/>
      <c r="AV42" s="249"/>
      <c r="AW42" s="207"/>
      <c r="AX42" s="207"/>
      <c r="AY42" s="207"/>
      <c r="AZ42" s="215"/>
      <c r="BA42" s="214"/>
      <c r="BB42" s="249"/>
      <c r="BC42" s="207"/>
      <c r="BD42" s="207"/>
      <c r="BE42" s="207"/>
      <c r="BF42" s="215"/>
      <c r="BG42" s="214"/>
      <c r="BH42" s="249"/>
      <c r="BI42" s="207"/>
      <c r="BJ42" s="207"/>
      <c r="BK42" s="207"/>
      <c r="BL42" s="207"/>
      <c r="BM42" s="215"/>
      <c r="BN42" s="214"/>
      <c r="BO42" s="249"/>
      <c r="BP42" s="207"/>
      <c r="BQ42" s="207"/>
      <c r="BR42" s="207"/>
      <c r="BS42" s="215"/>
      <c r="BT42" s="214"/>
      <c r="BU42" s="249"/>
      <c r="BV42" s="207"/>
      <c r="BW42" s="207"/>
      <c r="BX42" s="207"/>
      <c r="BY42" s="215"/>
      <c r="BZ42" s="214"/>
      <c r="CA42" s="249"/>
      <c r="CB42" s="207"/>
      <c r="CC42" s="207"/>
      <c r="CD42" s="207"/>
      <c r="CE42" s="215"/>
      <c r="CH42" s="216"/>
      <c r="CI42" s="249"/>
      <c r="CJ42" s="216"/>
      <c r="CK42" s="249"/>
      <c r="CO42" s="261"/>
    </row>
    <row r="43" spans="1:93" ht="24" customHeight="1">
      <c r="A43" s="142" t="s">
        <v>46</v>
      </c>
      <c r="B43" s="206" t="s">
        <v>126</v>
      </c>
      <c r="C43" s="243" t="e">
        <f>INDEX('файл остатки'!$A$5:$CX$265,MATCH($C$1,'файл остатки'!$A$5:$A$228,0),MATCH(B43,'файл остатки'!$A$5:$CX$5,0))</f>
        <v>#N/A</v>
      </c>
      <c r="D43" s="247">
        <v>481</v>
      </c>
      <c r="E43" s="216"/>
      <c r="F43" s="207" t="s">
        <v>219</v>
      </c>
      <c r="G43" s="233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2" t="e">
        <f>INDEX('файл остатки'!$A$5:$CX$265,MATCH($H$1,'файл остатки'!$A$5:$A$228,0),MATCH($B43,'файл остатки'!$A$5:$CX$5,0))</f>
        <v>#N/A</v>
      </c>
      <c r="I43" s="240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7"/>
      <c r="K43" s="216">
        <v>-330</v>
      </c>
      <c r="L43" s="207" t="s">
        <v>219</v>
      </c>
      <c r="M43" s="233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2" t="e">
        <f>INDEX('файл остатки'!$A$5:$CX$265,MATCH($H$1,'файл остатки'!$A$5:$A$228,0),MATCH($B43,'файл остатки'!$A$5:$CX$5,0))</f>
        <v>#N/A</v>
      </c>
      <c r="O43" s="240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7"/>
      <c r="Q43" s="216">
        <v>-330</v>
      </c>
      <c r="R43" s="207" t="s">
        <v>219</v>
      </c>
      <c r="S43" s="233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2" t="e">
        <f>INDEX('файл остатки'!$A$5:$CX$265,MATCH($H$1,'файл остатки'!$A$5:$A$228,0),MATCH($B43,'файл остатки'!$A$5:$CX$5,0))</f>
        <v>#N/A</v>
      </c>
      <c r="U43" s="240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7"/>
      <c r="W43" s="216"/>
      <c r="X43" s="207" t="s">
        <v>219</v>
      </c>
      <c r="Y43" s="233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2" t="e">
        <f>INDEX('файл остатки'!$A$5:$CX$265,MATCH($H$1,'файл остатки'!$A$5:$A$228,0),MATCH($B43,'файл остатки'!$A$5:$CX$5,0))</f>
        <v>#N/A</v>
      </c>
      <c r="AA43" s="240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7"/>
      <c r="AC43" s="216">
        <v>-660</v>
      </c>
      <c r="AD43" s="207" t="s">
        <v>219</v>
      </c>
      <c r="AE43" s="233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2" t="e">
        <f>INDEX('файл остатки'!$A$5:$CX$265,MATCH($H$1,'файл остатки'!$A$5:$A$228,0),MATCH($B43,'файл остатки'!$A$5:$CX$5,0))</f>
        <v>#N/A</v>
      </c>
      <c r="AG43" s="240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7"/>
      <c r="AI43" s="216">
        <v>-660</v>
      </c>
      <c r="AJ43" s="207" t="s">
        <v>219</v>
      </c>
      <c r="AK43" s="233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2" t="e">
        <f>INDEX('файл остатки'!$A$5:$CX$265,MATCH($H$1,'файл остатки'!$A$5:$A$228,0),MATCH($B43,'файл остатки'!$A$5:$CX$5,0))</f>
        <v>#N/A</v>
      </c>
      <c r="AM43" s="240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7"/>
      <c r="AO43" s="216">
        <v>-660</v>
      </c>
      <c r="AP43" s="207" t="s">
        <v>219</v>
      </c>
      <c r="AQ43" s="233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2" t="e">
        <f>INDEX('файл остатки'!$A$5:$CX$265,MATCH($H$1,'файл остатки'!$A$5:$A$228,0),MATCH($B43,'файл остатки'!$A$5:$CX$5,0))</f>
        <v>#N/A</v>
      </c>
      <c r="AS43" s="240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7"/>
      <c r="AU43" s="216"/>
      <c r="AV43" s="207" t="s">
        <v>190</v>
      </c>
      <c r="AW43" s="233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2" t="e">
        <f>INDEX('файл остатки'!$A$5:$CX$265,MATCH($H$1,'файл остатки'!$A$5:$A$228,0),MATCH($B43,'файл остатки'!$A$5:$CX$5,0))</f>
        <v>#N/A</v>
      </c>
      <c r="AY43" s="240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7"/>
      <c r="BA43" s="216">
        <v>-660</v>
      </c>
      <c r="BB43" s="207" t="s">
        <v>190</v>
      </c>
      <c r="BC43" s="233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2" t="e">
        <f>INDEX('файл остатки'!$A$5:$CX$265,MATCH($H$1,'файл остатки'!$A$5:$A$228,0),MATCH($B43,'файл остатки'!$A$5:$CX$5,0))</f>
        <v>#N/A</v>
      </c>
      <c r="BE43" s="240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7"/>
      <c r="BG43" s="216"/>
      <c r="BH43" s="207" t="s">
        <v>190</v>
      </c>
      <c r="BI43" s="233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2" t="e">
        <f>INDEX('файл остатки'!$A$5:$CX$265,MATCH($H$1,'файл остатки'!$A$5:$A$228,0),MATCH($B43,'файл остатки'!$A$5:$CX$5,0))</f>
        <v>#N/A</v>
      </c>
      <c r="BK43" s="212" t="e">
        <f t="shared" si="0"/>
        <v>#N/A</v>
      </c>
      <c r="BL43" s="240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7"/>
      <c r="BN43" s="216" t="e">
        <f t="shared" si="1"/>
        <v>#N/A</v>
      </c>
      <c r="BO43" s="207" t="s">
        <v>190</v>
      </c>
      <c r="BP43" s="233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2" t="e">
        <f>INDEX('файл остатки'!$A$5:$CX$265,MATCH($H$1,'файл остатки'!$A$5:$A$228,0),MATCH($B43,'файл остатки'!$A$5:$CX$5,0))</f>
        <v>#N/A</v>
      </c>
      <c r="BR43" s="240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7"/>
      <c r="BT43" s="216" t="e">
        <f t="shared" si="2"/>
        <v>#N/A</v>
      </c>
      <c r="BU43" s="207" t="s">
        <v>190</v>
      </c>
      <c r="BV43" s="233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2" t="e">
        <f>INDEX('файл остатки'!$A$5:$CX$265,MATCH($H$1,'файл остатки'!$A$5:$A$228,0),MATCH($B43,'файл остатки'!$A$5:$CX$5,0))</f>
        <v>#N/A</v>
      </c>
      <c r="BX43" s="240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7"/>
      <c r="BZ43" s="216" t="e">
        <f t="shared" si="3"/>
        <v>#N/A</v>
      </c>
      <c r="CA43" s="207" t="s">
        <v>190</v>
      </c>
      <c r="CB43" s="233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2" t="e">
        <f>INDEX('файл остатки'!$A$5:$CX$265,MATCH($H$1,'файл остатки'!$A$5:$A$228,0),MATCH($B43,'файл остатки'!$A$5:$CX$5,0))</f>
        <v>#N/A</v>
      </c>
      <c r="CD43" s="240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7"/>
      <c r="CH43" s="216">
        <f t="shared" si="4"/>
        <v>-3300</v>
      </c>
      <c r="CI43" s="207" t="s">
        <v>190</v>
      </c>
      <c r="CJ43" s="216" t="e">
        <f t="shared" si="5"/>
        <v>#N/A</v>
      </c>
      <c r="CK43" s="207" t="s">
        <v>190</v>
      </c>
      <c r="CO43" s="222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6" t="s">
        <v>99</v>
      </c>
      <c r="C44" s="243" t="e">
        <f>INDEX('файл остатки'!$A$5:$CX$265,MATCH($C$1,'файл остатки'!$A$5:$A$228,0),MATCH(B44,'файл остатки'!$A$5:$CX$5,0))</f>
        <v>#N/A</v>
      </c>
      <c r="D44" s="247"/>
      <c r="E44" s="216">
        <v>-660</v>
      </c>
      <c r="F44" s="150">
        <f>-(E43)/'планирование суточное'!$K$53</f>
        <v>0</v>
      </c>
      <c r="G44" s="233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2" t="e">
        <f>INDEX('файл остатки'!$A$5:$CX$265,MATCH($H$1,'файл остатки'!$A$5:$A$228,0),MATCH($B44,'файл остатки'!$A$5:$CX$5,0))</f>
        <v>#N/A</v>
      </c>
      <c r="I44" s="240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7"/>
      <c r="K44" s="216">
        <v>-290</v>
      </c>
      <c r="L44" s="150">
        <f>-(K43)/'планирование суточное'!$K$53</f>
        <v>0.38823529411764707</v>
      </c>
      <c r="M44" s="233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2" t="e">
        <f>INDEX('файл остатки'!$A$5:$CX$265,MATCH($H$1,'файл остатки'!$A$5:$A$228,0),MATCH($B44,'файл остатки'!$A$5:$CX$5,0))</f>
        <v>#N/A</v>
      </c>
      <c r="O44" s="240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7"/>
      <c r="Q44" s="216"/>
      <c r="R44" s="150">
        <f>-(Q43)/'планирование суточное'!$K$53</f>
        <v>0.38823529411764707</v>
      </c>
      <c r="S44" s="233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2" t="e">
        <f>INDEX('файл остатки'!$A$5:$CX$265,MATCH($H$1,'файл остатки'!$A$5:$A$228,0),MATCH($B44,'файл остатки'!$A$5:$CX$5,0))</f>
        <v>#N/A</v>
      </c>
      <c r="U44" s="240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7"/>
      <c r="W44" s="216"/>
      <c r="X44" s="150">
        <f>-(W43)/'планирование суточное'!$K$53</f>
        <v>0</v>
      </c>
      <c r="Y44" s="233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2" t="e">
        <f>INDEX('файл остатки'!$A$5:$CX$265,MATCH($H$1,'файл остатки'!$A$5:$A$228,0),MATCH($B44,'файл остатки'!$A$5:$CX$5,0))</f>
        <v>#N/A</v>
      </c>
      <c r="AA44" s="240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7"/>
      <c r="AC44" s="216"/>
      <c r="AD44" s="150">
        <f>-(AC43)/'планирование суточное'!$K$53</f>
        <v>0.77647058823529413</v>
      </c>
      <c r="AE44" s="233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2" t="e">
        <f>INDEX('файл остатки'!$A$5:$CX$265,MATCH($H$1,'файл остатки'!$A$5:$A$228,0),MATCH($B44,'файл остатки'!$A$5:$CX$5,0))</f>
        <v>#N/A</v>
      </c>
      <c r="AG44" s="240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7"/>
      <c r="AI44" s="216"/>
      <c r="AJ44" s="150">
        <f>-(AI43)/'планирование суточное'!$K$53</f>
        <v>0.77647058823529413</v>
      </c>
      <c r="AK44" s="233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2" t="e">
        <f>INDEX('файл остатки'!$A$5:$CX$265,MATCH($H$1,'файл остатки'!$A$5:$A$228,0),MATCH($B44,'файл остатки'!$A$5:$CX$5,0))</f>
        <v>#N/A</v>
      </c>
      <c r="AM44" s="240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7"/>
      <c r="AO44" s="216"/>
      <c r="AP44" s="150">
        <f>-(AO43)/'планирование суточное'!$K$53</f>
        <v>0.77647058823529413</v>
      </c>
      <c r="AQ44" s="233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2" t="e">
        <f>INDEX('файл остатки'!$A$5:$CX$265,MATCH($H$1,'файл остатки'!$A$5:$A$228,0),MATCH($B44,'файл остатки'!$A$5:$CX$5,0))</f>
        <v>#N/A</v>
      </c>
      <c r="AS44" s="240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7"/>
      <c r="AU44" s="216">
        <v>-660</v>
      </c>
      <c r="AV44" s="150">
        <f>-(AU43)/'планирование суточное'!$K$53</f>
        <v>0</v>
      </c>
      <c r="AW44" s="233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2" t="e">
        <f>INDEX('файл остатки'!$A$5:$CX$265,MATCH($H$1,'файл остатки'!$A$5:$A$228,0),MATCH($B44,'файл остатки'!$A$5:$CX$5,0))</f>
        <v>#N/A</v>
      </c>
      <c r="AY44" s="240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7"/>
      <c r="BA44" s="216"/>
      <c r="BB44" s="150">
        <f>-(BA43)/'планирование суточное'!$K$53</f>
        <v>0.77647058823529413</v>
      </c>
      <c r="BC44" s="233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2" t="e">
        <f>INDEX('файл остатки'!$A$5:$CX$265,MATCH($H$1,'файл остатки'!$A$5:$A$228,0),MATCH($B44,'файл остатки'!$A$5:$CX$5,0))</f>
        <v>#N/A</v>
      </c>
      <c r="BE44" s="240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7"/>
      <c r="BG44" s="216"/>
      <c r="BH44" s="150">
        <f>-(BG43)/'планирование суточное'!$K$53</f>
        <v>0</v>
      </c>
      <c r="BI44" s="233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2" t="e">
        <f>INDEX('файл остатки'!$A$5:$CX$265,MATCH($H$1,'файл остатки'!$A$5:$A$228,0),MATCH($B44,'файл остатки'!$A$5:$CX$5,0))</f>
        <v>#N/A</v>
      </c>
      <c r="BK44" s="212" t="e">
        <f t="shared" si="0"/>
        <v>#N/A</v>
      </c>
      <c r="BL44" s="240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7"/>
      <c r="BN44" s="216" t="e">
        <f t="shared" si="1"/>
        <v>#N/A</v>
      </c>
      <c r="BO44" s="150" t="e">
        <f>-(BN43)/'планирование суточное'!$K$53</f>
        <v>#N/A</v>
      </c>
      <c r="BP44" s="233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2" t="e">
        <f>INDEX('файл остатки'!$A$5:$CX$265,MATCH($H$1,'файл остатки'!$A$5:$A$228,0),MATCH($B44,'файл остатки'!$A$5:$CX$5,0))</f>
        <v>#N/A</v>
      </c>
      <c r="BR44" s="240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7"/>
      <c r="BT44" s="216" t="e">
        <f t="shared" si="2"/>
        <v>#N/A</v>
      </c>
      <c r="BU44" s="150" t="e">
        <f>-(BT43)/'планирование суточное'!$K$53</f>
        <v>#N/A</v>
      </c>
      <c r="BV44" s="233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2" t="e">
        <f>INDEX('файл остатки'!$A$5:$CX$265,MATCH($H$1,'файл остатки'!$A$5:$A$228,0),MATCH($B44,'файл остатки'!$A$5:$CX$5,0))</f>
        <v>#N/A</v>
      </c>
      <c r="BX44" s="240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7"/>
      <c r="BZ44" s="216" t="e">
        <f t="shared" si="3"/>
        <v>#N/A</v>
      </c>
      <c r="CA44" s="150" t="e">
        <f>-(BZ43)/'планирование суточное'!$K$53</f>
        <v>#N/A</v>
      </c>
      <c r="CB44" s="233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2" t="e">
        <f>INDEX('файл остатки'!$A$5:$CX$265,MATCH($H$1,'файл остатки'!$A$5:$A$228,0),MATCH($B44,'файл остатки'!$A$5:$CX$5,0))</f>
        <v>#N/A</v>
      </c>
      <c r="CD44" s="240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7"/>
      <c r="CH44" s="216">
        <f t="shared" si="4"/>
        <v>-1610</v>
      </c>
      <c r="CI44" s="150">
        <f>-(CH43)/'планирование суточное'!$K$53</f>
        <v>3.8823529411764706</v>
      </c>
      <c r="CJ44" s="216" t="e">
        <f t="shared" si="5"/>
        <v>#N/A</v>
      </c>
      <c r="CK44" s="150" t="e">
        <f>-(CJ43)/'планирование суточное'!$K$53</f>
        <v>#N/A</v>
      </c>
      <c r="CO44" s="222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6" t="s">
        <v>147</v>
      </c>
      <c r="C45" s="243" t="e">
        <f>INDEX('файл остатки'!$A$5:$CX$265,MATCH($C$1,'файл остатки'!$A$5:$A$228,0),MATCH(B45,'файл остатки'!$A$5:$CX$5,0))</f>
        <v>#N/A</v>
      </c>
      <c r="D45" s="247"/>
      <c r="E45" s="216"/>
      <c r="F45" s="207" t="s">
        <v>198</v>
      </c>
      <c r="G45" s="233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2" t="e">
        <f>INDEX('файл остатки'!$A$5:$CX$265,MATCH($H$1,'файл остатки'!$A$5:$A$228,0),MATCH($B45,'файл остатки'!$A$5:$CX$5,0))</f>
        <v>#N/A</v>
      </c>
      <c r="I45" s="240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7"/>
      <c r="K45" s="216">
        <v>-30</v>
      </c>
      <c r="L45" s="207" t="s">
        <v>198</v>
      </c>
      <c r="M45" s="233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2" t="e">
        <f>INDEX('файл остатки'!$A$5:$CX$265,MATCH($H$1,'файл остатки'!$A$5:$A$228,0),MATCH($B45,'файл остатки'!$A$5:$CX$5,0))</f>
        <v>#N/A</v>
      </c>
      <c r="O45" s="240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7"/>
      <c r="Q45" s="216"/>
      <c r="R45" s="207" t="s">
        <v>198</v>
      </c>
      <c r="S45" s="233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2" t="e">
        <f>INDEX('файл остатки'!$A$5:$CX$265,MATCH($H$1,'файл остатки'!$A$5:$A$228,0),MATCH($B45,'файл остатки'!$A$5:$CX$5,0))</f>
        <v>#N/A</v>
      </c>
      <c r="U45" s="240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7"/>
      <c r="W45" s="216">
        <v>-40</v>
      </c>
      <c r="X45" s="207" t="s">
        <v>198</v>
      </c>
      <c r="Y45" s="233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2" t="e">
        <f>INDEX('файл остатки'!$A$5:$CX$265,MATCH($H$1,'файл остатки'!$A$5:$A$228,0),MATCH($B45,'файл остатки'!$A$5:$CX$5,0))</f>
        <v>#N/A</v>
      </c>
      <c r="AA45" s="240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7"/>
      <c r="AC45" s="216"/>
      <c r="AD45" s="207" t="s">
        <v>198</v>
      </c>
      <c r="AE45" s="233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2" t="e">
        <f>INDEX('файл остатки'!$A$5:$CX$265,MATCH($H$1,'файл остатки'!$A$5:$A$228,0),MATCH($B45,'файл остатки'!$A$5:$CX$5,0))</f>
        <v>#N/A</v>
      </c>
      <c r="AG45" s="240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7"/>
      <c r="AI45" s="216">
        <v>-50</v>
      </c>
      <c r="AJ45" s="207" t="s">
        <v>198</v>
      </c>
      <c r="AK45" s="233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2" t="e">
        <f>INDEX('файл остатки'!$A$5:$CX$265,MATCH($H$1,'файл остатки'!$A$5:$A$228,0),MATCH($B45,'файл остатки'!$A$5:$CX$5,0))</f>
        <v>#N/A</v>
      </c>
      <c r="AM45" s="240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7"/>
      <c r="AO45" s="216"/>
      <c r="AP45" s="207" t="s">
        <v>198</v>
      </c>
      <c r="AQ45" s="233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2" t="e">
        <f>INDEX('файл остатки'!$A$5:$CX$265,MATCH($H$1,'файл остатки'!$A$5:$A$228,0),MATCH($B45,'файл остатки'!$A$5:$CX$5,0))</f>
        <v>#N/A</v>
      </c>
      <c r="AS45" s="240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7"/>
      <c r="AU45" s="216"/>
      <c r="AV45" s="207" t="s">
        <v>198</v>
      </c>
      <c r="AW45" s="233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2" t="e">
        <f>INDEX('файл остатки'!$A$5:$CX$265,MATCH($H$1,'файл остатки'!$A$5:$A$228,0),MATCH($B45,'файл остатки'!$A$5:$CX$5,0))</f>
        <v>#N/A</v>
      </c>
      <c r="AY45" s="240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7"/>
      <c r="BA45" s="216"/>
      <c r="BB45" s="207" t="s">
        <v>198</v>
      </c>
      <c r="BC45" s="233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2" t="e">
        <f>INDEX('файл остатки'!$A$5:$CX$265,MATCH($H$1,'файл остатки'!$A$5:$A$228,0),MATCH($B45,'файл остатки'!$A$5:$CX$5,0))</f>
        <v>#N/A</v>
      </c>
      <c r="BE45" s="240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7"/>
      <c r="BG45" s="216"/>
      <c r="BH45" s="207" t="s">
        <v>198</v>
      </c>
      <c r="BI45" s="233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2" t="e">
        <f>INDEX('файл остатки'!$A$5:$CX$265,MATCH($H$1,'файл остатки'!$A$5:$A$228,0),MATCH($B45,'файл остатки'!$A$5:$CX$5,0))</f>
        <v>#N/A</v>
      </c>
      <c r="BK45" s="212" t="e">
        <f t="shared" si="0"/>
        <v>#N/A</v>
      </c>
      <c r="BL45" s="240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7"/>
      <c r="BN45" s="216" t="e">
        <f t="shared" si="1"/>
        <v>#N/A</v>
      </c>
      <c r="BO45" s="207" t="s">
        <v>198</v>
      </c>
      <c r="BP45" s="233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2" t="e">
        <f>INDEX('файл остатки'!$A$5:$CX$265,MATCH($H$1,'файл остатки'!$A$5:$A$228,0),MATCH($B45,'файл остатки'!$A$5:$CX$5,0))</f>
        <v>#N/A</v>
      </c>
      <c r="BR45" s="240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7"/>
      <c r="BT45" s="216" t="e">
        <f t="shared" si="2"/>
        <v>#N/A</v>
      </c>
      <c r="BU45" s="207" t="s">
        <v>198</v>
      </c>
      <c r="BV45" s="233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2" t="e">
        <f>INDEX('файл остатки'!$A$5:$CX$265,MATCH($H$1,'файл остатки'!$A$5:$A$228,0),MATCH($B45,'файл остатки'!$A$5:$CX$5,0))</f>
        <v>#N/A</v>
      </c>
      <c r="BX45" s="240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7"/>
      <c r="BZ45" s="216" t="e">
        <f t="shared" si="3"/>
        <v>#N/A</v>
      </c>
      <c r="CA45" s="207" t="s">
        <v>198</v>
      </c>
      <c r="CB45" s="233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2" t="e">
        <f>INDEX('файл остатки'!$A$5:$CX$265,MATCH($H$1,'файл остатки'!$A$5:$A$228,0),MATCH($B45,'файл остатки'!$A$5:$CX$5,0))</f>
        <v>#N/A</v>
      </c>
      <c r="CD45" s="240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7"/>
      <c r="CH45" s="216">
        <f t="shared" si="4"/>
        <v>-120</v>
      </c>
      <c r="CI45" s="207" t="s">
        <v>198</v>
      </c>
      <c r="CJ45" s="216" t="e">
        <f t="shared" si="5"/>
        <v>#N/A</v>
      </c>
      <c r="CK45" s="207" t="s">
        <v>198</v>
      </c>
      <c r="CO45" s="222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6" t="s">
        <v>122</v>
      </c>
      <c r="C46" s="243" t="e">
        <f>INDEX('файл остатки'!$A$5:$CX$265,MATCH($C$1,'файл остатки'!$A$5:$A$228,0),MATCH(B46,'файл остатки'!$A$5:$CX$5,0))</f>
        <v>#N/A</v>
      </c>
      <c r="D46" s="247"/>
      <c r="E46" s="216">
        <v>-330</v>
      </c>
      <c r="F46" s="150">
        <f>-(E44+E45)/'планирование суточное'!$K$53</f>
        <v>0.77647058823529413</v>
      </c>
      <c r="G46" s="233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2" t="e">
        <f>INDEX('файл остатки'!$A$5:$CX$265,MATCH($H$1,'файл остатки'!$A$5:$A$228,0),MATCH($B46,'файл остатки'!$A$5:$CX$5,0))</f>
        <v>#N/A</v>
      </c>
      <c r="I46" s="240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7"/>
      <c r="K46" s="216"/>
      <c r="L46" s="150">
        <f>-(K44+K45)/'планирование суточное'!$K$53</f>
        <v>0.37647058823529411</v>
      </c>
      <c r="M46" s="233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2" t="e">
        <f>INDEX('файл остатки'!$A$5:$CX$265,MATCH($H$1,'файл остатки'!$A$5:$A$228,0),MATCH($B46,'файл остатки'!$A$5:$CX$5,0))</f>
        <v>#N/A</v>
      </c>
      <c r="O46" s="240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7"/>
      <c r="Q46" s="216"/>
      <c r="R46" s="150">
        <f>-(Q44+Q45)/'планирование суточное'!$K$53</f>
        <v>0</v>
      </c>
      <c r="S46" s="233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2" t="e">
        <f>INDEX('файл остатки'!$A$5:$CX$265,MATCH($H$1,'файл остатки'!$A$5:$A$228,0),MATCH($B46,'файл остатки'!$A$5:$CX$5,0))</f>
        <v>#N/A</v>
      </c>
      <c r="U46" s="240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7"/>
      <c r="W46" s="216">
        <v>-290</v>
      </c>
      <c r="X46" s="150">
        <f>-(W44+W45)/'планирование суточное'!$K$53</f>
        <v>4.7058823529411764E-2</v>
      </c>
      <c r="Y46" s="233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2" t="e">
        <f>INDEX('файл остатки'!$A$5:$CX$265,MATCH($H$1,'файл остатки'!$A$5:$A$228,0),MATCH($B46,'файл остатки'!$A$5:$CX$5,0))</f>
        <v>#N/A</v>
      </c>
      <c r="AA46" s="240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7"/>
      <c r="AC46" s="216"/>
      <c r="AD46" s="150">
        <f>-(AC44+AC45)/'планирование суточное'!$K$53</f>
        <v>0</v>
      </c>
      <c r="AE46" s="233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2" t="e">
        <f>INDEX('файл остатки'!$A$5:$CX$265,MATCH($H$1,'файл остатки'!$A$5:$A$228,0),MATCH($B46,'файл остатки'!$A$5:$CX$5,0))</f>
        <v>#N/A</v>
      </c>
      <c r="AG46" s="240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7"/>
      <c r="AI46" s="216">
        <v>-60</v>
      </c>
      <c r="AJ46" s="150">
        <f>-(AI44+AI45)/'планирование суточное'!$K$53</f>
        <v>5.8823529411764705E-2</v>
      </c>
      <c r="AK46" s="233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2" t="e">
        <f>INDEX('файл остатки'!$A$5:$CX$265,MATCH($H$1,'файл остатки'!$A$5:$A$228,0),MATCH($B46,'файл остатки'!$A$5:$CX$5,0))</f>
        <v>#N/A</v>
      </c>
      <c r="AM46" s="240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7"/>
      <c r="AO46" s="216"/>
      <c r="AP46" s="150">
        <f>-(AO44+AO45)/'планирование суточное'!$K$53</f>
        <v>0</v>
      </c>
      <c r="AQ46" s="233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2" t="e">
        <f>INDEX('файл остатки'!$A$5:$CX$265,MATCH($H$1,'файл остатки'!$A$5:$A$228,0),MATCH($B46,'файл остатки'!$A$5:$CX$5,0))</f>
        <v>#N/A</v>
      </c>
      <c r="AS46" s="240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7"/>
      <c r="AU46" s="216"/>
      <c r="AV46" s="150">
        <f>-(AU44+AU45)/'планирование суточное'!$K$53</f>
        <v>0.77647058823529413</v>
      </c>
      <c r="AW46" s="233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2" t="e">
        <f>INDEX('файл остатки'!$A$5:$CX$265,MATCH($H$1,'файл остатки'!$A$5:$A$228,0),MATCH($B46,'файл остатки'!$A$5:$CX$5,0))</f>
        <v>#N/A</v>
      </c>
      <c r="AY46" s="240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7"/>
      <c r="BA46" s="216"/>
      <c r="BB46" s="150">
        <f>-(BA44+BA45)/'планирование суточное'!$K$53</f>
        <v>0</v>
      </c>
      <c r="BC46" s="233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2" t="e">
        <f>INDEX('файл остатки'!$A$5:$CX$265,MATCH($H$1,'файл остатки'!$A$5:$A$228,0),MATCH($B46,'файл остатки'!$A$5:$CX$5,0))</f>
        <v>#N/A</v>
      </c>
      <c r="BE46" s="240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7"/>
      <c r="BG46" s="216"/>
      <c r="BH46" s="150">
        <f>-(BG44+BG45)/'планирование суточное'!$K$53</f>
        <v>0</v>
      </c>
      <c r="BI46" s="233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2" t="e">
        <f>INDEX('файл остатки'!$A$5:$CX$265,MATCH($H$1,'файл остатки'!$A$5:$A$228,0),MATCH($B46,'файл остатки'!$A$5:$CX$5,0))</f>
        <v>#N/A</v>
      </c>
      <c r="BK46" s="212" t="e">
        <f t="shared" si="0"/>
        <v>#N/A</v>
      </c>
      <c r="BL46" s="240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7"/>
      <c r="BN46" s="216" t="e">
        <f t="shared" si="1"/>
        <v>#N/A</v>
      </c>
      <c r="BO46" s="150" t="e">
        <f>-(BN44+BN45)/'планирование суточное'!$K$53</f>
        <v>#N/A</v>
      </c>
      <c r="BP46" s="233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2" t="e">
        <f>INDEX('файл остатки'!$A$5:$CX$265,MATCH($H$1,'файл остатки'!$A$5:$A$228,0),MATCH($B46,'файл остатки'!$A$5:$CX$5,0))</f>
        <v>#N/A</v>
      </c>
      <c r="BR46" s="240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7"/>
      <c r="BT46" s="216" t="e">
        <f t="shared" si="2"/>
        <v>#N/A</v>
      </c>
      <c r="BU46" s="150" t="e">
        <f>-(BT44+BT45)/'планирование суточное'!$K$53</f>
        <v>#N/A</v>
      </c>
      <c r="BV46" s="233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2" t="e">
        <f>INDEX('файл остатки'!$A$5:$CX$265,MATCH($H$1,'файл остатки'!$A$5:$A$228,0),MATCH($B46,'файл остатки'!$A$5:$CX$5,0))</f>
        <v>#N/A</v>
      </c>
      <c r="BX46" s="240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7"/>
      <c r="BZ46" s="216" t="e">
        <f t="shared" si="3"/>
        <v>#N/A</v>
      </c>
      <c r="CA46" s="150" t="e">
        <f>-(BZ44+BZ45)/'планирование суточное'!$K$53</f>
        <v>#N/A</v>
      </c>
      <c r="CB46" s="233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2" t="e">
        <f>INDEX('файл остатки'!$A$5:$CX$265,MATCH($H$1,'файл остатки'!$A$5:$A$228,0),MATCH($B46,'файл остатки'!$A$5:$CX$5,0))</f>
        <v>#N/A</v>
      </c>
      <c r="CD46" s="240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7"/>
      <c r="CH46" s="216">
        <f t="shared" si="4"/>
        <v>-680</v>
      </c>
      <c r="CI46" s="150">
        <f>-(CH44+CH45)/'планирование суточное'!$K$53</f>
        <v>2.0352941176470587</v>
      </c>
      <c r="CJ46" s="216" t="e">
        <f t="shared" si="5"/>
        <v>#N/A</v>
      </c>
      <c r="CK46" s="150" t="e">
        <f>-(CJ44+CJ45)/'планирование суточное'!$K$53</f>
        <v>#N/A</v>
      </c>
      <c r="CO46" s="222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6"/>
      <c r="C47" s="243"/>
      <c r="D47" s="247"/>
      <c r="E47" s="216">
        <v>0</v>
      </c>
      <c r="F47" s="207" t="s">
        <v>191</v>
      </c>
      <c r="G47" s="233"/>
      <c r="H47" s="212"/>
      <c r="I47" s="240"/>
      <c r="J47" s="217"/>
      <c r="K47" s="216"/>
      <c r="L47" s="207" t="s">
        <v>191</v>
      </c>
      <c r="M47" s="233"/>
      <c r="N47" s="212"/>
      <c r="O47" s="240"/>
      <c r="P47" s="217"/>
      <c r="Q47" s="216">
        <v>0</v>
      </c>
      <c r="R47" s="207" t="s">
        <v>191</v>
      </c>
      <c r="S47" s="233"/>
      <c r="T47" s="212"/>
      <c r="U47" s="240"/>
      <c r="V47" s="217"/>
      <c r="W47" s="216"/>
      <c r="X47" s="207" t="s">
        <v>191</v>
      </c>
      <c r="Y47" s="233"/>
      <c r="Z47" s="212"/>
      <c r="AA47" s="240"/>
      <c r="AB47" s="217"/>
      <c r="AC47" s="216"/>
      <c r="AD47" s="207" t="s">
        <v>191</v>
      </c>
      <c r="AE47" s="233"/>
      <c r="AF47" s="212"/>
      <c r="AG47" s="240"/>
      <c r="AH47" s="217"/>
      <c r="AI47" s="216"/>
      <c r="AJ47" s="207" t="s">
        <v>191</v>
      </c>
      <c r="AK47" s="233"/>
      <c r="AL47" s="212"/>
      <c r="AM47" s="240"/>
      <c r="AN47" s="217"/>
      <c r="AO47" s="216"/>
      <c r="AP47" s="207" t="s">
        <v>191</v>
      </c>
      <c r="AQ47" s="233"/>
      <c r="AR47" s="212"/>
      <c r="AS47" s="240"/>
      <c r="AT47" s="217"/>
      <c r="AU47" s="216"/>
      <c r="AV47" s="207" t="s">
        <v>191</v>
      </c>
      <c r="AW47" s="233"/>
      <c r="AX47" s="212"/>
      <c r="AY47" s="240"/>
      <c r="AZ47" s="217"/>
      <c r="BA47" s="216"/>
      <c r="BB47" s="207" t="s">
        <v>191</v>
      </c>
      <c r="BC47" s="233"/>
      <c r="BD47" s="212"/>
      <c r="BE47" s="240"/>
      <c r="BF47" s="217"/>
      <c r="BG47" s="216"/>
      <c r="BH47" s="207" t="s">
        <v>191</v>
      </c>
      <c r="BI47" s="233"/>
      <c r="BJ47" s="212"/>
      <c r="BK47" s="212"/>
      <c r="BL47" s="240"/>
      <c r="BM47" s="217"/>
      <c r="BN47" s="216"/>
      <c r="BO47" s="207" t="s">
        <v>191</v>
      </c>
      <c r="BP47" s="233"/>
      <c r="BQ47" s="212"/>
      <c r="BR47" s="240"/>
      <c r="BS47" s="217"/>
      <c r="BT47" s="216"/>
      <c r="BU47" s="207" t="s">
        <v>191</v>
      </c>
      <c r="BV47" s="233"/>
      <c r="BW47" s="212"/>
      <c r="BX47" s="240">
        <f>IF(BT$3='файл остатки'!$B$1,INDEX('файл остатки'!$A$5:$CX$265,MATCH($C$1,'файл остатки'!$A$5:$A$228,0),MATCH($B47,'файл остатки'!$A$5:$CX$5,0)),BR47+BS47-BT47-BV47)</f>
        <v>0</v>
      </c>
      <c r="BY47" s="217"/>
      <c r="BZ47" s="216"/>
      <c r="CA47" s="207" t="s">
        <v>191</v>
      </c>
      <c r="CB47" s="233"/>
      <c r="CC47" s="212"/>
      <c r="CD47" s="240">
        <f>IF(BZ$3='файл остатки'!$B$1,INDEX('файл остатки'!$A$5:$CX$265,MATCH($C$1,'файл остатки'!$A$5:$A$228,0),MATCH($B47,'файл остатки'!$A$5:$CX$5,0)),BX47+BY47-BZ47-CB47)</f>
        <v>0</v>
      </c>
      <c r="CE47" s="217"/>
      <c r="CH47" s="216"/>
      <c r="CI47" s="207" t="s">
        <v>191</v>
      </c>
      <c r="CJ47" s="216"/>
      <c r="CK47" s="207" t="s">
        <v>191</v>
      </c>
      <c r="CO47" s="222"/>
    </row>
    <row r="48" spans="1:93" s="211" customFormat="1" ht="24" customHeight="1">
      <c r="C48" s="214"/>
      <c r="D48" s="208"/>
      <c r="E48" s="214"/>
      <c r="F48" s="150">
        <f>-E46/'планирование суточное'!$K$53</f>
        <v>0.38823529411764707</v>
      </c>
      <c r="G48" s="207"/>
      <c r="H48" s="207"/>
      <c r="I48" s="207"/>
      <c r="J48" s="215"/>
      <c r="K48" s="214"/>
      <c r="L48" s="150">
        <f>-K46/'планирование суточное'!$K$53</f>
        <v>0</v>
      </c>
      <c r="M48" s="207"/>
      <c r="N48" s="207"/>
      <c r="O48" s="207"/>
      <c r="P48" s="215"/>
      <c r="Q48" s="214"/>
      <c r="R48" s="150">
        <f>-Q46/'планирование суточное'!$K$53</f>
        <v>0</v>
      </c>
      <c r="S48" s="207"/>
      <c r="T48" s="207"/>
      <c r="U48" s="207"/>
      <c r="V48" s="215"/>
      <c r="W48" s="214"/>
      <c r="X48" s="150">
        <f>-W46/'планирование суточное'!$K$53</f>
        <v>0.3411764705882353</v>
      </c>
      <c r="Y48" s="207"/>
      <c r="Z48" s="207"/>
      <c r="AA48" s="207"/>
      <c r="AB48" s="215"/>
      <c r="AC48" s="214"/>
      <c r="AD48" s="150">
        <f>-AC46/'планирование суточное'!$K$53</f>
        <v>0</v>
      </c>
      <c r="AE48" s="207"/>
      <c r="AF48" s="207"/>
      <c r="AG48" s="207"/>
      <c r="AH48" s="215"/>
      <c r="AI48" s="214"/>
      <c r="AJ48" s="150">
        <f>-AI46/'планирование суточное'!$K$53</f>
        <v>7.0588235294117646E-2</v>
      </c>
      <c r="AK48" s="207"/>
      <c r="AL48" s="207"/>
      <c r="AM48" s="207"/>
      <c r="AN48" s="215"/>
      <c r="AO48" s="214"/>
      <c r="AP48" s="150">
        <f>-AO46/'планирование суточное'!$K$53</f>
        <v>0</v>
      </c>
      <c r="AQ48" s="207"/>
      <c r="AR48" s="207"/>
      <c r="AS48" s="207"/>
      <c r="AT48" s="215"/>
      <c r="AU48" s="214"/>
      <c r="AV48" s="150">
        <f>-AU46/'планирование суточное'!$K$53</f>
        <v>0</v>
      </c>
      <c r="AW48" s="207"/>
      <c r="AX48" s="207"/>
      <c r="AY48" s="207"/>
      <c r="AZ48" s="215"/>
      <c r="BA48" s="214"/>
      <c r="BB48" s="150">
        <f>-BA46/'планирование суточное'!$K$53</f>
        <v>0</v>
      </c>
      <c r="BC48" s="207"/>
      <c r="BD48" s="207"/>
      <c r="BE48" s="207"/>
      <c r="BF48" s="215"/>
      <c r="BG48" s="214"/>
      <c r="BH48" s="150">
        <f>-BG46/'планирование суточное'!$K$53</f>
        <v>0</v>
      </c>
      <c r="BI48" s="207"/>
      <c r="BJ48" s="207"/>
      <c r="BK48" s="207"/>
      <c r="BL48" s="207"/>
      <c r="BM48" s="215"/>
      <c r="BN48" s="214"/>
      <c r="BO48" s="150" t="e">
        <f>-BN46/'планирование суточное'!$K$53</f>
        <v>#N/A</v>
      </c>
      <c r="BP48" s="207"/>
      <c r="BQ48" s="207"/>
      <c r="BR48" s="207"/>
      <c r="BS48" s="215"/>
      <c r="BT48" s="214"/>
      <c r="BU48" s="150" t="e">
        <f>-BT46/'планирование суточное'!$K$53</f>
        <v>#N/A</v>
      </c>
      <c r="BV48" s="207"/>
      <c r="BW48" s="207"/>
      <c r="BX48" s="207"/>
      <c r="BY48" s="215"/>
      <c r="BZ48" s="214"/>
      <c r="CA48" s="150" t="e">
        <f>-BZ46/'планирование суточное'!$K$53</f>
        <v>#N/A</v>
      </c>
      <c r="CB48" s="207"/>
      <c r="CC48" s="207"/>
      <c r="CD48" s="207"/>
      <c r="CE48" s="215"/>
      <c r="CH48" s="216"/>
      <c r="CI48" s="150">
        <f>CH46/'планирование суточное'!$K$53</f>
        <v>-0.8</v>
      </c>
      <c r="CJ48" s="216"/>
      <c r="CK48" s="150" t="e">
        <f>CJ46/'планирование суточное'!$K$53</f>
        <v>#N/A</v>
      </c>
      <c r="CO48" s="222"/>
    </row>
    <row r="49" spans="1:93" ht="24" customHeight="1">
      <c r="A49" s="140" t="s">
        <v>19</v>
      </c>
      <c r="B49" s="202" t="s">
        <v>127</v>
      </c>
      <c r="C49" s="243" t="e">
        <f>INDEX('файл остатки'!$A$5:$CX$265,MATCH($C$1,'файл остатки'!$A$5:$A$228,0),MATCH(B49,'файл остатки'!$A$5:$CX$5,0))</f>
        <v>#N/A</v>
      </c>
      <c r="D49" s="247"/>
      <c r="E49" s="216">
        <v>-70</v>
      </c>
      <c r="F49" s="207"/>
      <c r="G49" s="233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2" t="e">
        <f>INDEX('файл остатки'!$A$5:$CX$265,MATCH($H$1,'файл остатки'!$A$5:$A$228,0),MATCH($B49,'файл остатки'!$A$5:$CX$5,0))</f>
        <v>#N/A</v>
      </c>
      <c r="I49" s="240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7"/>
      <c r="K49" s="216"/>
      <c r="L49" s="207"/>
      <c r="M49" s="233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2" t="e">
        <f>INDEX('файл остатки'!$A$5:$CX$265,MATCH($H$1,'файл остатки'!$A$5:$A$228,0),MATCH($B49,'файл остатки'!$A$5:$CX$5,0))</f>
        <v>#N/A</v>
      </c>
      <c r="O49" s="240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7"/>
      <c r="Q49" s="216">
        <v>-585</v>
      </c>
      <c r="R49" s="207"/>
      <c r="S49" s="233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2" t="e">
        <f>INDEX('файл остатки'!$A$5:$CX$265,MATCH($H$1,'файл остатки'!$A$5:$A$228,0),MATCH($B49,'файл остатки'!$A$5:$CX$5,0))</f>
        <v>#N/A</v>
      </c>
      <c r="U49" s="240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7"/>
      <c r="W49" s="216"/>
      <c r="X49" s="207"/>
      <c r="Y49" s="233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2" t="e">
        <f>INDEX('файл остатки'!$A$5:$CX$265,MATCH($H$1,'файл остатки'!$A$5:$A$228,0),MATCH($B49,'файл остатки'!$A$5:$CX$5,0))</f>
        <v>#N/A</v>
      </c>
      <c r="AA49" s="240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7"/>
      <c r="AC49" s="216"/>
      <c r="AD49" s="207"/>
      <c r="AE49" s="233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2" t="e">
        <f>INDEX('файл остатки'!$A$5:$CX$265,MATCH($H$1,'файл остатки'!$A$5:$A$228,0),MATCH($B49,'файл остатки'!$A$5:$CX$5,0))</f>
        <v>#N/A</v>
      </c>
      <c r="AG49" s="240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7"/>
      <c r="AI49" s="216">
        <v>-700</v>
      </c>
      <c r="AJ49" s="207"/>
      <c r="AK49" s="233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2" t="e">
        <f>INDEX('файл остатки'!$A$5:$CX$265,MATCH($H$1,'файл остатки'!$A$5:$A$228,0),MATCH($B49,'файл остатки'!$A$5:$CX$5,0))</f>
        <v>#N/A</v>
      </c>
      <c r="AM49" s="240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7"/>
      <c r="AO49" s="216">
        <v>-660</v>
      </c>
      <c r="AP49" s="207"/>
      <c r="AQ49" s="233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2" t="e">
        <f>INDEX('файл остатки'!$A$5:$CX$265,MATCH($H$1,'файл остатки'!$A$5:$A$228,0),MATCH($B49,'файл остатки'!$A$5:$CX$5,0))</f>
        <v>#N/A</v>
      </c>
      <c r="AS49" s="240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7"/>
      <c r="AU49" s="216">
        <v>-660</v>
      </c>
      <c r="AV49" s="207"/>
      <c r="AW49" s="233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2" t="e">
        <f>INDEX('файл остатки'!$A$5:$CX$265,MATCH($H$1,'файл остатки'!$A$5:$A$228,0),MATCH($B49,'файл остатки'!$A$5:$CX$5,0))</f>
        <v>#N/A</v>
      </c>
      <c r="AY49" s="240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7"/>
      <c r="BA49" s="216"/>
      <c r="BB49" s="207"/>
      <c r="BC49" s="233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2" t="e">
        <f>INDEX('файл остатки'!$A$5:$CX$265,MATCH($H$1,'файл остатки'!$A$5:$A$228,0),MATCH($B49,'файл остатки'!$A$5:$CX$5,0))</f>
        <v>#N/A</v>
      </c>
      <c r="BE49" s="240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7"/>
      <c r="BG49" s="216">
        <v>-660</v>
      </c>
      <c r="BH49" s="207"/>
      <c r="BI49" s="233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2" t="e">
        <f>INDEX('файл остатки'!$A$5:$CX$265,MATCH($H$1,'файл остатки'!$A$5:$A$228,0),MATCH($B49,'файл остатки'!$A$5:$CX$5,0))</f>
        <v>#N/A</v>
      </c>
      <c r="BK49" s="212" t="e">
        <f t="shared" si="0"/>
        <v>#N/A</v>
      </c>
      <c r="BL49" s="240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7"/>
      <c r="BN49" s="216" t="e">
        <f t="shared" si="1"/>
        <v>#N/A</v>
      </c>
      <c r="BO49" s="207"/>
      <c r="BP49" s="233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2" t="e">
        <f>INDEX('файл остатки'!$A$5:$CX$265,MATCH($H$1,'файл остатки'!$A$5:$A$228,0),MATCH($B49,'файл остатки'!$A$5:$CX$5,0))</f>
        <v>#N/A</v>
      </c>
      <c r="BR49" s="240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7"/>
      <c r="BT49" s="216" t="e">
        <f t="shared" si="2"/>
        <v>#N/A</v>
      </c>
      <c r="BU49" s="207"/>
      <c r="BV49" s="233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2" t="e">
        <f>INDEX('файл остатки'!$A$5:$CX$265,MATCH($H$1,'файл остатки'!$A$5:$A$228,0),MATCH($B49,'файл остатки'!$A$5:$CX$5,0))</f>
        <v>#N/A</v>
      </c>
      <c r="BX49" s="240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7"/>
      <c r="BZ49" s="216" t="e">
        <f t="shared" si="3"/>
        <v>#N/A</v>
      </c>
      <c r="CA49" s="207"/>
      <c r="CB49" s="233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2" t="e">
        <f>INDEX('файл остатки'!$A$5:$CX$265,MATCH($H$1,'файл остатки'!$A$5:$A$228,0),MATCH($B49,'файл остатки'!$A$5:$CX$5,0))</f>
        <v>#N/A</v>
      </c>
      <c r="CD49" s="240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7"/>
      <c r="CH49" s="216">
        <f t="shared" si="4"/>
        <v>-3335</v>
      </c>
      <c r="CI49" s="207"/>
      <c r="CJ49" s="216" t="e">
        <f t="shared" si="5"/>
        <v>#N/A</v>
      </c>
      <c r="CK49" s="207"/>
      <c r="CO49" s="222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2" t="s">
        <v>117</v>
      </c>
      <c r="C50" s="243" t="e">
        <f>INDEX('файл остатки'!$A$5:$CX$265,MATCH($C$1,'файл остатки'!$A$5:$A$228,0),MATCH(B50,'файл остатки'!$A$5:$CX$5,0))</f>
        <v>#N/A</v>
      </c>
      <c r="D50" s="247">
        <v>699</v>
      </c>
      <c r="E50" s="216">
        <v>-260</v>
      </c>
      <c r="F50" s="207" t="s">
        <v>220</v>
      </c>
      <c r="G50" s="233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2" t="e">
        <f>INDEX('файл остатки'!$A$5:$CX$265,MATCH($H$1,'файл остатки'!$A$5:$A$228,0),MATCH($B50,'файл остатки'!$A$5:$CX$5,0))</f>
        <v>#N/A</v>
      </c>
      <c r="I50" s="240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7"/>
      <c r="K50" s="216"/>
      <c r="L50" s="207" t="s">
        <v>220</v>
      </c>
      <c r="M50" s="233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2" t="e">
        <f>INDEX('файл остатки'!$A$5:$CX$265,MATCH($H$1,'файл остатки'!$A$5:$A$228,0),MATCH($B50,'файл остатки'!$A$5:$CX$5,0))</f>
        <v>#N/A</v>
      </c>
      <c r="O50" s="240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7"/>
      <c r="Q50" s="216">
        <v>-423</v>
      </c>
      <c r="R50" s="207" t="s">
        <v>220</v>
      </c>
      <c r="S50" s="233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2" t="e">
        <f>INDEX('файл остатки'!$A$5:$CX$265,MATCH($H$1,'файл остатки'!$A$5:$A$228,0),MATCH($B50,'файл остатки'!$A$5:$CX$5,0))</f>
        <v>#N/A</v>
      </c>
      <c r="U50" s="240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7"/>
      <c r="W50" s="216"/>
      <c r="X50" s="207" t="s">
        <v>220</v>
      </c>
      <c r="Y50" s="233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2" t="e">
        <f>INDEX('файл остатки'!$A$5:$CX$265,MATCH($H$1,'файл остатки'!$A$5:$A$228,0),MATCH($B50,'файл остатки'!$A$5:$CX$5,0))</f>
        <v>#N/A</v>
      </c>
      <c r="AA50" s="240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7"/>
      <c r="AC50" s="216"/>
      <c r="AD50" s="207" t="s">
        <v>220</v>
      </c>
      <c r="AE50" s="233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2" t="e">
        <f>INDEX('файл остатки'!$A$5:$CX$265,MATCH($H$1,'файл остатки'!$A$5:$A$228,0),MATCH($B50,'файл остатки'!$A$5:$CX$5,0))</f>
        <v>#N/A</v>
      </c>
      <c r="AG50" s="240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7"/>
      <c r="AI50" s="216">
        <v>-900</v>
      </c>
      <c r="AJ50" s="207" t="s">
        <v>220</v>
      </c>
      <c r="AK50" s="233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2" t="e">
        <f>INDEX('файл остатки'!$A$5:$CX$265,MATCH($H$1,'файл остатки'!$A$5:$A$228,0),MATCH($B50,'файл остатки'!$A$5:$CX$5,0))</f>
        <v>#N/A</v>
      </c>
      <c r="AM50" s="240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7"/>
      <c r="AO50" s="216"/>
      <c r="AP50" s="207" t="s">
        <v>220</v>
      </c>
      <c r="AQ50" s="233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2" t="e">
        <f>INDEX('файл остатки'!$A$5:$CX$265,MATCH($H$1,'файл остатки'!$A$5:$A$228,0),MATCH($B50,'файл остатки'!$A$5:$CX$5,0))</f>
        <v>#N/A</v>
      </c>
      <c r="AS50" s="240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7"/>
      <c r="AU50" s="216">
        <v>-660</v>
      </c>
      <c r="AV50" s="207" t="s">
        <v>195</v>
      </c>
      <c r="AW50" s="233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2" t="e">
        <f>INDEX('файл остатки'!$A$5:$CX$265,MATCH($H$1,'файл остатки'!$A$5:$A$228,0),MATCH($B50,'файл остатки'!$A$5:$CX$5,0))</f>
        <v>#N/A</v>
      </c>
      <c r="AY50" s="240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7"/>
      <c r="BA50" s="216"/>
      <c r="BB50" s="207" t="s">
        <v>195</v>
      </c>
      <c r="BC50" s="233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2" t="e">
        <f>INDEX('файл остатки'!$A$5:$CX$265,MATCH($H$1,'файл остатки'!$A$5:$A$228,0),MATCH($B50,'файл остатки'!$A$5:$CX$5,0))</f>
        <v>#N/A</v>
      </c>
      <c r="BE50" s="240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7"/>
      <c r="BG50" s="216">
        <v>-660</v>
      </c>
      <c r="BH50" s="207" t="s">
        <v>195</v>
      </c>
      <c r="BI50" s="233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2" t="e">
        <f>INDEX('файл остатки'!$A$5:$CX$265,MATCH($H$1,'файл остатки'!$A$5:$A$228,0),MATCH($B50,'файл остатки'!$A$5:$CX$5,0))</f>
        <v>#N/A</v>
      </c>
      <c r="BK50" s="212" t="e">
        <f t="shared" si="0"/>
        <v>#N/A</v>
      </c>
      <c r="BL50" s="240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7"/>
      <c r="BN50" s="216" t="e">
        <f t="shared" si="1"/>
        <v>#N/A</v>
      </c>
      <c r="BO50" s="207" t="s">
        <v>195</v>
      </c>
      <c r="BP50" s="233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2" t="e">
        <f>INDEX('файл остатки'!$A$5:$CX$265,MATCH($H$1,'файл остатки'!$A$5:$A$228,0),MATCH($B50,'файл остатки'!$A$5:$CX$5,0))</f>
        <v>#N/A</v>
      </c>
      <c r="BR50" s="240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7"/>
      <c r="BT50" s="216" t="e">
        <f t="shared" si="2"/>
        <v>#N/A</v>
      </c>
      <c r="BU50" s="207" t="s">
        <v>195</v>
      </c>
      <c r="BV50" s="233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2" t="e">
        <f>INDEX('файл остатки'!$A$5:$CX$265,MATCH($H$1,'файл остатки'!$A$5:$A$228,0),MATCH($B50,'файл остатки'!$A$5:$CX$5,0))</f>
        <v>#N/A</v>
      </c>
      <c r="BX50" s="240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7"/>
      <c r="BZ50" s="216" t="e">
        <f t="shared" si="3"/>
        <v>#N/A</v>
      </c>
      <c r="CA50" s="207" t="s">
        <v>195</v>
      </c>
      <c r="CB50" s="233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2" t="e">
        <f>INDEX('файл остатки'!$A$5:$CX$265,MATCH($H$1,'файл остатки'!$A$5:$A$228,0),MATCH($B50,'файл остатки'!$A$5:$CX$5,0))</f>
        <v>#N/A</v>
      </c>
      <c r="CD50" s="240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7"/>
      <c r="CH50" s="216">
        <f t="shared" si="4"/>
        <v>-2903</v>
      </c>
      <c r="CI50" s="207" t="s">
        <v>195</v>
      </c>
      <c r="CJ50" s="216" t="e">
        <f t="shared" si="5"/>
        <v>#N/A</v>
      </c>
      <c r="CK50" s="207" t="s">
        <v>195</v>
      </c>
      <c r="CO50" s="222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2" t="s">
        <v>100</v>
      </c>
      <c r="C51" s="243" t="e">
        <f>INDEX('файл остатки'!$A$5:$CX$265,MATCH($C$1,'файл остатки'!$A$5:$A$228,0),MATCH(B51,'файл остатки'!$A$5:$CX$5,0))</f>
        <v>#N/A</v>
      </c>
      <c r="D51" s="247"/>
      <c r="E51" s="216"/>
      <c r="F51" s="150">
        <f>-(E49+E50+E54+E55+E56)/'планирование суточное'!$K$67</f>
        <v>0.38823529411764707</v>
      </c>
      <c r="G51" s="233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2" t="e">
        <f>INDEX('файл остатки'!$A$5:$CX$265,MATCH($H$1,'файл остатки'!$A$5:$A$228,0),MATCH($B51,'файл остатки'!$A$5:$CX$5,0))</f>
        <v>#N/A</v>
      </c>
      <c r="I51" s="240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7"/>
      <c r="K51" s="216"/>
      <c r="L51" s="150">
        <f>-(K49+K50+K54+K55+K56)/'планирование суточное'!$K$67</f>
        <v>0</v>
      </c>
      <c r="M51" s="233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2" t="e">
        <f>INDEX('файл остатки'!$A$5:$CX$265,MATCH($H$1,'файл остатки'!$A$5:$A$228,0),MATCH($B51,'файл остатки'!$A$5:$CX$5,0))</f>
        <v>#N/A</v>
      </c>
      <c r="O51" s="240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7"/>
      <c r="Q51" s="216">
        <v>-280</v>
      </c>
      <c r="R51" s="150">
        <f>-(Q49+Q50+Q54+Q55+Q56)/'планирование суточное'!$K$67</f>
        <v>1.1952941176470588</v>
      </c>
      <c r="S51" s="233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2" t="e">
        <f>INDEX('файл остатки'!$A$5:$CX$265,MATCH($H$1,'файл остатки'!$A$5:$A$228,0),MATCH($B51,'файл остатки'!$A$5:$CX$5,0))</f>
        <v>#N/A</v>
      </c>
      <c r="U51" s="240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7"/>
      <c r="W51" s="216">
        <v>-340</v>
      </c>
      <c r="X51" s="150">
        <f>-(W49+W50+W54+W55+W56)/'планирование суточное'!$K$67</f>
        <v>0</v>
      </c>
      <c r="Y51" s="233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2" t="e">
        <f>INDEX('файл остатки'!$A$5:$CX$265,MATCH($H$1,'файл остатки'!$A$5:$A$228,0),MATCH($B51,'файл остатки'!$A$5:$CX$5,0))</f>
        <v>#N/A</v>
      </c>
      <c r="AA51" s="240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7"/>
      <c r="AC51" s="216"/>
      <c r="AD51" s="150">
        <f>-(AC49+AC50+AC54+AC55+AC56)/'планирование суточное'!$K$67</f>
        <v>0</v>
      </c>
      <c r="AE51" s="233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2" t="e">
        <f>INDEX('файл остатки'!$A$5:$CX$265,MATCH($H$1,'файл остатки'!$A$5:$A$228,0),MATCH($B51,'файл остатки'!$A$5:$CX$5,0))</f>
        <v>#N/A</v>
      </c>
      <c r="AG51" s="240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7"/>
      <c r="AI51" s="216"/>
      <c r="AJ51" s="150">
        <f>-(AI49+AI50+AI54+AI55+AI56)/'планирование суточное'!$K$67</f>
        <v>1.9247058823529413</v>
      </c>
      <c r="AK51" s="233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2" t="e">
        <f>INDEX('файл остатки'!$A$5:$CX$265,MATCH($H$1,'файл остатки'!$A$5:$A$228,0),MATCH($B51,'файл остатки'!$A$5:$CX$5,0))</f>
        <v>#N/A</v>
      </c>
      <c r="AM51" s="240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7"/>
      <c r="AO51" s="216">
        <v>-330</v>
      </c>
      <c r="AP51" s="150">
        <f>-(AO49+AO50+AO54+AO55+AO56)/'планирование суточное'!$K$67</f>
        <v>0.77647058823529413</v>
      </c>
      <c r="AQ51" s="233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2" t="e">
        <f>INDEX('файл остатки'!$A$5:$CX$265,MATCH($H$1,'файл остатки'!$A$5:$A$228,0),MATCH($B51,'файл остатки'!$A$5:$CX$5,0))</f>
        <v>#N/A</v>
      </c>
      <c r="AS51" s="240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7"/>
      <c r="AU51" s="216"/>
      <c r="AV51" s="150">
        <f>-(AU49+AU50+AU54+AU55+AU56)/'планирование суточное'!$K$67</f>
        <v>1.5988235294117648</v>
      </c>
      <c r="AW51" s="233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2" t="e">
        <f>INDEX('файл остатки'!$A$5:$CX$265,MATCH($H$1,'файл остатки'!$A$5:$A$228,0),MATCH($B51,'файл остатки'!$A$5:$CX$5,0))</f>
        <v>#N/A</v>
      </c>
      <c r="AY51" s="240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7"/>
      <c r="BA51" s="216"/>
      <c r="BB51" s="150">
        <f>-(BA49+BA50+BA54+BA55+BA56)/'планирование суточное'!$K$67</f>
        <v>0</v>
      </c>
      <c r="BC51" s="233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2" t="e">
        <f>INDEX('файл остатки'!$A$5:$CX$265,MATCH($H$1,'файл остатки'!$A$5:$A$228,0),MATCH($B51,'файл остатки'!$A$5:$CX$5,0))</f>
        <v>#N/A</v>
      </c>
      <c r="BE51" s="240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7"/>
      <c r="BG51" s="216"/>
      <c r="BH51" s="150">
        <f>-(BG49+BG50+BG54+BG55+BG56)/'планирование суточное'!$K$67</f>
        <v>1.5529411764705883</v>
      </c>
      <c r="BI51" s="233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2" t="e">
        <f>INDEX('файл остатки'!$A$5:$CX$265,MATCH($H$1,'файл остатки'!$A$5:$A$228,0),MATCH($B51,'файл остатки'!$A$5:$CX$5,0))</f>
        <v>#N/A</v>
      </c>
      <c r="BK51" s="212" t="e">
        <f t="shared" si="0"/>
        <v>#N/A</v>
      </c>
      <c r="BL51" s="240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7"/>
      <c r="BN51" s="216" t="e">
        <f t="shared" si="1"/>
        <v>#N/A</v>
      </c>
      <c r="BO51" s="150" t="e">
        <f>-(BN49+BN50+BN54+BN55+BN56)/'планирование суточное'!$K$67</f>
        <v>#N/A</v>
      </c>
      <c r="BP51" s="233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2" t="e">
        <f>INDEX('файл остатки'!$A$5:$CX$265,MATCH($H$1,'файл остатки'!$A$5:$A$228,0),MATCH($B51,'файл остатки'!$A$5:$CX$5,0))</f>
        <v>#N/A</v>
      </c>
      <c r="BR51" s="240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7"/>
      <c r="BT51" s="216" t="e">
        <f t="shared" si="2"/>
        <v>#N/A</v>
      </c>
      <c r="BU51" s="150" t="e">
        <f>-(BT49+BT50+BT54+BT55+BT56)/'планирование суточное'!$K$67</f>
        <v>#N/A</v>
      </c>
      <c r="BV51" s="233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2" t="e">
        <f>INDEX('файл остатки'!$A$5:$CX$265,MATCH($H$1,'файл остатки'!$A$5:$A$228,0),MATCH($B51,'файл остатки'!$A$5:$CX$5,0))</f>
        <v>#N/A</v>
      </c>
      <c r="BX51" s="240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7"/>
      <c r="BZ51" s="216" t="e">
        <f t="shared" si="3"/>
        <v>#N/A</v>
      </c>
      <c r="CA51" s="150" t="e">
        <f>-(BZ49+BZ50+BZ54+BZ55+BZ56)/'планирование суточное'!$K$67</f>
        <v>#N/A</v>
      </c>
      <c r="CB51" s="233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2" t="e">
        <f>INDEX('файл остатки'!$A$5:$CX$265,MATCH($H$1,'файл остатки'!$A$5:$A$228,0),MATCH($B51,'файл остатки'!$A$5:$CX$5,0))</f>
        <v>#N/A</v>
      </c>
      <c r="CD51" s="240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7"/>
      <c r="CH51" s="216">
        <f t="shared" si="4"/>
        <v>-950</v>
      </c>
      <c r="CI51" s="150">
        <f>-(CH49+CH50+CH54+CH55+CH56)/'планирование суточное'!$K$67</f>
        <v>7.4364705882352942</v>
      </c>
      <c r="CJ51" s="216" t="e">
        <f t="shared" si="5"/>
        <v>#N/A</v>
      </c>
      <c r="CK51" s="150" t="e">
        <f>-(CJ49+CJ50+CJ54+CJ55+CJ56)/'планирование суточное'!$K$67</f>
        <v>#N/A</v>
      </c>
      <c r="CO51" s="222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2" t="s">
        <v>116</v>
      </c>
      <c r="C52" s="243" t="e">
        <f>INDEX('файл остатки'!$A$5:$CX$265,MATCH($C$1,'файл остатки'!$A$5:$A$228,0),MATCH(B52,'файл остатки'!$A$5:$CX$5,0))</f>
        <v>#N/A</v>
      </c>
      <c r="D52" s="247"/>
      <c r="E52" s="216"/>
      <c r="F52" s="207" t="s">
        <v>196</v>
      </c>
      <c r="G52" s="233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2" t="e">
        <f>INDEX('файл остатки'!$A$5:$CX$265,MATCH($H$1,'файл остатки'!$A$5:$A$228,0),MATCH($B52,'файл остатки'!$A$5:$CX$5,0))</f>
        <v>#N/A</v>
      </c>
      <c r="I52" s="240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7"/>
      <c r="K52" s="216">
        <v>-915</v>
      </c>
      <c r="L52" s="207" t="s">
        <v>196</v>
      </c>
      <c r="M52" s="233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2" t="e">
        <f>INDEX('файл остатки'!$A$5:$CX$265,MATCH($H$1,'файл остатки'!$A$5:$A$228,0),MATCH($B52,'файл остатки'!$A$5:$CX$5,0))</f>
        <v>#N/A</v>
      </c>
      <c r="O52" s="240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7"/>
      <c r="Q52" s="216">
        <v>-839</v>
      </c>
      <c r="R52" s="207" t="s">
        <v>196</v>
      </c>
      <c r="S52" s="233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2" t="e">
        <f>INDEX('файл остатки'!$A$5:$CX$265,MATCH($H$1,'файл остатки'!$A$5:$A$228,0),MATCH($B52,'файл остатки'!$A$5:$CX$5,0))</f>
        <v>#N/A</v>
      </c>
      <c r="U52" s="240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7"/>
      <c r="W52" s="216">
        <v>-980</v>
      </c>
      <c r="X52" s="207" t="s">
        <v>196</v>
      </c>
      <c r="Y52" s="233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2" t="e">
        <f>INDEX('файл остатки'!$A$5:$CX$265,MATCH($H$1,'файл остатки'!$A$5:$A$228,0),MATCH($B52,'файл остатки'!$A$5:$CX$5,0))</f>
        <v>#N/A</v>
      </c>
      <c r="AA52" s="240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7"/>
      <c r="AC52" s="216"/>
      <c r="AD52" s="207" t="s">
        <v>196</v>
      </c>
      <c r="AE52" s="233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2" t="e">
        <f>INDEX('файл остатки'!$A$5:$CX$265,MATCH($H$1,'файл остатки'!$A$5:$A$228,0),MATCH($B52,'файл остатки'!$A$5:$CX$5,0))</f>
        <v>#N/A</v>
      </c>
      <c r="AG52" s="240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7"/>
      <c r="AI52" s="216"/>
      <c r="AJ52" s="207" t="s">
        <v>196</v>
      </c>
      <c r="AK52" s="233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2" t="e">
        <f>INDEX('файл остатки'!$A$5:$CX$265,MATCH($H$1,'файл остатки'!$A$5:$A$228,0),MATCH($B52,'файл остатки'!$A$5:$CX$5,0))</f>
        <v>#N/A</v>
      </c>
      <c r="AM52" s="240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7"/>
      <c r="AO52" s="216">
        <v>-660</v>
      </c>
      <c r="AP52" s="207" t="s">
        <v>196</v>
      </c>
      <c r="AQ52" s="233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2" t="e">
        <f>INDEX('файл остатки'!$A$5:$CX$265,MATCH($H$1,'файл остатки'!$A$5:$A$228,0),MATCH($B52,'файл остатки'!$A$5:$CX$5,0))</f>
        <v>#N/A</v>
      </c>
      <c r="AS52" s="240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7"/>
      <c r="AU52" s="216"/>
      <c r="AV52" s="207" t="s">
        <v>196</v>
      </c>
      <c r="AW52" s="233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2" t="e">
        <f>INDEX('файл остатки'!$A$5:$CX$265,MATCH($H$1,'файл остатки'!$A$5:$A$228,0),MATCH($B52,'файл остатки'!$A$5:$CX$5,0))</f>
        <v>#N/A</v>
      </c>
      <c r="AY52" s="240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7"/>
      <c r="BA52" s="216">
        <v>-330</v>
      </c>
      <c r="BB52" s="207" t="s">
        <v>196</v>
      </c>
      <c r="BC52" s="233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2" t="e">
        <f>INDEX('файл остатки'!$A$5:$CX$265,MATCH($H$1,'файл остатки'!$A$5:$A$228,0),MATCH($B52,'файл остатки'!$A$5:$CX$5,0))</f>
        <v>#N/A</v>
      </c>
      <c r="BE52" s="240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7"/>
      <c r="BG52" s="216"/>
      <c r="BH52" s="207" t="s">
        <v>196</v>
      </c>
      <c r="BI52" s="233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2" t="e">
        <f>INDEX('файл остатки'!$A$5:$CX$265,MATCH($H$1,'файл остатки'!$A$5:$A$228,0),MATCH($B52,'файл остатки'!$A$5:$CX$5,0))</f>
        <v>#N/A</v>
      </c>
      <c r="BK52" s="212" t="e">
        <f t="shared" si="0"/>
        <v>#N/A</v>
      </c>
      <c r="BL52" s="240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7"/>
      <c r="BN52" s="216" t="e">
        <f t="shared" si="1"/>
        <v>#N/A</v>
      </c>
      <c r="BO52" s="207" t="s">
        <v>196</v>
      </c>
      <c r="BP52" s="233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2" t="e">
        <f>INDEX('файл остатки'!$A$5:$CX$265,MATCH($H$1,'файл остатки'!$A$5:$A$228,0),MATCH($B52,'файл остатки'!$A$5:$CX$5,0))</f>
        <v>#N/A</v>
      </c>
      <c r="BR52" s="240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7"/>
      <c r="BT52" s="216" t="e">
        <f t="shared" si="2"/>
        <v>#N/A</v>
      </c>
      <c r="BU52" s="207" t="s">
        <v>196</v>
      </c>
      <c r="BV52" s="233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2" t="e">
        <f>INDEX('файл остатки'!$A$5:$CX$265,MATCH($H$1,'файл остатки'!$A$5:$A$228,0),MATCH($B52,'файл остатки'!$A$5:$CX$5,0))</f>
        <v>#N/A</v>
      </c>
      <c r="BX52" s="240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7"/>
      <c r="BZ52" s="216" t="e">
        <f t="shared" si="3"/>
        <v>#N/A</v>
      </c>
      <c r="CA52" s="207" t="s">
        <v>196</v>
      </c>
      <c r="CB52" s="233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2" t="e">
        <f>INDEX('файл остатки'!$A$5:$CX$265,MATCH($H$1,'файл остатки'!$A$5:$A$228,0),MATCH($B52,'файл остатки'!$A$5:$CX$5,0))</f>
        <v>#N/A</v>
      </c>
      <c r="CD52" s="240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7"/>
      <c r="CH52" s="216">
        <f t="shared" si="4"/>
        <v>-3724</v>
      </c>
      <c r="CI52" s="207" t="s">
        <v>196</v>
      </c>
      <c r="CJ52" s="216" t="e">
        <f t="shared" si="5"/>
        <v>#N/A</v>
      </c>
      <c r="CK52" s="207" t="s">
        <v>196</v>
      </c>
      <c r="CO52" s="222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2" t="s">
        <v>161</v>
      </c>
      <c r="C53" s="243" t="e">
        <f>INDEX('файл остатки'!$A$5:$CX$265,MATCH($C$1,'файл остатки'!$A$5:$A$228,0),MATCH(B53,'файл остатки'!$A$5:$CX$5,0))</f>
        <v>#N/A</v>
      </c>
      <c r="D53" s="247"/>
      <c r="E53" s="216">
        <v>-336</v>
      </c>
      <c r="F53" s="150">
        <f>-(E51+E52+E58+E59)/'планирование суточное'!$K$67</f>
        <v>0</v>
      </c>
      <c r="G53" s="233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2" t="e">
        <f>INDEX('файл остатки'!$A$5:$CX$265,MATCH($H$1,'файл остатки'!$A$5:$A$228,0),MATCH($B53,'файл остатки'!$A$5:$CX$5,0))</f>
        <v>#N/A</v>
      </c>
      <c r="I53" s="240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7"/>
      <c r="K53" s="216"/>
      <c r="L53" s="150">
        <f>-(K51+K52+K58+K59)/'планирование суточное'!$K$67</f>
        <v>1.5529411764705883</v>
      </c>
      <c r="M53" s="233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2" t="e">
        <f>INDEX('файл остатки'!$A$5:$CX$265,MATCH($H$1,'файл остатки'!$A$5:$A$228,0),MATCH($B53,'файл остатки'!$A$5:$CX$5,0))</f>
        <v>#N/A</v>
      </c>
      <c r="O53" s="240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7"/>
      <c r="Q53" s="216">
        <v>-340</v>
      </c>
      <c r="R53" s="150">
        <f>-(Q51+Q52+Q58+Q59)/'планирование суточное'!$K$67</f>
        <v>1.5517647058823529</v>
      </c>
      <c r="S53" s="233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2" t="e">
        <f>INDEX('файл остатки'!$A$5:$CX$265,MATCH($H$1,'файл остатки'!$A$5:$A$228,0),MATCH($B53,'файл остатки'!$A$5:$CX$5,0))</f>
        <v>#N/A</v>
      </c>
      <c r="U53" s="240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7"/>
      <c r="W53" s="216">
        <v>-660</v>
      </c>
      <c r="X53" s="150">
        <f>-(W51+W52+W58+W59)/'планирование суточное'!$K$67</f>
        <v>1.5529411764705883</v>
      </c>
      <c r="Y53" s="233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2" t="e">
        <f>INDEX('файл остатки'!$A$5:$CX$265,MATCH($H$1,'файл остатки'!$A$5:$A$228,0),MATCH($B53,'файл остатки'!$A$5:$CX$5,0))</f>
        <v>#N/A</v>
      </c>
      <c r="AA53" s="240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7"/>
      <c r="AC53" s="216"/>
      <c r="AD53" s="150">
        <f>-(AC51+AC52+AC58+AC59)/'планирование суточное'!$K$67</f>
        <v>0</v>
      </c>
      <c r="AE53" s="233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2" t="e">
        <f>INDEX('файл остатки'!$A$5:$CX$265,MATCH($H$1,'файл остатки'!$A$5:$A$228,0),MATCH($B53,'файл остатки'!$A$5:$CX$5,0))</f>
        <v>#N/A</v>
      </c>
      <c r="AG53" s="240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7"/>
      <c r="AI53" s="216"/>
      <c r="AJ53" s="150">
        <f>-(AI51+AI52+AI58+AI59)/'планирование суточное'!$K$67</f>
        <v>0.29411764705882354</v>
      </c>
      <c r="AK53" s="233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2" t="e">
        <f>INDEX('файл остатки'!$A$5:$CX$265,MATCH($H$1,'файл остатки'!$A$5:$A$228,0),MATCH($B53,'файл остатки'!$A$5:$CX$5,0))</f>
        <v>#N/A</v>
      </c>
      <c r="AM53" s="240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7"/>
      <c r="AO53" s="216">
        <v>-330</v>
      </c>
      <c r="AP53" s="150">
        <f>-(AO51+AO52+AO58+AO59)/'планирование суточное'!$K$67</f>
        <v>1.1647058823529413</v>
      </c>
      <c r="AQ53" s="233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2" t="e">
        <f>INDEX('файл остатки'!$A$5:$CX$265,MATCH($H$1,'файл остатки'!$A$5:$A$228,0),MATCH($B53,'файл остатки'!$A$5:$CX$5,0))</f>
        <v>#N/A</v>
      </c>
      <c r="AS53" s="240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7"/>
      <c r="AU53" s="216">
        <v>-330</v>
      </c>
      <c r="AV53" s="150">
        <f>-(AU51+AU52+AU58+AU59)/'планирование суточное'!$K$67</f>
        <v>0</v>
      </c>
      <c r="AW53" s="233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2" t="e">
        <f>INDEX('файл остатки'!$A$5:$CX$265,MATCH($H$1,'файл остатки'!$A$5:$A$228,0),MATCH($B53,'файл остатки'!$A$5:$CX$5,0))</f>
        <v>#N/A</v>
      </c>
      <c r="AY53" s="240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7"/>
      <c r="BA53" s="216"/>
      <c r="BB53" s="150">
        <f>-(BA51+BA52+BA58+BA59)/'планирование суточное'!$K$67</f>
        <v>1.1647058823529413</v>
      </c>
      <c r="BC53" s="233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2" t="e">
        <f>INDEX('файл остатки'!$A$5:$CX$265,MATCH($H$1,'файл остатки'!$A$5:$A$228,0),MATCH($B53,'файл остатки'!$A$5:$CX$5,0))</f>
        <v>#N/A</v>
      </c>
      <c r="BE53" s="240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7"/>
      <c r="BG53" s="216"/>
      <c r="BH53" s="150">
        <f>-(BG51+BG52+BG58+BG59)/'планирование суточное'!$K$67</f>
        <v>0</v>
      </c>
      <c r="BI53" s="233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2" t="e">
        <f>INDEX('файл остатки'!$A$5:$CX$265,MATCH($H$1,'файл остатки'!$A$5:$A$228,0),MATCH($B53,'файл остатки'!$A$5:$CX$5,0))</f>
        <v>#N/A</v>
      </c>
      <c r="BK53" s="212" t="e">
        <f t="shared" si="0"/>
        <v>#N/A</v>
      </c>
      <c r="BL53" s="240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7"/>
      <c r="BN53" s="216" t="e">
        <f t="shared" si="1"/>
        <v>#N/A</v>
      </c>
      <c r="BO53" s="150" t="e">
        <f>-(BN51+BN52+BN58+BN59)/'планирование суточное'!$K$67</f>
        <v>#N/A</v>
      </c>
      <c r="BP53" s="233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2" t="e">
        <f>INDEX('файл остатки'!$A$5:$CX$265,MATCH($H$1,'файл остатки'!$A$5:$A$228,0),MATCH($B53,'файл остатки'!$A$5:$CX$5,0))</f>
        <v>#N/A</v>
      </c>
      <c r="BR53" s="240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7"/>
      <c r="BT53" s="216" t="e">
        <f t="shared" si="2"/>
        <v>#N/A</v>
      </c>
      <c r="BU53" s="150" t="e">
        <f>-(BT51+BT52+BT58+BT59)/'планирование суточное'!$K$67</f>
        <v>#N/A</v>
      </c>
      <c r="BV53" s="233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2" t="e">
        <f>INDEX('файл остатки'!$A$5:$CX$265,MATCH($H$1,'файл остатки'!$A$5:$A$228,0),MATCH($B53,'файл остатки'!$A$5:$CX$5,0))</f>
        <v>#N/A</v>
      </c>
      <c r="BX53" s="240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7"/>
      <c r="BZ53" s="216" t="e">
        <f t="shared" si="3"/>
        <v>#N/A</v>
      </c>
      <c r="CA53" s="150" t="e">
        <f>-(BZ51+BZ52+BZ58+BZ59)/'планирование суточное'!$K$67</f>
        <v>#N/A</v>
      </c>
      <c r="CB53" s="233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2" t="e">
        <f>INDEX('файл остатки'!$A$5:$CX$265,MATCH($H$1,'файл остатки'!$A$5:$A$228,0),MATCH($B53,'файл остатки'!$A$5:$CX$5,0))</f>
        <v>#N/A</v>
      </c>
      <c r="CD53" s="240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7"/>
      <c r="CH53" s="216">
        <f t="shared" si="4"/>
        <v>-1996</v>
      </c>
      <c r="CI53" s="150">
        <f>-(CH51+CH52+CH58+CH59)/'планирование суточное'!$K$67</f>
        <v>7.2811764705882354</v>
      </c>
      <c r="CJ53" s="216" t="e">
        <f t="shared" si="5"/>
        <v>#N/A</v>
      </c>
      <c r="CK53" s="150" t="e">
        <f>-(CJ51+CJ52+CJ58+CJ59)/'планирование суточное'!$K$67</f>
        <v>#N/A</v>
      </c>
      <c r="CO53" s="222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2" t="s">
        <v>136</v>
      </c>
      <c r="C54" s="243" t="e">
        <f>INDEX('файл остатки'!$A$5:$CX$265,MATCH($C$1,'файл остатки'!$A$5:$A$228,0),MATCH(B54,'файл остатки'!$A$5:$CX$5,0))</f>
        <v>#N/A</v>
      </c>
      <c r="D54" s="247"/>
      <c r="E54" s="216"/>
      <c r="F54" s="207" t="s">
        <v>197</v>
      </c>
      <c r="G54" s="233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2" t="e">
        <f>INDEX('файл остатки'!$A$5:$CX$265,MATCH($H$1,'файл остатки'!$A$5:$A$228,0),MATCH($B54,'файл остатки'!$A$5:$CX$5,0))</f>
        <v>#N/A</v>
      </c>
      <c r="I54" s="240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7"/>
      <c r="K54" s="216"/>
      <c r="L54" s="207" t="s">
        <v>197</v>
      </c>
      <c r="M54" s="233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2" t="e">
        <f>INDEX('файл остатки'!$A$5:$CX$265,MATCH($H$1,'файл остатки'!$A$5:$A$228,0),MATCH($B54,'файл остатки'!$A$5:$CX$5,0))</f>
        <v>#N/A</v>
      </c>
      <c r="O54" s="240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7"/>
      <c r="Q54" s="216">
        <v>-4</v>
      </c>
      <c r="R54" s="207" t="s">
        <v>197</v>
      </c>
      <c r="S54" s="233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2" t="e">
        <f>INDEX('файл остатки'!$A$5:$CX$265,MATCH($H$1,'файл остатки'!$A$5:$A$228,0),MATCH($B54,'файл остатки'!$A$5:$CX$5,0))</f>
        <v>#N/A</v>
      </c>
      <c r="U54" s="240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7"/>
      <c r="W54" s="216"/>
      <c r="X54" s="207" t="s">
        <v>197</v>
      </c>
      <c r="Y54" s="233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2" t="e">
        <f>INDEX('файл остатки'!$A$5:$CX$265,MATCH($H$1,'файл остатки'!$A$5:$A$228,0),MATCH($B54,'файл остатки'!$A$5:$CX$5,0))</f>
        <v>#N/A</v>
      </c>
      <c r="AA54" s="240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7"/>
      <c r="AC54" s="216"/>
      <c r="AD54" s="207" t="s">
        <v>197</v>
      </c>
      <c r="AE54" s="233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2" t="e">
        <f>INDEX('файл остатки'!$A$5:$CX$265,MATCH($H$1,'файл остатки'!$A$5:$A$228,0),MATCH($B54,'файл остатки'!$A$5:$CX$5,0))</f>
        <v>#N/A</v>
      </c>
      <c r="AG54" s="240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7"/>
      <c r="AI54" s="216"/>
      <c r="AJ54" s="207" t="s">
        <v>197</v>
      </c>
      <c r="AK54" s="233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2" t="e">
        <f>INDEX('файл остатки'!$A$5:$CX$265,MATCH($H$1,'файл остатки'!$A$5:$A$228,0),MATCH($B54,'файл остатки'!$A$5:$CX$5,0))</f>
        <v>#N/A</v>
      </c>
      <c r="AM54" s="240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7"/>
      <c r="AO54" s="216"/>
      <c r="AP54" s="207" t="s">
        <v>197</v>
      </c>
      <c r="AQ54" s="233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2" t="e">
        <f>INDEX('файл остатки'!$A$5:$CX$265,MATCH($H$1,'файл остатки'!$A$5:$A$228,0),MATCH($B54,'файл остатки'!$A$5:$CX$5,0))</f>
        <v>#N/A</v>
      </c>
      <c r="AS54" s="240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7"/>
      <c r="AU54" s="216"/>
      <c r="AV54" s="207" t="s">
        <v>197</v>
      </c>
      <c r="AW54" s="233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2" t="e">
        <f>INDEX('файл остатки'!$A$5:$CX$265,MATCH($H$1,'файл остатки'!$A$5:$A$228,0),MATCH($B54,'файл остатки'!$A$5:$CX$5,0))</f>
        <v>#N/A</v>
      </c>
      <c r="AY54" s="240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7"/>
      <c r="BA54" s="216"/>
      <c r="BB54" s="207" t="s">
        <v>197</v>
      </c>
      <c r="BC54" s="233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2" t="e">
        <f>INDEX('файл остатки'!$A$5:$CX$265,MATCH($H$1,'файл остатки'!$A$5:$A$228,0),MATCH($B54,'файл остатки'!$A$5:$CX$5,0))</f>
        <v>#N/A</v>
      </c>
      <c r="BE54" s="240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7"/>
      <c r="BG54" s="216"/>
      <c r="BH54" s="207" t="s">
        <v>197</v>
      </c>
      <c r="BI54" s="233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2" t="e">
        <f>INDEX('файл остатки'!$A$5:$CX$265,MATCH($H$1,'файл остатки'!$A$5:$A$228,0),MATCH($B54,'файл остатки'!$A$5:$CX$5,0))</f>
        <v>#N/A</v>
      </c>
      <c r="BK54" s="212" t="e">
        <f t="shared" si="0"/>
        <v>#N/A</v>
      </c>
      <c r="BL54" s="240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7"/>
      <c r="BN54" s="216" t="e">
        <f t="shared" si="1"/>
        <v>#N/A</v>
      </c>
      <c r="BO54" s="207" t="s">
        <v>197</v>
      </c>
      <c r="BP54" s="233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2" t="e">
        <f>INDEX('файл остатки'!$A$5:$CX$265,MATCH($H$1,'файл остатки'!$A$5:$A$228,0),MATCH($B54,'файл остатки'!$A$5:$CX$5,0))</f>
        <v>#N/A</v>
      </c>
      <c r="BR54" s="240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7"/>
      <c r="BT54" s="216" t="e">
        <f t="shared" si="2"/>
        <v>#N/A</v>
      </c>
      <c r="BU54" s="207" t="s">
        <v>197</v>
      </c>
      <c r="BV54" s="233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2" t="e">
        <f>INDEX('файл остатки'!$A$5:$CX$265,MATCH($H$1,'файл остатки'!$A$5:$A$228,0),MATCH($B54,'файл остатки'!$A$5:$CX$5,0))</f>
        <v>#N/A</v>
      </c>
      <c r="BX54" s="240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7"/>
      <c r="BZ54" s="216" t="e">
        <f t="shared" si="3"/>
        <v>#N/A</v>
      </c>
      <c r="CA54" s="207" t="s">
        <v>197</v>
      </c>
      <c r="CB54" s="233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2" t="e">
        <f>INDEX('файл остатки'!$A$5:$CX$265,MATCH($H$1,'файл остатки'!$A$5:$A$228,0),MATCH($B54,'файл остатки'!$A$5:$CX$5,0))</f>
        <v>#N/A</v>
      </c>
      <c r="CD54" s="240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7"/>
      <c r="CH54" s="216">
        <f t="shared" si="4"/>
        <v>-4</v>
      </c>
      <c r="CI54" s="207" t="s">
        <v>197</v>
      </c>
      <c r="CJ54" s="216" t="e">
        <f t="shared" si="5"/>
        <v>#N/A</v>
      </c>
      <c r="CK54" s="207" t="s">
        <v>197</v>
      </c>
      <c r="CO54" s="222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2" t="s">
        <v>137</v>
      </c>
      <c r="C55" s="243" t="e">
        <f>INDEX('файл остатки'!$A$5:$CX$265,MATCH($C$1,'файл остатки'!$A$5:$A$228,0),MATCH(B55,'файл остатки'!$A$5:$CX$5,0))</f>
        <v>#N/A</v>
      </c>
      <c r="D55" s="247"/>
      <c r="E55" s="216"/>
      <c r="F55" s="150">
        <f>-(E53)/'планирование суточное'!$K$67</f>
        <v>0.3952941176470588</v>
      </c>
      <c r="G55" s="233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2" t="e">
        <f>INDEX('файл остатки'!$A$5:$CX$265,MATCH($H$1,'файл остатки'!$A$5:$A$228,0),MATCH($B55,'файл остатки'!$A$5:$CX$5,0))</f>
        <v>#N/A</v>
      </c>
      <c r="I55" s="240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7"/>
      <c r="K55" s="216"/>
      <c r="L55" s="150">
        <f>-(K53)/'планирование суточное'!$K$67</f>
        <v>0</v>
      </c>
      <c r="M55" s="233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2" t="e">
        <f>INDEX('файл остатки'!$A$5:$CX$265,MATCH($H$1,'файл остатки'!$A$5:$A$228,0),MATCH($B55,'файл остатки'!$A$5:$CX$5,0))</f>
        <v>#N/A</v>
      </c>
      <c r="O55" s="240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7"/>
      <c r="Q55" s="216">
        <v>-4</v>
      </c>
      <c r="R55" s="150">
        <f>-(Q53)/'планирование суточное'!$K$67</f>
        <v>0.4</v>
      </c>
      <c r="S55" s="233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2" t="e">
        <f>INDEX('файл остатки'!$A$5:$CX$265,MATCH($H$1,'файл остатки'!$A$5:$A$228,0),MATCH($B55,'файл остатки'!$A$5:$CX$5,0))</f>
        <v>#N/A</v>
      </c>
      <c r="U55" s="240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7"/>
      <c r="W55" s="216"/>
      <c r="X55" s="150">
        <f>-(W53)/'планирование суточное'!$K$67</f>
        <v>0.77647058823529413</v>
      </c>
      <c r="Y55" s="233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2" t="e">
        <f>INDEX('файл остатки'!$A$5:$CX$265,MATCH($H$1,'файл остатки'!$A$5:$A$228,0),MATCH($B55,'файл остатки'!$A$5:$CX$5,0))</f>
        <v>#N/A</v>
      </c>
      <c r="AA55" s="240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7"/>
      <c r="AC55" s="216"/>
      <c r="AD55" s="150">
        <f>-(AC53)/'планирование суточное'!$K$67</f>
        <v>0</v>
      </c>
      <c r="AE55" s="233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2" t="e">
        <f>INDEX('файл остатки'!$A$5:$CX$265,MATCH($H$1,'файл остатки'!$A$5:$A$228,0),MATCH($B55,'файл остатки'!$A$5:$CX$5,0))</f>
        <v>#N/A</v>
      </c>
      <c r="AG55" s="240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7"/>
      <c r="AI55" s="216"/>
      <c r="AJ55" s="150">
        <f>-(AI53)/'планирование суточное'!$K$67</f>
        <v>0</v>
      </c>
      <c r="AK55" s="233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2" t="e">
        <f>INDEX('файл остатки'!$A$5:$CX$265,MATCH($H$1,'файл остатки'!$A$5:$A$228,0),MATCH($B55,'файл остатки'!$A$5:$CX$5,0))</f>
        <v>#N/A</v>
      </c>
      <c r="AM55" s="240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7"/>
      <c r="AO55" s="216"/>
      <c r="AP55" s="150">
        <f>-(AO53)/'планирование суточное'!$K$67</f>
        <v>0.38823529411764707</v>
      </c>
      <c r="AQ55" s="233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2" t="e">
        <f>INDEX('файл остатки'!$A$5:$CX$265,MATCH($H$1,'файл остатки'!$A$5:$A$228,0),MATCH($B55,'файл остатки'!$A$5:$CX$5,0))</f>
        <v>#N/A</v>
      </c>
      <c r="AS55" s="240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7"/>
      <c r="AU55" s="216"/>
      <c r="AV55" s="150">
        <f>-(AU53)/'планирование суточное'!$K$67</f>
        <v>0.38823529411764707</v>
      </c>
      <c r="AW55" s="233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2" t="e">
        <f>INDEX('файл остатки'!$A$5:$CX$265,MATCH($H$1,'файл остатки'!$A$5:$A$228,0),MATCH($B55,'файл остатки'!$A$5:$CX$5,0))</f>
        <v>#N/A</v>
      </c>
      <c r="AY55" s="240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7"/>
      <c r="BA55" s="216"/>
      <c r="BB55" s="150">
        <f>-(BA53)/'планирование суточное'!$K$67</f>
        <v>0</v>
      </c>
      <c r="BC55" s="233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2" t="e">
        <f>INDEX('файл остатки'!$A$5:$CX$265,MATCH($H$1,'файл остатки'!$A$5:$A$228,0),MATCH($B55,'файл остатки'!$A$5:$CX$5,0))</f>
        <v>#N/A</v>
      </c>
      <c r="BE55" s="240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7"/>
      <c r="BG55" s="216"/>
      <c r="BH55" s="150">
        <f>-(BG53)/'планирование суточное'!$K$67</f>
        <v>0</v>
      </c>
      <c r="BI55" s="233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2" t="e">
        <f>INDEX('файл остатки'!$A$5:$CX$265,MATCH($H$1,'файл остатки'!$A$5:$A$228,0),MATCH($B55,'файл остатки'!$A$5:$CX$5,0))</f>
        <v>#N/A</v>
      </c>
      <c r="BK55" s="212" t="e">
        <f t="shared" si="0"/>
        <v>#N/A</v>
      </c>
      <c r="BL55" s="240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7"/>
      <c r="BN55" s="216" t="e">
        <f t="shared" si="1"/>
        <v>#N/A</v>
      </c>
      <c r="BO55" s="150" t="e">
        <f>-(BN53)/'планирование суточное'!$K$67</f>
        <v>#N/A</v>
      </c>
      <c r="BP55" s="233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2" t="e">
        <f>INDEX('файл остатки'!$A$5:$CX$265,MATCH($H$1,'файл остатки'!$A$5:$A$228,0),MATCH($B55,'файл остатки'!$A$5:$CX$5,0))</f>
        <v>#N/A</v>
      </c>
      <c r="BR55" s="240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7"/>
      <c r="BT55" s="216" t="e">
        <f t="shared" si="2"/>
        <v>#N/A</v>
      </c>
      <c r="BU55" s="150" t="e">
        <f>-(BT53)/'планирование суточное'!$K$67</f>
        <v>#N/A</v>
      </c>
      <c r="BV55" s="233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2" t="e">
        <f>INDEX('файл остатки'!$A$5:$CX$265,MATCH($H$1,'файл остатки'!$A$5:$A$228,0),MATCH($B55,'файл остатки'!$A$5:$CX$5,0))</f>
        <v>#N/A</v>
      </c>
      <c r="BX55" s="240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7"/>
      <c r="BZ55" s="216" t="e">
        <f t="shared" si="3"/>
        <v>#N/A</v>
      </c>
      <c r="CA55" s="150" t="e">
        <f>-(BZ53)/'планирование суточное'!$K$67</f>
        <v>#N/A</v>
      </c>
      <c r="CB55" s="233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2" t="e">
        <f>INDEX('файл остатки'!$A$5:$CX$265,MATCH($H$1,'файл остатки'!$A$5:$A$228,0),MATCH($B55,'файл остатки'!$A$5:$CX$5,0))</f>
        <v>#N/A</v>
      </c>
      <c r="CD55" s="240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7"/>
      <c r="CH55" s="216">
        <f t="shared" si="4"/>
        <v>-4</v>
      </c>
      <c r="CI55" s="150">
        <f>-(CH53)/'планирование суточное'!$K$67</f>
        <v>2.348235294117647</v>
      </c>
      <c r="CJ55" s="216" t="e">
        <f t="shared" si="5"/>
        <v>#N/A</v>
      </c>
      <c r="CK55" s="150" t="e">
        <f>-(CJ53)/'планирование суточное'!$K$67</f>
        <v>#N/A</v>
      </c>
      <c r="CO55" s="222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2" t="s">
        <v>138</v>
      </c>
      <c r="C56" s="243" t="e">
        <f>INDEX('файл остатки'!$A$5:$CX$265,MATCH($C$1,'файл остатки'!$A$5:$A$228,0),MATCH(B56,'файл остатки'!$A$5:$CX$5,0))</f>
        <v>#N/A</v>
      </c>
      <c r="D56" s="247"/>
      <c r="E56" s="216"/>
      <c r="F56" s="207" t="s">
        <v>194</v>
      </c>
      <c r="G56" s="233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2" t="e">
        <f>INDEX('файл остатки'!$A$5:$CX$265,MATCH($H$1,'файл остатки'!$A$5:$A$228,0),MATCH($B56,'файл остатки'!$A$5:$CX$5,0))</f>
        <v>#N/A</v>
      </c>
      <c r="I56" s="240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7">
        <v>40</v>
      </c>
      <c r="K56" s="216"/>
      <c r="L56" s="207" t="s">
        <v>194</v>
      </c>
      <c r="M56" s="233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2" t="e">
        <f>INDEX('файл остатки'!$A$5:$CX$265,MATCH($H$1,'файл остатки'!$A$5:$A$228,0),MATCH($B56,'файл остатки'!$A$5:$CX$5,0))</f>
        <v>#N/A</v>
      </c>
      <c r="O56" s="240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7"/>
      <c r="Q56" s="216"/>
      <c r="R56" s="207" t="s">
        <v>194</v>
      </c>
      <c r="S56" s="233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2" t="e">
        <f>INDEX('файл остатки'!$A$5:$CX$265,MATCH($H$1,'файл остатки'!$A$5:$A$228,0),MATCH($B56,'файл остатки'!$A$5:$CX$5,0))</f>
        <v>#N/A</v>
      </c>
      <c r="U56" s="240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7"/>
      <c r="W56" s="216"/>
      <c r="X56" s="207" t="s">
        <v>194</v>
      </c>
      <c r="Y56" s="233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2" t="e">
        <f>INDEX('файл остатки'!$A$5:$CX$265,MATCH($H$1,'файл остатки'!$A$5:$A$228,0),MATCH($B56,'файл остатки'!$A$5:$CX$5,0))</f>
        <v>#N/A</v>
      </c>
      <c r="AA56" s="240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7"/>
      <c r="AC56" s="216"/>
      <c r="AD56" s="207" t="s">
        <v>194</v>
      </c>
      <c r="AE56" s="233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2" t="e">
        <f>INDEX('файл остатки'!$A$5:$CX$265,MATCH($H$1,'файл остатки'!$A$5:$A$228,0),MATCH($B56,'файл остатки'!$A$5:$CX$5,0))</f>
        <v>#N/A</v>
      </c>
      <c r="AG56" s="240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7"/>
      <c r="AI56" s="216">
        <v>-36</v>
      </c>
      <c r="AJ56" s="207" t="s">
        <v>194</v>
      </c>
      <c r="AK56" s="233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2" t="e">
        <f>INDEX('файл остатки'!$A$5:$CX$265,MATCH($H$1,'файл остатки'!$A$5:$A$228,0),MATCH($B56,'файл остатки'!$A$5:$CX$5,0))</f>
        <v>#N/A</v>
      </c>
      <c r="AM56" s="240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7"/>
      <c r="AO56" s="216"/>
      <c r="AP56" s="207" t="s">
        <v>194</v>
      </c>
      <c r="AQ56" s="233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2" t="e">
        <f>INDEX('файл остатки'!$A$5:$CX$265,MATCH($H$1,'файл остатки'!$A$5:$A$228,0),MATCH($B56,'файл остатки'!$A$5:$CX$5,0))</f>
        <v>#N/A</v>
      </c>
      <c r="AS56" s="240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7"/>
      <c r="AU56" s="216">
        <v>-39</v>
      </c>
      <c r="AV56" s="207" t="s">
        <v>194</v>
      </c>
      <c r="AW56" s="233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2" t="e">
        <f>INDEX('файл остатки'!$A$5:$CX$265,MATCH($H$1,'файл остатки'!$A$5:$A$228,0),MATCH($B56,'файл остатки'!$A$5:$CX$5,0))</f>
        <v>#N/A</v>
      </c>
      <c r="AY56" s="240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7"/>
      <c r="BA56" s="216"/>
      <c r="BB56" s="207" t="s">
        <v>194</v>
      </c>
      <c r="BC56" s="233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2" t="e">
        <f>INDEX('файл остатки'!$A$5:$CX$265,MATCH($H$1,'файл остатки'!$A$5:$A$228,0),MATCH($B56,'файл остатки'!$A$5:$CX$5,0))</f>
        <v>#N/A</v>
      </c>
      <c r="BE56" s="240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7"/>
      <c r="BG56" s="216"/>
      <c r="BH56" s="207" t="s">
        <v>194</v>
      </c>
      <c r="BI56" s="233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2" t="e">
        <f>INDEX('файл остатки'!$A$5:$CX$265,MATCH($H$1,'файл остатки'!$A$5:$A$228,0),MATCH($B56,'файл остатки'!$A$5:$CX$5,0))</f>
        <v>#N/A</v>
      </c>
      <c r="BK56" s="212" t="e">
        <f t="shared" si="0"/>
        <v>#N/A</v>
      </c>
      <c r="BL56" s="240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7"/>
      <c r="BN56" s="216" t="e">
        <f t="shared" si="1"/>
        <v>#N/A</v>
      </c>
      <c r="BO56" s="207" t="s">
        <v>194</v>
      </c>
      <c r="BP56" s="233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2" t="e">
        <f>INDEX('файл остатки'!$A$5:$CX$265,MATCH($H$1,'файл остатки'!$A$5:$A$228,0),MATCH($B56,'файл остатки'!$A$5:$CX$5,0))</f>
        <v>#N/A</v>
      </c>
      <c r="BR56" s="240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7"/>
      <c r="BT56" s="216" t="e">
        <f t="shared" si="2"/>
        <v>#N/A</v>
      </c>
      <c r="BU56" s="207" t="s">
        <v>194</v>
      </c>
      <c r="BV56" s="233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2" t="e">
        <f>INDEX('файл остатки'!$A$5:$CX$265,MATCH($H$1,'файл остатки'!$A$5:$A$228,0),MATCH($B56,'файл остатки'!$A$5:$CX$5,0))</f>
        <v>#N/A</v>
      </c>
      <c r="BX56" s="240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7"/>
      <c r="BZ56" s="216" t="e">
        <f t="shared" si="3"/>
        <v>#N/A</v>
      </c>
      <c r="CA56" s="207" t="s">
        <v>194</v>
      </c>
      <c r="CB56" s="233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2" t="e">
        <f>INDEX('файл остатки'!$A$5:$CX$265,MATCH($H$1,'файл остатки'!$A$5:$A$228,0),MATCH($B56,'файл остатки'!$A$5:$CX$5,0))</f>
        <v>#N/A</v>
      </c>
      <c r="CD56" s="240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7"/>
      <c r="CH56" s="216">
        <f t="shared" si="4"/>
        <v>-75</v>
      </c>
      <c r="CI56" s="207" t="s">
        <v>194</v>
      </c>
      <c r="CJ56" s="216" t="e">
        <f t="shared" si="5"/>
        <v>#N/A</v>
      </c>
      <c r="CK56" s="207" t="s">
        <v>194</v>
      </c>
      <c r="CO56" s="222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2" t="s">
        <v>148</v>
      </c>
      <c r="C57" s="243" t="e">
        <f>INDEX('файл остатки'!$A$5:$CX$265,MATCH($C$1,'файл остатки'!$A$5:$A$228,0),MATCH(B57,'файл остатки'!$A$5:$CX$5,0))</f>
        <v>#N/A</v>
      </c>
      <c r="D57" s="247"/>
      <c r="E57" s="216">
        <v>-330</v>
      </c>
      <c r="F57" s="150">
        <f>-(E57)/'планирование суточное'!$K$67</f>
        <v>0.38823529411764707</v>
      </c>
      <c r="G57" s="233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2" t="e">
        <f>INDEX('файл остатки'!$A$5:$CX$265,MATCH($H$1,'файл остатки'!$A$5:$A$228,0),MATCH($B57,'файл остатки'!$A$5:$CX$5,0))</f>
        <v>#N/A</v>
      </c>
      <c r="I57" s="240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7"/>
      <c r="K57" s="216"/>
      <c r="L57" s="150">
        <f>-(K57)/'планирование суточное'!$K$67</f>
        <v>0</v>
      </c>
      <c r="M57" s="233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2" t="e">
        <f>INDEX('файл остатки'!$A$5:$CX$265,MATCH($H$1,'файл остатки'!$A$5:$A$228,0),MATCH($B57,'файл остатки'!$A$5:$CX$5,0))</f>
        <v>#N/A</v>
      </c>
      <c r="O57" s="240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7"/>
      <c r="Q57" s="216"/>
      <c r="R57" s="150">
        <f>-(Q57)/'планирование суточное'!$K$67</f>
        <v>0</v>
      </c>
      <c r="S57" s="233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2" t="e">
        <f>INDEX('файл остатки'!$A$5:$CX$265,MATCH($H$1,'файл остатки'!$A$5:$A$228,0),MATCH($B57,'файл остатки'!$A$5:$CX$5,0))</f>
        <v>#N/A</v>
      </c>
      <c r="U57" s="240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7"/>
      <c r="W57" s="216">
        <v>-330</v>
      </c>
      <c r="X57" s="150">
        <f>-(W57)/'планирование суточное'!$K$67</f>
        <v>0.38823529411764707</v>
      </c>
      <c r="Y57" s="233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2" t="e">
        <f>INDEX('файл остатки'!$A$5:$CX$265,MATCH($H$1,'файл остатки'!$A$5:$A$228,0),MATCH($B57,'файл остатки'!$A$5:$CX$5,0))</f>
        <v>#N/A</v>
      </c>
      <c r="AA57" s="240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7"/>
      <c r="AC57" s="216"/>
      <c r="AD57" s="150">
        <f>-(AC57)/'планирование суточное'!$K$67</f>
        <v>0</v>
      </c>
      <c r="AE57" s="233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2" t="e">
        <f>INDEX('файл остатки'!$A$5:$CX$265,MATCH($H$1,'файл остатки'!$A$5:$A$228,0),MATCH($B57,'файл остатки'!$A$5:$CX$5,0))</f>
        <v>#N/A</v>
      </c>
      <c r="AG57" s="240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7"/>
      <c r="AI57" s="216">
        <v>-65</v>
      </c>
      <c r="AJ57" s="150">
        <f>-(AI57)/'планирование суточное'!$K$67</f>
        <v>7.6470588235294124E-2</v>
      </c>
      <c r="AK57" s="233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2" t="e">
        <f>INDEX('файл остатки'!$A$5:$CX$265,MATCH($H$1,'файл остатки'!$A$5:$A$228,0),MATCH($B57,'файл остатки'!$A$5:$CX$5,0))</f>
        <v>#N/A</v>
      </c>
      <c r="AM57" s="240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7"/>
      <c r="AO57" s="216"/>
      <c r="AP57" s="150">
        <f>-(AO57)/'планирование суточное'!$K$67</f>
        <v>0</v>
      </c>
      <c r="AQ57" s="233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2" t="e">
        <f>INDEX('файл остатки'!$A$5:$CX$265,MATCH($H$1,'файл остатки'!$A$5:$A$228,0),MATCH($B57,'файл остатки'!$A$5:$CX$5,0))</f>
        <v>#N/A</v>
      </c>
      <c r="AS57" s="240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7"/>
      <c r="AU57" s="216">
        <v>-330</v>
      </c>
      <c r="AV57" s="150">
        <f>-(AU57)/'планирование суточное'!$K$67</f>
        <v>0.38823529411764707</v>
      </c>
      <c r="AW57" s="233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2" t="e">
        <f>INDEX('файл остатки'!$A$5:$CX$265,MATCH($H$1,'файл остатки'!$A$5:$A$228,0),MATCH($B57,'файл остатки'!$A$5:$CX$5,0))</f>
        <v>#N/A</v>
      </c>
      <c r="AY57" s="240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7"/>
      <c r="BA57" s="216"/>
      <c r="BB57" s="150">
        <f>-(BA57)/'планирование суточное'!$K$67</f>
        <v>0</v>
      </c>
      <c r="BC57" s="233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2" t="e">
        <f>INDEX('файл остатки'!$A$5:$CX$265,MATCH($H$1,'файл остатки'!$A$5:$A$228,0),MATCH($B57,'файл остатки'!$A$5:$CX$5,0))</f>
        <v>#N/A</v>
      </c>
      <c r="BE57" s="240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7"/>
      <c r="BG57" s="216"/>
      <c r="BH57" s="150">
        <f>-(BG57)/'планирование суточное'!$K$67</f>
        <v>0</v>
      </c>
      <c r="BI57" s="233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2" t="e">
        <f>INDEX('файл остатки'!$A$5:$CX$265,MATCH($H$1,'файл остатки'!$A$5:$A$228,0),MATCH($B57,'файл остатки'!$A$5:$CX$5,0))</f>
        <v>#N/A</v>
      </c>
      <c r="BK57" s="212" t="e">
        <f t="shared" si="0"/>
        <v>#N/A</v>
      </c>
      <c r="BL57" s="240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7"/>
      <c r="BN57" s="216" t="e">
        <f t="shared" si="1"/>
        <v>#N/A</v>
      </c>
      <c r="BO57" s="150" t="e">
        <f>-(BN57)/'планирование суточное'!$K$67</f>
        <v>#N/A</v>
      </c>
      <c r="BP57" s="233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2" t="e">
        <f>INDEX('файл остатки'!$A$5:$CX$265,MATCH($H$1,'файл остатки'!$A$5:$A$228,0),MATCH($B57,'файл остатки'!$A$5:$CX$5,0))</f>
        <v>#N/A</v>
      </c>
      <c r="BR57" s="240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7"/>
      <c r="BT57" s="216" t="e">
        <f t="shared" si="2"/>
        <v>#N/A</v>
      </c>
      <c r="BU57" s="150" t="e">
        <f>-(BT57)/'планирование суточное'!$K$67</f>
        <v>#N/A</v>
      </c>
      <c r="BV57" s="233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2" t="e">
        <f>INDEX('файл остатки'!$A$5:$CX$265,MATCH($H$1,'файл остатки'!$A$5:$A$228,0),MATCH($B57,'файл остатки'!$A$5:$CX$5,0))</f>
        <v>#N/A</v>
      </c>
      <c r="BX57" s="240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7"/>
      <c r="BZ57" s="216" t="e">
        <f t="shared" si="3"/>
        <v>#N/A</v>
      </c>
      <c r="CA57" s="150" t="e">
        <f>-(BZ57)/'планирование суточное'!$K$67</f>
        <v>#N/A</v>
      </c>
      <c r="CB57" s="233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2" t="e">
        <f>INDEX('файл остатки'!$A$5:$CX$265,MATCH($H$1,'файл остатки'!$A$5:$A$228,0),MATCH($B57,'файл остатки'!$A$5:$CX$5,0))</f>
        <v>#N/A</v>
      </c>
      <c r="CD57" s="240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7"/>
      <c r="CH57" s="216">
        <f t="shared" si="4"/>
        <v>-1055</v>
      </c>
      <c r="CI57" s="150">
        <f>-(CH57)/'планирование суточное'!$K$67</f>
        <v>1.2411764705882353</v>
      </c>
      <c r="CJ57" s="216" t="e">
        <f t="shared" si="5"/>
        <v>#N/A</v>
      </c>
      <c r="CK57" s="150" t="e">
        <f>-(CJ57)/'планирование суточное'!$K$67</f>
        <v>#N/A</v>
      </c>
      <c r="CO57" s="222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5" t="s">
        <v>179</v>
      </c>
      <c r="C58" s="243" t="e">
        <f>INDEX('файл остатки'!$A$5:$CX$265,MATCH($C$1,'файл остатки'!$A$5:$A$228,0),MATCH(B58,'файл остатки'!$A$5:$CX$5,0))</f>
        <v>#N/A</v>
      </c>
      <c r="D58" s="247"/>
      <c r="E58" s="216"/>
      <c r="F58" s="207"/>
      <c r="G58" s="257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2" t="e">
        <f>INDEX('файл остатки'!$A$5:$CX$265,MATCH($H$1,'файл остатки'!$A$5:$A$228,0),MATCH($B58,'файл остатки'!$A$5:$CX$5,0))</f>
        <v>#N/A</v>
      </c>
      <c r="I58" s="240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7"/>
      <c r="K58" s="216">
        <v>-405</v>
      </c>
      <c r="L58" s="207"/>
      <c r="M58" s="257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2" t="e">
        <f>INDEX('файл остатки'!$A$5:$CX$265,MATCH($H$1,'файл остатки'!$A$5:$A$228,0),MATCH($B58,'файл остатки'!$A$5:$CX$5,0))</f>
        <v>#N/A</v>
      </c>
      <c r="O58" s="240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7">
        <v>820</v>
      </c>
      <c r="Q58" s="216"/>
      <c r="R58" s="207"/>
      <c r="S58" s="257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2" t="e">
        <f>INDEX('файл остатки'!$A$5:$CX$265,MATCH($H$1,'файл остатки'!$A$5:$A$228,0),MATCH($B58,'файл остатки'!$A$5:$CX$5,0))</f>
        <v>#N/A</v>
      </c>
      <c r="U58" s="240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7"/>
      <c r="W58" s="216"/>
      <c r="X58" s="207"/>
      <c r="Y58" s="257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2" t="e">
        <f>INDEX('файл остатки'!$A$5:$CX$265,MATCH($H$1,'файл остатки'!$A$5:$A$228,0),MATCH($B58,'файл остатки'!$A$5:$CX$5,0))</f>
        <v>#N/A</v>
      </c>
      <c r="AA58" s="240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7"/>
      <c r="AC58" s="216"/>
      <c r="AD58" s="207"/>
      <c r="AE58" s="257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2" t="e">
        <f>INDEX('файл остатки'!$A$5:$CX$265,MATCH($H$1,'файл остатки'!$A$5:$A$228,0),MATCH($B58,'файл остатки'!$A$5:$CX$5,0))</f>
        <v>#N/A</v>
      </c>
      <c r="AG58" s="240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7"/>
      <c r="AI58" s="216">
        <v>-30</v>
      </c>
      <c r="AJ58" s="207"/>
      <c r="AK58" s="257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2" t="e">
        <f>INDEX('файл остатки'!$A$5:$CX$265,MATCH($H$1,'файл остатки'!$A$5:$A$228,0),MATCH($B58,'файл остатки'!$A$5:$CX$5,0))</f>
        <v>#N/A</v>
      </c>
      <c r="AM58" s="240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7"/>
      <c r="AO58" s="216"/>
      <c r="AP58" s="207"/>
      <c r="AQ58" s="257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2" t="e">
        <f>INDEX('файл остатки'!$A$5:$CX$265,MATCH($H$1,'файл остатки'!$A$5:$A$228,0),MATCH($B58,'файл остатки'!$A$5:$CX$5,0))</f>
        <v>#N/A</v>
      </c>
      <c r="AS58" s="240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7"/>
      <c r="AU58" s="216"/>
      <c r="AV58" s="207"/>
      <c r="AW58" s="257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2" t="e">
        <f>INDEX('файл остатки'!$A$5:$CX$265,MATCH($H$1,'файл остатки'!$A$5:$A$228,0),MATCH($B58,'файл остатки'!$A$5:$CX$5,0))</f>
        <v>#N/A</v>
      </c>
      <c r="AY58" s="240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7"/>
      <c r="BA58" s="216">
        <v>-330</v>
      </c>
      <c r="BB58" s="207"/>
      <c r="BC58" s="257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2" t="e">
        <f>INDEX('файл остатки'!$A$5:$CX$265,MATCH($H$1,'файл остатки'!$A$5:$A$228,0),MATCH($B58,'файл остатки'!$A$5:$CX$5,0))</f>
        <v>#N/A</v>
      </c>
      <c r="BE58" s="240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7"/>
      <c r="BG58" s="216"/>
      <c r="BH58" s="207"/>
      <c r="BI58" s="257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2" t="e">
        <f>INDEX('файл остатки'!$A$5:$CX$265,MATCH($H$1,'файл остатки'!$A$5:$A$228,0),MATCH($B58,'файл остатки'!$A$5:$CX$5,0))</f>
        <v>#N/A</v>
      </c>
      <c r="BK58" s="212" t="e">
        <f t="shared" si="0"/>
        <v>#N/A</v>
      </c>
      <c r="BL58" s="240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7"/>
      <c r="BN58" s="216" t="e">
        <f t="shared" si="1"/>
        <v>#N/A</v>
      </c>
      <c r="BO58" s="207"/>
      <c r="BP58" s="257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2" t="e">
        <f>INDEX('файл остатки'!$A$5:$CX$265,MATCH($H$1,'файл остатки'!$A$5:$A$228,0),MATCH($B58,'файл остатки'!$A$5:$CX$5,0))</f>
        <v>#N/A</v>
      </c>
      <c r="BR58" s="240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7"/>
      <c r="BT58" s="216" t="e">
        <f t="shared" si="2"/>
        <v>#N/A</v>
      </c>
      <c r="BU58" s="207"/>
      <c r="BV58" s="257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2" t="e">
        <f>INDEX('файл остатки'!$A$5:$CX$265,MATCH($H$1,'файл остатки'!$A$5:$A$228,0),MATCH($B58,'файл остатки'!$A$5:$CX$5,0))</f>
        <v>#N/A</v>
      </c>
      <c r="BX58" s="240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7"/>
      <c r="BZ58" s="216" t="e">
        <f t="shared" si="3"/>
        <v>#N/A</v>
      </c>
      <c r="CA58" s="207"/>
      <c r="CB58" s="257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2" t="e">
        <f>INDEX('файл остатки'!$A$5:$CX$265,MATCH($H$1,'файл остатки'!$A$5:$A$228,0),MATCH($B58,'файл остатки'!$A$5:$CX$5,0))</f>
        <v>#N/A</v>
      </c>
      <c r="CD58" s="240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7"/>
      <c r="CH58" s="216">
        <f t="shared" si="4"/>
        <v>-765</v>
      </c>
      <c r="CI58" s="207"/>
      <c r="CJ58" s="216" t="e">
        <f t="shared" si="5"/>
        <v>#N/A</v>
      </c>
      <c r="CK58" s="207"/>
      <c r="CO58" s="222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7" t="s">
        <v>175</v>
      </c>
      <c r="C59" s="243">
        <f>INDEX('файл остатки'!$A$5:$CX$265,MATCH($C$1,'файл остатки'!$A$5:$A$228,0),MATCH(B59,'файл остатки'!$A$5:$CX$5,0))</f>
        <v>36.799999999999997</v>
      </c>
      <c r="D59" s="247"/>
      <c r="E59" s="216"/>
      <c r="F59" s="207"/>
      <c r="G59" s="233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2">
        <f>INDEX('файл остатки'!$A$5:$CX$265,MATCH($H$1,'файл остатки'!$A$5:$A$228,0),MATCH($B59,'файл остатки'!$A$5:$CX$5,0))</f>
        <v>679.07428571428557</v>
      </c>
      <c r="I59" s="240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7"/>
      <c r="K59" s="216"/>
      <c r="L59" s="207"/>
      <c r="M59" s="233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2">
        <f>INDEX('файл остатки'!$A$5:$CX$265,MATCH($H$1,'файл остатки'!$A$5:$A$228,0),MATCH($B59,'файл остатки'!$A$5:$CX$5,0))</f>
        <v>679.07428571428557</v>
      </c>
      <c r="O59" s="240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7"/>
      <c r="Q59" s="216">
        <v>-200</v>
      </c>
      <c r="R59" s="207"/>
      <c r="S59" s="233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2">
        <f>INDEX('файл остатки'!$A$5:$CX$265,MATCH($H$1,'файл остатки'!$A$5:$A$228,0),MATCH($B59,'файл остатки'!$A$5:$CX$5,0))</f>
        <v>679.07428571428557</v>
      </c>
      <c r="U59" s="240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7"/>
      <c r="W59" s="216"/>
      <c r="X59" s="207"/>
      <c r="Y59" s="233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2">
        <f>INDEX('файл остатки'!$A$5:$CX$265,MATCH($H$1,'файл остатки'!$A$5:$A$228,0),MATCH($B59,'файл остатки'!$A$5:$CX$5,0))</f>
        <v>679.07428571428557</v>
      </c>
      <c r="AA59" s="240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7"/>
      <c r="AC59" s="216"/>
      <c r="AD59" s="207"/>
      <c r="AE59" s="233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2">
        <f>INDEX('файл остатки'!$A$5:$CX$265,MATCH($H$1,'файл остатки'!$A$5:$A$228,0),MATCH($B59,'файл остатки'!$A$5:$CX$5,0))</f>
        <v>679.07428571428557</v>
      </c>
      <c r="AG59" s="240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7"/>
      <c r="AI59" s="216">
        <v>-220</v>
      </c>
      <c r="AJ59" s="207"/>
      <c r="AK59" s="233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2">
        <f>INDEX('файл остатки'!$A$5:$CX$265,MATCH($H$1,'файл остатки'!$A$5:$A$228,0),MATCH($B59,'файл остатки'!$A$5:$CX$5,0))</f>
        <v>679.07428571428557</v>
      </c>
      <c r="AM59" s="240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7"/>
      <c r="AO59" s="216"/>
      <c r="AP59" s="207"/>
      <c r="AQ59" s="233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2">
        <f>INDEX('файл остатки'!$A$5:$CX$265,MATCH($H$1,'файл остатки'!$A$5:$A$228,0),MATCH($B59,'файл остатки'!$A$5:$CX$5,0))</f>
        <v>679.07428571428557</v>
      </c>
      <c r="AS59" s="240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7"/>
      <c r="AU59" s="216"/>
      <c r="AV59" s="207"/>
      <c r="AW59" s="233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2">
        <f>INDEX('файл остатки'!$A$5:$CX$265,MATCH($H$1,'файл остатки'!$A$5:$A$228,0),MATCH($B59,'файл остатки'!$A$5:$CX$5,0))</f>
        <v>679.07428571428557</v>
      </c>
      <c r="AY59" s="240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7"/>
      <c r="BA59" s="216">
        <v>-330</v>
      </c>
      <c r="BB59" s="207"/>
      <c r="BC59" s="233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2">
        <f>INDEX('файл остатки'!$A$5:$CX$265,MATCH($H$1,'файл остатки'!$A$5:$A$228,0),MATCH($B59,'файл остатки'!$A$5:$CX$5,0))</f>
        <v>679.07428571428557</v>
      </c>
      <c r="BE59" s="240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7"/>
      <c r="BG59" s="216"/>
      <c r="BH59" s="207"/>
      <c r="BI59" s="233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2">
        <f>INDEX('файл остатки'!$A$5:$CX$265,MATCH($H$1,'файл остатки'!$A$5:$A$228,0),MATCH($B59,'файл остатки'!$A$5:$CX$5,0))</f>
        <v>679.07428571428557</v>
      </c>
      <c r="BK59" s="212" t="e">
        <f t="shared" si="0"/>
        <v>#N/A</v>
      </c>
      <c r="BL59" s="240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7"/>
      <c r="BN59" s="216">
        <f t="shared" si="1"/>
        <v>-1177.1750000000006</v>
      </c>
      <c r="BO59" s="207"/>
      <c r="BP59" s="233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2">
        <f>INDEX('файл остатки'!$A$5:$CX$265,MATCH($H$1,'файл остатки'!$A$5:$A$228,0),MATCH($B59,'файл остатки'!$A$5:$CX$5,0))</f>
        <v>679.07428571428557</v>
      </c>
      <c r="BR59" s="240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7"/>
      <c r="BT59" s="216">
        <f t="shared" si="2"/>
        <v>-1177.1750000000006</v>
      </c>
      <c r="BU59" s="207"/>
      <c r="BV59" s="233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2">
        <f>INDEX('файл остатки'!$A$5:$CX$265,MATCH($H$1,'файл остатки'!$A$5:$A$228,0),MATCH($B59,'файл остатки'!$A$5:$CX$5,0))</f>
        <v>679.07428571428557</v>
      </c>
      <c r="BX59" s="240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7"/>
      <c r="BZ59" s="216">
        <f t="shared" si="3"/>
        <v>-1177.1750000000006</v>
      </c>
      <c r="CA59" s="207"/>
      <c r="CB59" s="233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2">
        <f>INDEX('файл остатки'!$A$5:$CX$265,MATCH($H$1,'файл остатки'!$A$5:$A$228,0),MATCH($B59,'файл остатки'!$A$5:$CX$5,0))</f>
        <v>679.07428571428557</v>
      </c>
      <c r="CD59" s="240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7"/>
      <c r="CH59" s="216">
        <f t="shared" si="4"/>
        <v>-750</v>
      </c>
      <c r="CI59" s="207"/>
      <c r="CJ59" s="216" t="e">
        <f t="shared" si="5"/>
        <v>#N/A</v>
      </c>
      <c r="CK59" s="207"/>
      <c r="CO59" s="222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546" t="s">
        <v>269</v>
      </c>
      <c r="B60" s="2547"/>
      <c r="C60" s="243"/>
      <c r="D60" s="247"/>
      <c r="E60" s="216">
        <v>0</v>
      </c>
      <c r="F60" s="212">
        <f>F57+F55+F53+F51+F48+F46+F44+F41+F39+F35+F33+F24+F22+F8+F6</f>
        <v>10.324705882352941</v>
      </c>
      <c r="G60" s="233"/>
      <c r="H60" s="212"/>
      <c r="I60" s="240"/>
      <c r="J60" s="217"/>
      <c r="K60" s="216"/>
      <c r="L60" s="212">
        <f>L57+L55+L53+L51+L48+L46+L44+L41+L39+L35+L33+L24+L22+L8+L6</f>
        <v>10.772758823529411</v>
      </c>
      <c r="M60" s="233"/>
      <c r="N60" s="212"/>
      <c r="O60" s="240"/>
      <c r="P60" s="217"/>
      <c r="Q60" s="216">
        <v>0</v>
      </c>
      <c r="R60" s="212">
        <f>R57+R55+R53+R51+R48+R46+R44+R41+R39+R35+R33+R24+R22+R8+R6</f>
        <v>7.1366941176470586</v>
      </c>
      <c r="S60" s="233"/>
      <c r="T60" s="212"/>
      <c r="U60" s="240"/>
      <c r="V60" s="217"/>
      <c r="W60" s="216"/>
      <c r="X60" s="212">
        <f>X57+X55+X53+X51+X48+X46+X44+X41+X39+X35+X33+X24+X22+X8+X6</f>
        <v>10.094117647058823</v>
      </c>
      <c r="Y60" s="233"/>
      <c r="Z60" s="212"/>
      <c r="AA60" s="240"/>
      <c r="AB60" s="217"/>
      <c r="AC60" s="216"/>
      <c r="AD60" s="212">
        <f>AD57+AD55+AD53+AD51+AD48+AD46+AD44+AD41+AD39+AD35+AD33+AD24+AD22+AD8+AD6</f>
        <v>10.599169380335482</v>
      </c>
      <c r="AE60" s="233"/>
      <c r="AF60" s="212"/>
      <c r="AG60" s="240"/>
      <c r="AH60" s="217"/>
      <c r="AI60" s="216"/>
      <c r="AJ60" s="212">
        <f>AJ57+AJ55+AJ53+AJ51+AJ48+AJ46+AJ44+AJ41+AJ39+AJ35+AJ33+AJ24+AJ22+AJ8+AJ6</f>
        <v>10.687088235294118</v>
      </c>
      <c r="AK60" s="233"/>
      <c r="AL60" s="212"/>
      <c r="AM60" s="240"/>
      <c r="AN60" s="217"/>
      <c r="AO60" s="216"/>
      <c r="AP60" s="212">
        <f>AP57+AP55+AP53+AP51+AP48+AP46+AP44+AP41+AP39+AP35+AP33+AP24+AP22+AP8+AP6</f>
        <v>10.870588235294118</v>
      </c>
      <c r="AQ60" s="233"/>
      <c r="AR60" s="212"/>
      <c r="AS60" s="240"/>
      <c r="AT60" s="217"/>
      <c r="AU60" s="216"/>
      <c r="AV60" s="212">
        <f>AV57+AV55+AV53+AV51+AV48+AV46+AV44+AV41+AV39+AV35+AV33+AV24+AV22+AV8+AV6</f>
        <v>10.14</v>
      </c>
      <c r="AW60" s="233"/>
      <c r="AX60" s="212"/>
      <c r="AY60" s="240"/>
      <c r="AZ60" s="217"/>
      <c r="BA60" s="216"/>
      <c r="BB60" s="212">
        <f>BB57+BB55+BB53+BB51+BB48+BB46+BB44+BB41+BB39+BB35+BB33+BB24+BB22+BB8+BB6</f>
        <v>10.430093137254902</v>
      </c>
      <c r="BC60" s="233"/>
      <c r="BD60" s="212"/>
      <c r="BE60" s="240"/>
      <c r="BF60" s="217"/>
      <c r="BG60" s="216"/>
      <c r="BH60" s="212">
        <f>BH57+BH55+BH53+BH51+BH48+BH46+BH44+BH41+BH39+BH35+BH33+BH24+BH22+BH8+BH6</f>
        <v>6.2117647058823531</v>
      </c>
      <c r="BI60" s="233"/>
      <c r="BJ60" s="212"/>
      <c r="BK60" s="212"/>
      <c r="BL60" s="240"/>
      <c r="BM60" s="217"/>
      <c r="BN60" s="216"/>
      <c r="BO60" s="212" t="e">
        <f>BO57+BO55+BO53+BO51+BO48+BO46+BO44+BO41+BO39+BO35+BO33+BO24+BO22+BO8+BO6</f>
        <v>#N/A</v>
      </c>
      <c r="BP60" s="233"/>
      <c r="BQ60" s="212"/>
      <c r="BR60" s="240"/>
      <c r="BS60" s="217"/>
      <c r="BT60" s="216"/>
      <c r="BU60" s="212" t="e">
        <f>BU57+BU55+BU53+BU51+BU48+BU46+BU44+BU41+BU39+BU35+BU33+BU24+BU22+BU8+BU6</f>
        <v>#N/A</v>
      </c>
      <c r="BV60" s="233"/>
      <c r="BW60" s="212"/>
      <c r="BX60" s="240"/>
      <c r="BY60" s="217"/>
      <c r="BZ60" s="216"/>
      <c r="CA60" s="212" t="e">
        <f>CA57+CA55+CA53+CA51+CA48+CA46+CA44+CA41+CA39+CA35+CA33+CA24+CA22+CA8+CA6</f>
        <v>#N/A</v>
      </c>
      <c r="CB60" s="233"/>
      <c r="CC60" s="212"/>
      <c r="CD60" s="240"/>
      <c r="CE60" s="217"/>
      <c r="CH60" s="216"/>
      <c r="CI60" s="207"/>
      <c r="CJ60" s="216"/>
      <c r="CK60" s="207"/>
      <c r="CO60" s="222"/>
    </row>
    <row r="61" spans="1:93" s="211" customFormat="1" ht="24" customHeight="1">
      <c r="C61" s="214"/>
      <c r="D61" s="208"/>
      <c r="E61" s="214"/>
      <c r="F61" s="249"/>
      <c r="G61" s="207"/>
      <c r="H61" s="207"/>
      <c r="I61" s="207"/>
      <c r="J61" s="215"/>
      <c r="K61" s="214"/>
      <c r="L61" s="249"/>
      <c r="M61" s="207"/>
      <c r="N61" s="207"/>
      <c r="O61" s="207"/>
      <c r="P61" s="215"/>
      <c r="Q61" s="214"/>
      <c r="R61" s="249"/>
      <c r="S61" s="207"/>
      <c r="T61" s="207"/>
      <c r="U61" s="207"/>
      <c r="V61" s="215"/>
      <c r="W61" s="214"/>
      <c r="X61" s="249"/>
      <c r="Y61" s="207"/>
      <c r="Z61" s="207"/>
      <c r="AA61" s="207"/>
      <c r="AB61" s="215"/>
      <c r="AC61" s="214"/>
      <c r="AD61" s="249"/>
      <c r="AE61" s="207"/>
      <c r="AF61" s="207"/>
      <c r="AG61" s="207"/>
      <c r="AH61" s="215"/>
      <c r="AI61" s="214"/>
      <c r="AJ61" s="249"/>
      <c r="AK61" s="207"/>
      <c r="AL61" s="207"/>
      <c r="AM61" s="207"/>
      <c r="AN61" s="215"/>
      <c r="AO61" s="214"/>
      <c r="AP61" s="249"/>
      <c r="AQ61" s="207"/>
      <c r="AR61" s="207"/>
      <c r="AS61" s="207"/>
      <c r="AT61" s="215"/>
      <c r="AU61" s="214"/>
      <c r="AV61" s="249"/>
      <c r="AW61" s="207"/>
      <c r="AX61" s="207"/>
      <c r="AY61" s="207"/>
      <c r="AZ61" s="215"/>
      <c r="BA61" s="214"/>
      <c r="BB61" s="249"/>
      <c r="BC61" s="207"/>
      <c r="BD61" s="207"/>
      <c r="BE61" s="207"/>
      <c r="BF61" s="215"/>
      <c r="BG61" s="214"/>
      <c r="BH61" s="249"/>
      <c r="BI61" s="207"/>
      <c r="BJ61" s="207"/>
      <c r="BK61" s="207"/>
      <c r="BL61" s="207"/>
      <c r="BM61" s="215"/>
      <c r="BN61" s="214"/>
      <c r="BO61" s="249"/>
      <c r="BP61" s="207"/>
      <c r="BQ61" s="207"/>
      <c r="BR61" s="207"/>
      <c r="BS61" s="215"/>
      <c r="BT61" s="214"/>
      <c r="BU61" s="249"/>
      <c r="BV61" s="207"/>
      <c r="BW61" s="207"/>
      <c r="BX61" s="207"/>
      <c r="BY61" s="215"/>
      <c r="BZ61" s="214"/>
      <c r="CA61" s="249"/>
      <c r="CB61" s="207"/>
      <c r="CC61" s="207"/>
      <c r="CD61" s="207"/>
      <c r="CE61" s="215"/>
      <c r="CH61" s="216"/>
      <c r="CI61" s="249"/>
      <c r="CJ61" s="216"/>
      <c r="CK61" s="249"/>
      <c r="CO61" s="222"/>
    </row>
    <row r="62" spans="1:93" ht="24" customHeight="1">
      <c r="A62" s="143" t="s">
        <v>19</v>
      </c>
      <c r="B62" s="143" t="s">
        <v>108</v>
      </c>
      <c r="C62" s="243" t="e">
        <f>INDEX('файл остатки'!$A$5:$CX$265,MATCH($C$1,'файл остатки'!$A$5:$A$228,0),MATCH(B62,'файл остатки'!$A$5:$CX$5,0))</f>
        <v>#N/A</v>
      </c>
      <c r="D62" s="247"/>
      <c r="E62" s="216"/>
      <c r="F62" s="207" t="s">
        <v>184</v>
      </c>
      <c r="G62" s="233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2" t="e">
        <f>INDEX('файл остатки'!$A$5:$CX$265,MATCH($H$1,'файл остатки'!$A$5:$A$228,0),MATCH($B62,'файл остатки'!$A$5:$CX$5,0))</f>
        <v>#N/A</v>
      </c>
      <c r="I62" s="240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7"/>
      <c r="K62" s="216"/>
      <c r="L62" s="207" t="s">
        <v>184</v>
      </c>
      <c r="M62" s="233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2" t="e">
        <f>INDEX('файл остатки'!$A$5:$CX$265,MATCH($H$1,'файл остатки'!$A$5:$A$228,0),MATCH($B62,'файл остатки'!$A$5:$CX$5,0))</f>
        <v>#N/A</v>
      </c>
      <c r="O62" s="240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7"/>
      <c r="Q62" s="216"/>
      <c r="R62" s="207" t="s">
        <v>184</v>
      </c>
      <c r="S62" s="233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2" t="e">
        <f>INDEX('файл остатки'!$A$5:$CX$265,MATCH($H$1,'файл остатки'!$A$5:$A$228,0),MATCH($B62,'файл остатки'!$A$5:$CX$5,0))</f>
        <v>#N/A</v>
      </c>
      <c r="U62" s="240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7"/>
      <c r="W62" s="216"/>
      <c r="X62" s="207" t="s">
        <v>184</v>
      </c>
      <c r="Y62" s="233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2" t="e">
        <f>INDEX('файл остатки'!$A$5:$CX$265,MATCH($H$1,'файл остатки'!$A$5:$A$228,0),MATCH($B62,'файл остатки'!$A$5:$CX$5,0))</f>
        <v>#N/A</v>
      </c>
      <c r="AA62" s="240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7"/>
      <c r="AC62" s="216"/>
      <c r="AD62" s="207" t="s">
        <v>184</v>
      </c>
      <c r="AE62" s="233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2" t="e">
        <f>INDEX('файл остатки'!$A$5:$CX$265,MATCH($H$1,'файл остатки'!$A$5:$A$228,0),MATCH($B62,'файл остатки'!$A$5:$CX$5,0))</f>
        <v>#N/A</v>
      </c>
      <c r="AG62" s="240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7"/>
      <c r="AI62" s="216"/>
      <c r="AJ62" s="207" t="s">
        <v>184</v>
      </c>
      <c r="AK62" s="233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2" t="e">
        <f>INDEX('файл остатки'!$A$5:$CX$265,MATCH($H$1,'файл остатки'!$A$5:$A$228,0),MATCH($B62,'файл остатки'!$A$5:$CX$5,0))</f>
        <v>#N/A</v>
      </c>
      <c r="AM62" s="240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7"/>
      <c r="AO62" s="216"/>
      <c r="AP62" s="207" t="s">
        <v>184</v>
      </c>
      <c r="AQ62" s="233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2" t="e">
        <f>INDEX('файл остатки'!$A$5:$CX$265,MATCH($H$1,'файл остатки'!$A$5:$A$228,0),MATCH($B62,'файл остатки'!$A$5:$CX$5,0))</f>
        <v>#N/A</v>
      </c>
      <c r="AS62" s="240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7"/>
      <c r="AU62" s="216"/>
      <c r="AV62" s="207" t="s">
        <v>184</v>
      </c>
      <c r="AW62" s="233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2" t="e">
        <f>INDEX('файл остатки'!$A$5:$CX$265,MATCH($H$1,'файл остатки'!$A$5:$A$228,0),MATCH($B62,'файл остатки'!$A$5:$CX$5,0))</f>
        <v>#N/A</v>
      </c>
      <c r="AY62" s="240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7"/>
      <c r="BA62" s="216"/>
      <c r="BB62" s="207" t="s">
        <v>184</v>
      </c>
      <c r="BC62" s="233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2" t="e">
        <f>INDEX('файл остатки'!$A$5:$CX$265,MATCH($H$1,'файл остатки'!$A$5:$A$228,0),MATCH($B62,'файл остатки'!$A$5:$CX$5,0))</f>
        <v>#N/A</v>
      </c>
      <c r="BE62" s="240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7"/>
      <c r="BG62" s="216"/>
      <c r="BH62" s="207" t="s">
        <v>184</v>
      </c>
      <c r="BI62" s="233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2" t="e">
        <f>INDEX('файл остатки'!$A$5:$CX$265,MATCH($H$1,'файл остатки'!$A$5:$A$228,0),MATCH($B62,'файл остатки'!$A$5:$CX$5,0))</f>
        <v>#N/A</v>
      </c>
      <c r="BK62" s="212" t="e">
        <f t="shared" si="0"/>
        <v>#N/A</v>
      </c>
      <c r="BL62" s="240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7"/>
      <c r="BN62" s="216" t="e">
        <f t="shared" si="1"/>
        <v>#N/A</v>
      </c>
      <c r="BO62" s="207" t="s">
        <v>184</v>
      </c>
      <c r="BP62" s="233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2" t="e">
        <f>INDEX('файл остатки'!$A$5:$CX$265,MATCH($H$1,'файл остатки'!$A$5:$A$228,0),MATCH($B62,'файл остатки'!$A$5:$CX$5,0))</f>
        <v>#N/A</v>
      </c>
      <c r="BR62" s="240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7"/>
      <c r="BT62" s="216" t="e">
        <f t="shared" si="2"/>
        <v>#N/A</v>
      </c>
      <c r="BU62" s="207" t="s">
        <v>184</v>
      </c>
      <c r="BV62" s="233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2" t="e">
        <f>INDEX('файл остатки'!$A$5:$CX$265,MATCH($H$1,'файл остатки'!$A$5:$A$228,0),MATCH($B62,'файл остатки'!$A$5:$CX$5,0))</f>
        <v>#N/A</v>
      </c>
      <c r="BX62" s="240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7"/>
      <c r="BZ62" s="216" t="e">
        <f t="shared" si="3"/>
        <v>#N/A</v>
      </c>
      <c r="CA62" s="207" t="s">
        <v>184</v>
      </c>
      <c r="CB62" s="233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2" t="e">
        <f>INDEX('файл остатки'!$A$5:$CX$265,MATCH($H$1,'файл остатки'!$A$5:$A$228,0),MATCH($B62,'файл остатки'!$A$5:$CX$5,0))</f>
        <v>#N/A</v>
      </c>
      <c r="CD62" s="240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7"/>
      <c r="CH62" s="216">
        <f t="shared" si="4"/>
        <v>0</v>
      </c>
      <c r="CI62" s="207" t="s">
        <v>184</v>
      </c>
      <c r="CJ62" s="216" t="e">
        <f t="shared" si="5"/>
        <v>#N/A</v>
      </c>
      <c r="CK62" s="207" t="s">
        <v>184</v>
      </c>
      <c r="CO62" s="222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3"/>
      <c r="D63" s="247"/>
      <c r="E63" s="216">
        <v>0</v>
      </c>
      <c r="F63" s="150">
        <f>-E62/'планирование суточное'!$K$84</f>
        <v>0</v>
      </c>
      <c r="G63" s="233"/>
      <c r="H63" s="212"/>
      <c r="I63" s="240"/>
      <c r="J63" s="217"/>
      <c r="K63" s="216"/>
      <c r="L63" s="150">
        <f>-K62/'планирование суточное'!$K$84</f>
        <v>0</v>
      </c>
      <c r="M63" s="233"/>
      <c r="N63" s="212"/>
      <c r="O63" s="240"/>
      <c r="P63" s="217"/>
      <c r="Q63" s="216">
        <v>0</v>
      </c>
      <c r="R63" s="150">
        <f>-Q62/'планирование суточное'!$K$84</f>
        <v>0</v>
      </c>
      <c r="S63" s="233"/>
      <c r="T63" s="212"/>
      <c r="U63" s="240"/>
      <c r="V63" s="217"/>
      <c r="W63" s="216"/>
      <c r="X63" s="150">
        <f>-W62/'планирование суточное'!$K$84</f>
        <v>0</v>
      </c>
      <c r="Y63" s="233"/>
      <c r="Z63" s="212"/>
      <c r="AA63" s="240"/>
      <c r="AB63" s="217"/>
      <c r="AC63" s="216"/>
      <c r="AD63" s="150">
        <f>-AC62/'планирование суточное'!$K$84</f>
        <v>0</v>
      </c>
      <c r="AE63" s="233"/>
      <c r="AF63" s="212"/>
      <c r="AG63" s="240"/>
      <c r="AH63" s="217"/>
      <c r="AI63" s="216"/>
      <c r="AJ63" s="150">
        <f>-AI62/'планирование суточное'!$K$84</f>
        <v>0</v>
      </c>
      <c r="AK63" s="233"/>
      <c r="AL63" s="212"/>
      <c r="AM63" s="240"/>
      <c r="AN63" s="217"/>
      <c r="AO63" s="216"/>
      <c r="AP63" s="150">
        <f>-AO62/'планирование суточное'!$K$84</f>
        <v>0</v>
      </c>
      <c r="AQ63" s="233"/>
      <c r="AR63" s="212"/>
      <c r="AS63" s="240"/>
      <c r="AT63" s="217"/>
      <c r="AU63" s="216"/>
      <c r="AV63" s="150">
        <f>-AU62/'планирование суточное'!$K$84</f>
        <v>0</v>
      </c>
      <c r="AW63" s="233"/>
      <c r="AX63" s="212"/>
      <c r="AY63" s="240"/>
      <c r="AZ63" s="217"/>
      <c r="BA63" s="216"/>
      <c r="BB63" s="150">
        <f>-BA62/'планирование суточное'!$K$84</f>
        <v>0</v>
      </c>
      <c r="BC63" s="233"/>
      <c r="BD63" s="212"/>
      <c r="BE63" s="240"/>
      <c r="BF63" s="217"/>
      <c r="BG63" s="216"/>
      <c r="BH63" s="150">
        <f>-BG62/'планирование суточное'!$K$84</f>
        <v>0</v>
      </c>
      <c r="BI63" s="233"/>
      <c r="BJ63" s="212"/>
      <c r="BK63" s="212"/>
      <c r="BL63" s="240"/>
      <c r="BM63" s="217"/>
      <c r="BN63" s="216"/>
      <c r="BO63" s="150" t="e">
        <f>-BN62/'планирование суточное'!$K$84</f>
        <v>#N/A</v>
      </c>
      <c r="BP63" s="233"/>
      <c r="BQ63" s="212"/>
      <c r="BR63" s="240"/>
      <c r="BS63" s="217"/>
      <c r="BT63" s="216"/>
      <c r="BU63" s="150" t="e">
        <f>-BT62/'планирование суточное'!$K$84</f>
        <v>#N/A</v>
      </c>
      <c r="BV63" s="233"/>
      <c r="BW63" s="212"/>
      <c r="BX63" s="240"/>
      <c r="BY63" s="217"/>
      <c r="BZ63" s="216"/>
      <c r="CA63" s="150" t="e">
        <f>-BZ62/'планирование суточное'!$K$84</f>
        <v>#N/A</v>
      </c>
      <c r="CB63" s="233"/>
      <c r="CC63" s="212"/>
      <c r="CD63" s="240"/>
      <c r="CE63" s="217"/>
      <c r="CH63" s="216"/>
      <c r="CI63" s="150">
        <f>CH62/'планирование суточное'!$K$84</f>
        <v>0</v>
      </c>
      <c r="CJ63" s="216"/>
      <c r="CK63" s="150" t="e">
        <f>CJ62/'планирование суточное'!$K$84</f>
        <v>#N/A</v>
      </c>
      <c r="CO63" s="222"/>
    </row>
    <row r="64" spans="1:93" s="211" customFormat="1" ht="24" customHeight="1">
      <c r="C64" s="214"/>
      <c r="D64" s="208"/>
      <c r="E64" s="214"/>
      <c r="F64" s="249"/>
      <c r="G64" s="207"/>
      <c r="H64" s="207"/>
      <c r="I64" s="207"/>
      <c r="J64" s="215"/>
      <c r="K64" s="214"/>
      <c r="L64" s="249"/>
      <c r="M64" s="207"/>
      <c r="N64" s="207"/>
      <c r="O64" s="207"/>
      <c r="P64" s="215"/>
      <c r="Q64" s="214"/>
      <c r="R64" s="249"/>
      <c r="S64" s="207"/>
      <c r="T64" s="207"/>
      <c r="U64" s="207"/>
      <c r="V64" s="215"/>
      <c r="W64" s="214"/>
      <c r="X64" s="249"/>
      <c r="Y64" s="207"/>
      <c r="Z64" s="207"/>
      <c r="AA64" s="207"/>
      <c r="AB64" s="215"/>
      <c r="AC64" s="214"/>
      <c r="AD64" s="249"/>
      <c r="AE64" s="207"/>
      <c r="AF64" s="207"/>
      <c r="AG64" s="207"/>
      <c r="AH64" s="215"/>
      <c r="AI64" s="214"/>
      <c r="AJ64" s="249"/>
      <c r="AK64" s="207"/>
      <c r="AL64" s="207"/>
      <c r="AM64" s="207"/>
      <c r="AN64" s="215"/>
      <c r="AO64" s="214"/>
      <c r="AP64" s="249"/>
      <c r="AQ64" s="207"/>
      <c r="AR64" s="207"/>
      <c r="AS64" s="207"/>
      <c r="AT64" s="215"/>
      <c r="AU64" s="214"/>
      <c r="AV64" s="249"/>
      <c r="AW64" s="207"/>
      <c r="AX64" s="207"/>
      <c r="AY64" s="207"/>
      <c r="AZ64" s="215"/>
      <c r="BA64" s="214"/>
      <c r="BB64" s="249"/>
      <c r="BC64" s="207"/>
      <c r="BD64" s="207"/>
      <c r="BE64" s="207"/>
      <c r="BF64" s="215"/>
      <c r="BG64" s="214"/>
      <c r="BH64" s="249"/>
      <c r="BI64" s="207"/>
      <c r="BJ64" s="207"/>
      <c r="BK64" s="207"/>
      <c r="BL64" s="207"/>
      <c r="BM64" s="215"/>
      <c r="BN64" s="214"/>
      <c r="BO64" s="249"/>
      <c r="BP64" s="207"/>
      <c r="BQ64" s="207"/>
      <c r="BR64" s="207"/>
      <c r="BS64" s="215"/>
      <c r="BT64" s="214"/>
      <c r="BU64" s="249"/>
      <c r="BV64" s="207"/>
      <c r="BW64" s="207"/>
      <c r="BX64" s="207"/>
      <c r="BY64" s="215"/>
      <c r="BZ64" s="214"/>
      <c r="CA64" s="249"/>
      <c r="CB64" s="207"/>
      <c r="CC64" s="207"/>
      <c r="CD64" s="207"/>
      <c r="CE64" s="215"/>
      <c r="CH64" s="216"/>
      <c r="CI64" s="249"/>
      <c r="CJ64" s="216"/>
      <c r="CK64" s="249"/>
      <c r="CO64" s="222"/>
    </row>
    <row r="65" spans="1:93" ht="24" customHeight="1">
      <c r="A65" s="189" t="s">
        <v>46</v>
      </c>
      <c r="B65" s="201" t="s">
        <v>121</v>
      </c>
      <c r="C65" s="243" t="e">
        <f>INDEX('файл остатки'!$A$5:$CX$265,MATCH($C$1,'файл остатки'!$A$5:$A$228,0),MATCH(B65,'файл остатки'!$A$5:$CX$5,0))</f>
        <v>#N/A</v>
      </c>
      <c r="D65" s="247"/>
      <c r="E65" s="216"/>
      <c r="F65" s="207" t="s">
        <v>184</v>
      </c>
      <c r="G65" s="233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2" t="e">
        <f>INDEX('файл остатки'!$A$5:$CX$265,MATCH($H$1,'файл остатки'!$A$5:$A$228,0),MATCH($B65,'файл остатки'!$A$5:$CX$5,0))</f>
        <v>#N/A</v>
      </c>
      <c r="I65" s="240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7"/>
      <c r="K65" s="216"/>
      <c r="L65" s="207" t="s">
        <v>184</v>
      </c>
      <c r="M65" s="233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2" t="e">
        <f>INDEX('файл остатки'!$A$5:$CX$265,MATCH($H$1,'файл остатки'!$A$5:$A$228,0),MATCH($B65,'файл остатки'!$A$5:$CX$5,0))</f>
        <v>#N/A</v>
      </c>
      <c r="O65" s="240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7"/>
      <c r="Q65" s="216">
        <v>-384</v>
      </c>
      <c r="R65" s="207" t="s">
        <v>184</v>
      </c>
      <c r="S65" s="233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2" t="e">
        <f>INDEX('файл остатки'!$A$5:$CX$265,MATCH($H$1,'файл остатки'!$A$5:$A$228,0),MATCH($B65,'файл остатки'!$A$5:$CX$5,0))</f>
        <v>#N/A</v>
      </c>
      <c r="U65" s="240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7"/>
      <c r="W65" s="216">
        <v>-400</v>
      </c>
      <c r="X65" s="207" t="s">
        <v>184</v>
      </c>
      <c r="Y65" s="233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2" t="e">
        <f>INDEX('файл остатки'!$A$5:$CX$265,MATCH($H$1,'файл остатки'!$A$5:$A$228,0),MATCH($B65,'файл остатки'!$A$5:$CX$5,0))</f>
        <v>#N/A</v>
      </c>
      <c r="AA65" s="240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7"/>
      <c r="AC65" s="216"/>
      <c r="AD65" s="207" t="s">
        <v>184</v>
      </c>
      <c r="AE65" s="233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2" t="e">
        <f>INDEX('файл остатки'!$A$5:$CX$265,MATCH($H$1,'файл остатки'!$A$5:$A$228,0),MATCH($B65,'файл остатки'!$A$5:$CX$5,0))</f>
        <v>#N/A</v>
      </c>
      <c r="AG65" s="240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7"/>
      <c r="AI65" s="216"/>
      <c r="AJ65" s="207" t="s">
        <v>184</v>
      </c>
      <c r="AK65" s="233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2" t="e">
        <f>INDEX('файл остатки'!$A$5:$CX$265,MATCH($H$1,'файл остатки'!$A$5:$A$228,0),MATCH($B65,'файл остатки'!$A$5:$CX$5,0))</f>
        <v>#N/A</v>
      </c>
      <c r="AM65" s="240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7"/>
      <c r="AO65" s="216"/>
      <c r="AP65" s="207" t="s">
        <v>184</v>
      </c>
      <c r="AQ65" s="233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2" t="e">
        <f>INDEX('файл остатки'!$A$5:$CX$265,MATCH($H$1,'файл остатки'!$A$5:$A$228,0),MATCH($B65,'файл остатки'!$A$5:$CX$5,0))</f>
        <v>#N/A</v>
      </c>
      <c r="AS65" s="240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7"/>
      <c r="AU65" s="216">
        <v>-150</v>
      </c>
      <c r="AV65" s="207" t="s">
        <v>184</v>
      </c>
      <c r="AW65" s="233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2" t="e">
        <f>INDEX('файл остатки'!$A$5:$CX$265,MATCH($H$1,'файл остатки'!$A$5:$A$228,0),MATCH($B65,'файл остатки'!$A$5:$CX$5,0))</f>
        <v>#N/A</v>
      </c>
      <c r="AY65" s="240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7"/>
      <c r="BA65" s="216"/>
      <c r="BB65" s="207" t="s">
        <v>184</v>
      </c>
      <c r="BC65" s="233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2" t="e">
        <f>INDEX('файл остатки'!$A$5:$CX$265,MATCH($H$1,'файл остатки'!$A$5:$A$228,0),MATCH($B65,'файл остатки'!$A$5:$CX$5,0))</f>
        <v>#N/A</v>
      </c>
      <c r="BE65" s="240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7"/>
      <c r="BG65" s="216">
        <v>-1000</v>
      </c>
      <c r="BH65" s="207" t="s">
        <v>184</v>
      </c>
      <c r="BI65" s="233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2" t="e">
        <f>INDEX('файл остатки'!$A$5:$CX$265,MATCH($H$1,'файл остатки'!$A$5:$A$228,0),MATCH($B65,'файл остатки'!$A$5:$CX$5,0))</f>
        <v>#N/A</v>
      </c>
      <c r="BK65" s="212" t="e">
        <f t="shared" si="0"/>
        <v>#N/A</v>
      </c>
      <c r="BL65" s="240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7"/>
      <c r="BN65" s="216" t="e">
        <f t="shared" si="1"/>
        <v>#N/A</v>
      </c>
      <c r="BO65" s="207" t="s">
        <v>184</v>
      </c>
      <c r="BP65" s="233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2" t="e">
        <f>INDEX('файл остатки'!$A$5:$CX$265,MATCH($H$1,'файл остатки'!$A$5:$A$228,0),MATCH($B65,'файл остатки'!$A$5:$CX$5,0))</f>
        <v>#N/A</v>
      </c>
      <c r="BR65" s="240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7"/>
      <c r="BT65" s="216" t="e">
        <f t="shared" si="2"/>
        <v>#N/A</v>
      </c>
      <c r="BU65" s="207" t="s">
        <v>184</v>
      </c>
      <c r="BV65" s="233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2" t="e">
        <f>INDEX('файл остатки'!$A$5:$CX$265,MATCH($H$1,'файл остатки'!$A$5:$A$228,0),MATCH($B65,'файл остатки'!$A$5:$CX$5,0))</f>
        <v>#N/A</v>
      </c>
      <c r="BX65" s="240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7"/>
      <c r="BZ65" s="216" t="e">
        <f t="shared" si="3"/>
        <v>#N/A</v>
      </c>
      <c r="CA65" s="207" t="s">
        <v>184</v>
      </c>
      <c r="CB65" s="233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2" t="e">
        <f>INDEX('файл остатки'!$A$5:$CX$265,MATCH($H$1,'файл остатки'!$A$5:$A$228,0),MATCH($B65,'файл остатки'!$A$5:$CX$5,0))</f>
        <v>#N/A</v>
      </c>
      <c r="CD65" s="240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7"/>
      <c r="CH65" s="216">
        <f t="shared" si="4"/>
        <v>-1934</v>
      </c>
      <c r="CI65" s="207" t="s">
        <v>184</v>
      </c>
      <c r="CJ65" s="216" t="e">
        <f t="shared" si="5"/>
        <v>#N/A</v>
      </c>
      <c r="CK65" s="207" t="s">
        <v>184</v>
      </c>
      <c r="CO65" s="222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89" t="s">
        <v>46</v>
      </c>
      <c r="B66" s="201" t="s">
        <v>95</v>
      </c>
      <c r="C66" s="243" t="e">
        <f>INDEX('файл остатки'!$A$5:$CX$265,MATCH($C$1,'файл остатки'!$A$5:$A$228,0),MATCH(B66,'файл остатки'!$A$5:$CX$5,0))</f>
        <v>#N/A</v>
      </c>
      <c r="D66" s="247"/>
      <c r="E66" s="216"/>
      <c r="F66" s="150">
        <f>-(E65+E66+E67+E68+E69+E70+E71+E72+E73+E74+E75+E76+E77)/'планирование суточное'!$K$88</f>
        <v>78.092307692307699</v>
      </c>
      <c r="G66" s="233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2" t="e">
        <f>INDEX('файл остатки'!$A$5:$CX$265,MATCH($H$1,'файл остатки'!$A$5:$A$228,0),MATCH($B66,'файл остатки'!$A$5:$CX$5,0))</f>
        <v>#N/A</v>
      </c>
      <c r="I66" s="240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7"/>
      <c r="K66" s="216"/>
      <c r="L66" s="150">
        <f>-(K65+K66+K67+K68+K69+K70+K71+K72+K73+K74+K75+K76+K77)/'планирование суточное'!$K$88</f>
        <v>0</v>
      </c>
      <c r="M66" s="233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2" t="e">
        <f>INDEX('файл остатки'!$A$5:$CX$265,MATCH($H$1,'файл остатки'!$A$5:$A$228,0),MATCH($B66,'файл остатки'!$A$5:$CX$5,0))</f>
        <v>#N/A</v>
      </c>
      <c r="O66" s="240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7"/>
      <c r="Q66" s="216"/>
      <c r="R66" s="150">
        <f>-(Q65+Q66+Q67+Q68+Q69+Q70+Q71+Q72+Q73+Q74+Q75+Q76+Q77)/'планирование суточное'!$K$88</f>
        <v>22.938461538461539</v>
      </c>
      <c r="S66" s="233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2" t="e">
        <f>INDEX('файл остатки'!$A$5:$CX$265,MATCH($H$1,'файл остатки'!$A$5:$A$228,0),MATCH($B66,'файл остатки'!$A$5:$CX$5,0))</f>
        <v>#N/A</v>
      </c>
      <c r="U66" s="240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7"/>
      <c r="W66" s="216">
        <v>-300</v>
      </c>
      <c r="X66" s="150">
        <f>-(W65+W66+W67+W68+W69+W70+W71+W72+W73+W74+W75+W76+W77)/'планирование суточное'!$K$88</f>
        <v>58.984615384615381</v>
      </c>
      <c r="Y66" s="233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2" t="e">
        <f>INDEX('файл остатки'!$A$5:$CX$265,MATCH($H$1,'файл остатки'!$A$5:$A$228,0),MATCH($B66,'файл остатки'!$A$5:$CX$5,0))</f>
        <v>#N/A</v>
      </c>
      <c r="AA66" s="240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7"/>
      <c r="AC66" s="216"/>
      <c r="AD66" s="150">
        <f>-(AC65+AC66+AC67+AC68+AC69+AC70+AC71+AC72+AC73+AC74+AC75+AC76+AC77)/'планирование суточное'!$K$88</f>
        <v>0</v>
      </c>
      <c r="AE66" s="233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2" t="e">
        <f>INDEX('файл остатки'!$A$5:$CX$265,MATCH($H$1,'файл остатки'!$A$5:$A$228,0),MATCH($B66,'файл остатки'!$A$5:$CX$5,0))</f>
        <v>#N/A</v>
      </c>
      <c r="AG66" s="240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7"/>
      <c r="AI66" s="216"/>
      <c r="AJ66" s="150">
        <f>-(AI65+AI66+AI67+AI68+AI69+AI70+AI71+AI72+AI73+AI74+AI75+AI76+AI77)/'планирование суточное'!$K$88</f>
        <v>58.46153846153846</v>
      </c>
      <c r="AK66" s="233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2" t="e">
        <f>INDEX('файл остатки'!$A$5:$CX$265,MATCH($H$1,'файл остатки'!$A$5:$A$228,0),MATCH($B66,'файл остатки'!$A$5:$CX$5,0))</f>
        <v>#N/A</v>
      </c>
      <c r="AM66" s="240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7"/>
      <c r="AO66" s="216"/>
      <c r="AP66" s="150">
        <f>-(AO65+AO66+AO67+AO68+AO69+AO70+AO71+AO72+AO73+AO74+AO75+AO76+AO77)/'планирование суточное'!$K$88</f>
        <v>0</v>
      </c>
      <c r="AQ66" s="233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2" t="e">
        <f>INDEX('файл остатки'!$A$5:$CX$265,MATCH($H$1,'файл остатки'!$A$5:$A$228,0),MATCH($B66,'файл остатки'!$A$5:$CX$5,0))</f>
        <v>#N/A</v>
      </c>
      <c r="AS66" s="240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7"/>
      <c r="AU66" s="216"/>
      <c r="AV66" s="150">
        <f>-(AU65+AU66+AU67+AU68+AU69+AU70+AU71+AU72+AU73+AU74+AU75+AU76+AU77)/'планирование суточное'!$K$88</f>
        <v>38.04615384615385</v>
      </c>
      <c r="AW66" s="233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2" t="e">
        <f>INDEX('файл остатки'!$A$5:$CX$265,MATCH($H$1,'файл остатки'!$A$5:$A$228,0),MATCH($B66,'файл остатки'!$A$5:$CX$5,0))</f>
        <v>#N/A</v>
      </c>
      <c r="AY66" s="240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7"/>
      <c r="BA66" s="216"/>
      <c r="BB66" s="150">
        <f>-(BA65+BA66+BA67+BA68+BA69+BA70+BA71+BA72+BA73+BA74+BA75+BA76+BA77)/'планирование суточное'!$K$88</f>
        <v>0</v>
      </c>
      <c r="BC66" s="233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2" t="e">
        <f>INDEX('файл остатки'!$A$5:$CX$265,MATCH($H$1,'файл остатки'!$A$5:$A$228,0),MATCH($B66,'файл остатки'!$A$5:$CX$5,0))</f>
        <v>#N/A</v>
      </c>
      <c r="BE66" s="240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7"/>
      <c r="BG66" s="216"/>
      <c r="BH66" s="150">
        <f>-(BG65+BG66+BG67+BG68+BG69+BG70+BG71+BG72+BG73+BG74+BG75+BG76+BG77)/'планирование суточное'!$K$88</f>
        <v>84.615384615384613</v>
      </c>
      <c r="BI66" s="233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2" t="e">
        <f>INDEX('файл остатки'!$A$5:$CX$265,MATCH($H$1,'файл остатки'!$A$5:$A$228,0),MATCH($B66,'файл остатки'!$A$5:$CX$5,0))</f>
        <v>#N/A</v>
      </c>
      <c r="BK66" s="212" t="e">
        <f t="shared" si="0"/>
        <v>#N/A</v>
      </c>
      <c r="BL66" s="240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7"/>
      <c r="BN66" s="216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3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2" t="e">
        <f>INDEX('файл остатки'!$A$5:$CX$265,MATCH($H$1,'файл остатки'!$A$5:$A$228,0),MATCH($B66,'файл остатки'!$A$5:$CX$5,0))</f>
        <v>#N/A</v>
      </c>
      <c r="BR66" s="240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7"/>
      <c r="BT66" s="216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3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2" t="e">
        <f>INDEX('файл остатки'!$A$5:$CX$265,MATCH($H$1,'файл остатки'!$A$5:$A$228,0),MATCH($B66,'файл остатки'!$A$5:$CX$5,0))</f>
        <v>#N/A</v>
      </c>
      <c r="BX66" s="240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7"/>
      <c r="BZ66" s="216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3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2" t="e">
        <f>INDEX('файл остатки'!$A$5:$CX$265,MATCH($H$1,'файл остатки'!$A$5:$A$228,0),MATCH($B66,'файл остатки'!$A$5:$CX$5,0))</f>
        <v>#N/A</v>
      </c>
      <c r="CD66" s="240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7"/>
      <c r="CH66" s="216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6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2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89" t="s">
        <v>46</v>
      </c>
      <c r="B67" s="201" t="s">
        <v>94</v>
      </c>
      <c r="C67" s="243" t="e">
        <f>INDEX('файл остатки'!$A$5:$CX$265,MATCH($C$1,'файл остатки'!$A$5:$A$228,0),MATCH(B67,'файл остатки'!$A$5:$CX$5,0))</f>
        <v>#N/A</v>
      </c>
      <c r="D67" s="247"/>
      <c r="E67" s="216"/>
      <c r="F67" s="207"/>
      <c r="G67" s="233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2" t="e">
        <f>INDEX('файл остатки'!$A$5:$CX$265,MATCH($H$1,'файл остатки'!$A$5:$A$228,0),MATCH($B67,'файл остатки'!$A$5:$CX$5,0))</f>
        <v>#N/A</v>
      </c>
      <c r="I67" s="240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7"/>
      <c r="K67" s="216"/>
      <c r="L67" s="207"/>
      <c r="M67" s="233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2" t="e">
        <f>INDEX('файл остатки'!$A$5:$CX$265,MATCH($H$1,'файл остатки'!$A$5:$A$228,0),MATCH($B67,'файл остатки'!$A$5:$CX$5,0))</f>
        <v>#N/A</v>
      </c>
      <c r="O67" s="240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7"/>
      <c r="Q67" s="216"/>
      <c r="R67" s="207"/>
      <c r="S67" s="233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2" t="e">
        <f>INDEX('файл остатки'!$A$5:$CX$265,MATCH($H$1,'файл остатки'!$A$5:$A$228,0),MATCH($B67,'файл остатки'!$A$5:$CX$5,0))</f>
        <v>#N/A</v>
      </c>
      <c r="U67" s="240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7"/>
      <c r="W67" s="216">
        <v>-400</v>
      </c>
      <c r="X67" s="207"/>
      <c r="Y67" s="233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2" t="e">
        <f>INDEX('файл остатки'!$A$5:$CX$265,MATCH($H$1,'файл остатки'!$A$5:$A$228,0),MATCH($B67,'файл остатки'!$A$5:$CX$5,0))</f>
        <v>#N/A</v>
      </c>
      <c r="AA67" s="240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7"/>
      <c r="AC67" s="216"/>
      <c r="AD67" s="207"/>
      <c r="AE67" s="233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2" t="e">
        <f>INDEX('файл остатки'!$A$5:$CX$265,MATCH($H$1,'файл остатки'!$A$5:$A$228,0),MATCH($B67,'файл остатки'!$A$5:$CX$5,0))</f>
        <v>#N/A</v>
      </c>
      <c r="AG67" s="240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7"/>
      <c r="AI67" s="216"/>
      <c r="AJ67" s="207"/>
      <c r="AK67" s="233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2" t="e">
        <f>INDEX('файл остатки'!$A$5:$CX$265,MATCH($H$1,'файл остатки'!$A$5:$A$228,0),MATCH($B67,'файл остатки'!$A$5:$CX$5,0))</f>
        <v>#N/A</v>
      </c>
      <c r="AM67" s="240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7"/>
      <c r="AO67" s="216"/>
      <c r="AP67" s="207"/>
      <c r="AQ67" s="233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2" t="e">
        <f>INDEX('файл остатки'!$A$5:$CX$265,MATCH($H$1,'файл остатки'!$A$5:$A$228,0),MATCH($B67,'файл остатки'!$A$5:$CX$5,0))</f>
        <v>#N/A</v>
      </c>
      <c r="AS67" s="240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7"/>
      <c r="AU67" s="216"/>
      <c r="AV67" s="207"/>
      <c r="AW67" s="233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2" t="e">
        <f>INDEX('файл остатки'!$A$5:$CX$265,MATCH($H$1,'файл остатки'!$A$5:$A$228,0),MATCH($B67,'файл остатки'!$A$5:$CX$5,0))</f>
        <v>#N/A</v>
      </c>
      <c r="AY67" s="240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7"/>
      <c r="BA67" s="216"/>
      <c r="BB67" s="207"/>
      <c r="BC67" s="233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2" t="e">
        <f>INDEX('файл остатки'!$A$5:$CX$265,MATCH($H$1,'файл остатки'!$A$5:$A$228,0),MATCH($B67,'файл остатки'!$A$5:$CX$5,0))</f>
        <v>#N/A</v>
      </c>
      <c r="BE67" s="240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7"/>
      <c r="BG67" s="216"/>
      <c r="BH67" s="207"/>
      <c r="BI67" s="233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2" t="e">
        <f>INDEX('файл остатки'!$A$5:$CX$265,MATCH($H$1,'файл остатки'!$A$5:$A$228,0),MATCH($B67,'файл остатки'!$A$5:$CX$5,0))</f>
        <v>#N/A</v>
      </c>
      <c r="BK67" s="212" t="e">
        <f t="shared" si="0"/>
        <v>#N/A</v>
      </c>
      <c r="BL67" s="240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7"/>
      <c r="BN67" s="216" t="e">
        <f t="shared" si="1"/>
        <v>#N/A</v>
      </c>
      <c r="BO67" s="207"/>
      <c r="BP67" s="233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2" t="e">
        <f>INDEX('файл остатки'!$A$5:$CX$265,MATCH($H$1,'файл остатки'!$A$5:$A$228,0),MATCH($B67,'файл остатки'!$A$5:$CX$5,0))</f>
        <v>#N/A</v>
      </c>
      <c r="BR67" s="240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7"/>
      <c r="BT67" s="216" t="e">
        <f t="shared" si="2"/>
        <v>#N/A</v>
      </c>
      <c r="BU67" s="207"/>
      <c r="BV67" s="233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2" t="e">
        <f>INDEX('файл остатки'!$A$5:$CX$265,MATCH($H$1,'файл остатки'!$A$5:$A$228,0),MATCH($B67,'файл остатки'!$A$5:$CX$5,0))</f>
        <v>#N/A</v>
      </c>
      <c r="BX67" s="240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7"/>
      <c r="BZ67" s="216" t="e">
        <f t="shared" si="3"/>
        <v>#N/A</v>
      </c>
      <c r="CA67" s="207"/>
      <c r="CB67" s="233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2" t="e">
        <f>INDEX('файл остатки'!$A$5:$CX$265,MATCH($H$1,'файл остатки'!$A$5:$A$228,0),MATCH($B67,'файл остатки'!$A$5:$CX$5,0))</f>
        <v>#N/A</v>
      </c>
      <c r="CD67" s="240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7"/>
      <c r="CH67" s="216">
        <f t="shared" si="4"/>
        <v>-400</v>
      </c>
      <c r="CI67" s="207"/>
      <c r="CJ67" s="216" t="e">
        <f t="shared" si="5"/>
        <v>#N/A</v>
      </c>
      <c r="CK67" s="207"/>
      <c r="CO67" s="222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89" t="s">
        <v>46</v>
      </c>
      <c r="B68" s="201" t="s">
        <v>33</v>
      </c>
      <c r="C68" s="243" t="e">
        <f>INDEX('файл остатки'!$A$5:$CX$265,MATCH($C$1,'файл остатки'!$A$5:$A$228,0),MATCH(B68,'файл остатки'!$A$5:$CX$5,0))</f>
        <v>#N/A</v>
      </c>
      <c r="D68" s="247"/>
      <c r="E68" s="216">
        <v>-2500</v>
      </c>
      <c r="F68" s="207"/>
      <c r="G68" s="233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2" t="e">
        <f>INDEX('файл остатки'!$A$5:$CX$265,MATCH($H$1,'файл остатки'!$A$5:$A$228,0),MATCH($B68,'файл остатки'!$A$5:$CX$5,0))</f>
        <v>#N/A</v>
      </c>
      <c r="I68" s="240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7"/>
      <c r="K68" s="216"/>
      <c r="L68" s="207"/>
      <c r="M68" s="233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2" t="e">
        <f>INDEX('файл остатки'!$A$5:$CX$265,MATCH($H$1,'файл остатки'!$A$5:$A$228,0),MATCH($B68,'файл остатки'!$A$5:$CX$5,0))</f>
        <v>#N/A</v>
      </c>
      <c r="O68" s="240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7"/>
      <c r="Q68" s="216">
        <v>-651</v>
      </c>
      <c r="R68" s="207"/>
      <c r="S68" s="233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2" t="e">
        <f>INDEX('файл остатки'!$A$5:$CX$265,MATCH($H$1,'файл остатки'!$A$5:$A$228,0),MATCH($B68,'файл остатки'!$A$5:$CX$5,0))</f>
        <v>#N/A</v>
      </c>
      <c r="U68" s="240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7"/>
      <c r="W68" s="216">
        <v>-2000</v>
      </c>
      <c r="X68" s="207"/>
      <c r="Y68" s="233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2" t="e">
        <f>INDEX('файл остатки'!$A$5:$CX$265,MATCH($H$1,'файл остатки'!$A$5:$A$228,0),MATCH($B68,'файл остатки'!$A$5:$CX$5,0))</f>
        <v>#N/A</v>
      </c>
      <c r="AA68" s="240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7"/>
      <c r="AC68" s="216"/>
      <c r="AD68" s="207"/>
      <c r="AE68" s="233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2" t="e">
        <f>INDEX('файл остатки'!$A$5:$CX$265,MATCH($H$1,'файл остатки'!$A$5:$A$228,0),MATCH($B68,'файл остатки'!$A$5:$CX$5,0))</f>
        <v>#N/A</v>
      </c>
      <c r="AG68" s="240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7"/>
      <c r="AI68" s="216">
        <v>-1000</v>
      </c>
      <c r="AJ68" s="207"/>
      <c r="AK68" s="233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2" t="e">
        <f>INDEX('файл остатки'!$A$5:$CX$265,MATCH($H$1,'файл остатки'!$A$5:$A$228,0),MATCH($B68,'файл остатки'!$A$5:$CX$5,0))</f>
        <v>#N/A</v>
      </c>
      <c r="AM68" s="240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7"/>
      <c r="AO68" s="216"/>
      <c r="AP68" s="207"/>
      <c r="AQ68" s="233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2" t="e">
        <f>INDEX('файл остатки'!$A$5:$CX$265,MATCH($H$1,'файл остатки'!$A$5:$A$228,0),MATCH($B68,'файл остатки'!$A$5:$CX$5,0))</f>
        <v>#N/A</v>
      </c>
      <c r="AS68" s="240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7"/>
      <c r="AU68" s="216">
        <v>-1300</v>
      </c>
      <c r="AV68" s="207"/>
      <c r="AW68" s="233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2" t="e">
        <f>INDEX('файл остатки'!$A$5:$CX$265,MATCH($H$1,'файл остатки'!$A$5:$A$228,0),MATCH($B68,'файл остатки'!$A$5:$CX$5,0))</f>
        <v>#N/A</v>
      </c>
      <c r="AY68" s="240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7"/>
      <c r="BA68" s="216"/>
      <c r="BB68" s="207"/>
      <c r="BC68" s="233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2" t="e">
        <f>INDEX('файл остатки'!$A$5:$CX$265,MATCH($H$1,'файл остатки'!$A$5:$A$228,0),MATCH($B68,'файл остатки'!$A$5:$CX$5,0))</f>
        <v>#N/A</v>
      </c>
      <c r="BE68" s="240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7"/>
      <c r="BG68" s="216">
        <v>-2000</v>
      </c>
      <c r="BH68" s="207"/>
      <c r="BI68" s="233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2" t="e">
        <f>INDEX('файл остатки'!$A$5:$CX$265,MATCH($H$1,'файл остатки'!$A$5:$A$228,0),MATCH($B68,'файл остатки'!$A$5:$CX$5,0))</f>
        <v>#N/A</v>
      </c>
      <c r="BK68" s="212" t="e">
        <f t="shared" si="0"/>
        <v>#N/A</v>
      </c>
      <c r="BL68" s="240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7"/>
      <c r="BN68" s="216" t="e">
        <f t="shared" si="1"/>
        <v>#N/A</v>
      </c>
      <c r="BO68" s="207"/>
      <c r="BP68" s="233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2" t="e">
        <f>INDEX('файл остатки'!$A$5:$CX$265,MATCH($H$1,'файл остатки'!$A$5:$A$228,0),MATCH($B68,'файл остатки'!$A$5:$CX$5,0))</f>
        <v>#N/A</v>
      </c>
      <c r="BR68" s="240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7"/>
      <c r="BT68" s="216" t="e">
        <f t="shared" si="2"/>
        <v>#N/A</v>
      </c>
      <c r="BU68" s="207"/>
      <c r="BV68" s="233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2" t="e">
        <f>INDEX('файл остатки'!$A$5:$CX$265,MATCH($H$1,'файл остатки'!$A$5:$A$228,0),MATCH($B68,'файл остатки'!$A$5:$CX$5,0))</f>
        <v>#N/A</v>
      </c>
      <c r="BX68" s="240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7"/>
      <c r="BZ68" s="216" t="e">
        <f t="shared" si="3"/>
        <v>#N/A</v>
      </c>
      <c r="CA68" s="207"/>
      <c r="CB68" s="233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2" t="e">
        <f>INDEX('файл остатки'!$A$5:$CX$265,MATCH($H$1,'файл остатки'!$A$5:$A$228,0),MATCH($B68,'файл остатки'!$A$5:$CX$5,0))</f>
        <v>#N/A</v>
      </c>
      <c r="CD68" s="240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7"/>
      <c r="CH68" s="216">
        <f t="shared" si="4"/>
        <v>-9451</v>
      </c>
      <c r="CI68" s="207"/>
      <c r="CJ68" s="216" t="e">
        <f t="shared" si="5"/>
        <v>#N/A</v>
      </c>
      <c r="CK68" s="207"/>
      <c r="CO68" s="222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89" t="s">
        <v>88</v>
      </c>
      <c r="B69" s="201" t="s">
        <v>140</v>
      </c>
      <c r="C69" s="243" t="e">
        <f>INDEX('файл остатки'!$A$5:$CX$265,MATCH($C$1,'файл остатки'!$A$5:$A$228,0),MATCH(B69,'файл остатки'!$A$5:$CX$5,0))</f>
        <v>#N/A</v>
      </c>
      <c r="D69" s="247"/>
      <c r="E69" s="216"/>
      <c r="F69" s="207"/>
      <c r="G69" s="233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2" t="e">
        <f>INDEX('файл остатки'!$A$5:$CX$265,MATCH($H$1,'файл остатки'!$A$5:$A$228,0),MATCH($B69,'файл остатки'!$A$5:$CX$5,0))</f>
        <v>#N/A</v>
      </c>
      <c r="I69" s="240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7"/>
      <c r="K69" s="216"/>
      <c r="L69" s="207"/>
      <c r="M69" s="233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2" t="e">
        <f>INDEX('файл остатки'!$A$5:$CX$265,MATCH($H$1,'файл остатки'!$A$5:$A$228,0),MATCH($B69,'файл остатки'!$A$5:$CX$5,0))</f>
        <v>#N/A</v>
      </c>
      <c r="O69" s="240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7"/>
      <c r="Q69" s="216"/>
      <c r="R69" s="207"/>
      <c r="S69" s="233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2" t="e">
        <f>INDEX('файл остатки'!$A$5:$CX$265,MATCH($H$1,'файл остатки'!$A$5:$A$228,0),MATCH($B69,'файл остатки'!$A$5:$CX$5,0))</f>
        <v>#N/A</v>
      </c>
      <c r="U69" s="240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7"/>
      <c r="W69" s="216"/>
      <c r="X69" s="207"/>
      <c r="Y69" s="233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2" t="e">
        <f>INDEX('файл остатки'!$A$5:$CX$265,MATCH($H$1,'файл остатки'!$A$5:$A$228,0),MATCH($B69,'файл остатки'!$A$5:$CX$5,0))</f>
        <v>#N/A</v>
      </c>
      <c r="AA69" s="240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7"/>
      <c r="AC69" s="216"/>
      <c r="AD69" s="207"/>
      <c r="AE69" s="233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2" t="e">
        <f>INDEX('файл остатки'!$A$5:$CX$265,MATCH($H$1,'файл остатки'!$A$5:$A$228,0),MATCH($B69,'файл остатки'!$A$5:$CX$5,0))</f>
        <v>#N/A</v>
      </c>
      <c r="AG69" s="240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7"/>
      <c r="AI69" s="216"/>
      <c r="AJ69" s="207"/>
      <c r="AK69" s="233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2" t="e">
        <f>INDEX('файл остатки'!$A$5:$CX$265,MATCH($H$1,'файл остатки'!$A$5:$A$228,0),MATCH($B69,'файл остатки'!$A$5:$CX$5,0))</f>
        <v>#N/A</v>
      </c>
      <c r="AM69" s="240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7"/>
      <c r="AO69" s="216"/>
      <c r="AP69" s="207"/>
      <c r="AQ69" s="233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2" t="e">
        <f>INDEX('файл остатки'!$A$5:$CX$265,MATCH($H$1,'файл остатки'!$A$5:$A$228,0),MATCH($B69,'файл остатки'!$A$5:$CX$5,0))</f>
        <v>#N/A</v>
      </c>
      <c r="AS69" s="240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7"/>
      <c r="AU69" s="216"/>
      <c r="AV69" s="207"/>
      <c r="AW69" s="233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2" t="e">
        <f>INDEX('файл остатки'!$A$5:$CX$265,MATCH($H$1,'файл остатки'!$A$5:$A$228,0),MATCH($B69,'файл остатки'!$A$5:$CX$5,0))</f>
        <v>#N/A</v>
      </c>
      <c r="AY69" s="240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7"/>
      <c r="BA69" s="216"/>
      <c r="BB69" s="207"/>
      <c r="BC69" s="233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2" t="e">
        <f>INDEX('файл остатки'!$A$5:$CX$265,MATCH($H$1,'файл остатки'!$A$5:$A$228,0),MATCH($B69,'файл остатки'!$A$5:$CX$5,0))</f>
        <v>#N/A</v>
      </c>
      <c r="BE69" s="240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7"/>
      <c r="BG69" s="216"/>
      <c r="BH69" s="207"/>
      <c r="BI69" s="233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2" t="e">
        <f>INDEX('файл остатки'!$A$5:$CX$265,MATCH($H$1,'файл остатки'!$A$5:$A$228,0),MATCH($B69,'файл остатки'!$A$5:$CX$5,0))</f>
        <v>#N/A</v>
      </c>
      <c r="BK69" s="212" t="e">
        <f t="shared" si="0"/>
        <v>#N/A</v>
      </c>
      <c r="BL69" s="240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7"/>
      <c r="BN69" s="216" t="e">
        <f t="shared" si="1"/>
        <v>#N/A</v>
      </c>
      <c r="BO69" s="207"/>
      <c r="BP69" s="233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2" t="e">
        <f>INDEX('файл остатки'!$A$5:$CX$265,MATCH($H$1,'файл остатки'!$A$5:$A$228,0),MATCH($B69,'файл остатки'!$A$5:$CX$5,0))</f>
        <v>#N/A</v>
      </c>
      <c r="BR69" s="240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7"/>
      <c r="BT69" s="216" t="e">
        <f t="shared" si="2"/>
        <v>#N/A</v>
      </c>
      <c r="BU69" s="207"/>
      <c r="BV69" s="233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2" t="e">
        <f>INDEX('файл остатки'!$A$5:$CX$265,MATCH($H$1,'файл остатки'!$A$5:$A$228,0),MATCH($B69,'файл остатки'!$A$5:$CX$5,0))</f>
        <v>#N/A</v>
      </c>
      <c r="BX69" s="240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7"/>
      <c r="BZ69" s="216" t="e">
        <f t="shared" si="3"/>
        <v>#N/A</v>
      </c>
      <c r="CA69" s="207"/>
      <c r="CB69" s="233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2" t="e">
        <f>INDEX('файл остатки'!$A$5:$CX$265,MATCH($H$1,'файл остатки'!$A$5:$A$228,0),MATCH($B69,'файл остатки'!$A$5:$CX$5,0))</f>
        <v>#N/A</v>
      </c>
      <c r="CD69" s="240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7"/>
      <c r="CH69" s="216">
        <f t="shared" si="4"/>
        <v>0</v>
      </c>
      <c r="CI69" s="207"/>
      <c r="CJ69" s="216" t="e">
        <f t="shared" si="5"/>
        <v>#N/A</v>
      </c>
      <c r="CK69" s="207"/>
      <c r="CO69" s="222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89" t="s">
        <v>19</v>
      </c>
      <c r="B70" s="201" t="s">
        <v>87</v>
      </c>
      <c r="C70" s="243">
        <f>INDEX('файл остатки'!$A$5:$CX$265,MATCH($C$1,'файл остатки'!$A$5:$A$228,0),MATCH(B70,'файл остатки'!$A$5:$CX$5,0))</f>
        <v>2.96</v>
      </c>
      <c r="D70" s="247"/>
      <c r="E70" s="216">
        <v>-300</v>
      </c>
      <c r="F70" s="207"/>
      <c r="G70" s="233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2">
        <f>INDEX('файл остатки'!$A$5:$CX$265,MATCH($H$1,'файл остатки'!$A$5:$A$228,0),MATCH($B70,'файл остатки'!$A$5:$CX$5,0))</f>
        <v>165.79523809523809</v>
      </c>
      <c r="I70" s="240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7"/>
      <c r="K70" s="216"/>
      <c r="L70" s="207"/>
      <c r="M70" s="233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2">
        <f>INDEX('файл остатки'!$A$5:$CX$265,MATCH($H$1,'файл остатки'!$A$5:$A$228,0),MATCH($B70,'файл остатки'!$A$5:$CX$5,0))</f>
        <v>165.79523809523809</v>
      </c>
      <c r="O70" s="240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7">
        <v>9</v>
      </c>
      <c r="Q70" s="216"/>
      <c r="R70" s="207"/>
      <c r="S70" s="233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2">
        <f>INDEX('файл остатки'!$A$5:$CX$265,MATCH($H$1,'файл остатки'!$A$5:$A$228,0),MATCH($B70,'файл остатки'!$A$5:$CX$5,0))</f>
        <v>165.79523809523809</v>
      </c>
      <c r="U70" s="240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7"/>
      <c r="W70" s="216">
        <v>-100</v>
      </c>
      <c r="X70" s="207"/>
      <c r="Y70" s="233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2">
        <f>INDEX('файл остатки'!$A$5:$CX$265,MATCH($H$1,'файл остатки'!$A$5:$A$228,0),MATCH($B70,'файл остатки'!$A$5:$CX$5,0))</f>
        <v>165.79523809523809</v>
      </c>
      <c r="AA70" s="240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7"/>
      <c r="AC70" s="216"/>
      <c r="AD70" s="207"/>
      <c r="AE70" s="233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2">
        <f>INDEX('файл остатки'!$A$5:$CX$265,MATCH($H$1,'файл остатки'!$A$5:$A$228,0),MATCH($B70,'файл остатки'!$A$5:$CX$5,0))</f>
        <v>165.79523809523809</v>
      </c>
      <c r="AG70" s="240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7"/>
      <c r="AI70" s="216">
        <v>-200</v>
      </c>
      <c r="AJ70" s="207"/>
      <c r="AK70" s="233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2">
        <f>INDEX('файл остатки'!$A$5:$CX$265,MATCH($H$1,'файл остатки'!$A$5:$A$228,0),MATCH($B70,'файл остатки'!$A$5:$CX$5,0))</f>
        <v>165.79523809523809</v>
      </c>
      <c r="AM70" s="240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7"/>
      <c r="AO70" s="216"/>
      <c r="AP70" s="207"/>
      <c r="AQ70" s="233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2">
        <f>INDEX('файл остатки'!$A$5:$CX$265,MATCH($H$1,'файл остатки'!$A$5:$A$228,0),MATCH($B70,'файл остатки'!$A$5:$CX$5,0))</f>
        <v>165.79523809523809</v>
      </c>
      <c r="AS70" s="240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7"/>
      <c r="AU70" s="216">
        <v>-110</v>
      </c>
      <c r="AV70" s="207"/>
      <c r="AW70" s="233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2">
        <f>INDEX('файл остатки'!$A$5:$CX$265,MATCH($H$1,'файл остатки'!$A$5:$A$228,0),MATCH($B70,'файл остатки'!$A$5:$CX$5,0))</f>
        <v>165.79523809523809</v>
      </c>
      <c r="AY70" s="240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7"/>
      <c r="BA70" s="216"/>
      <c r="BB70" s="207"/>
      <c r="BC70" s="233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2">
        <f>INDEX('файл остатки'!$A$5:$CX$265,MATCH($H$1,'файл остатки'!$A$5:$A$228,0),MATCH($B70,'файл остатки'!$A$5:$CX$5,0))</f>
        <v>165.79523809523809</v>
      </c>
      <c r="BE70" s="240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7"/>
      <c r="BG70" s="216">
        <v>-200</v>
      </c>
      <c r="BH70" s="207"/>
      <c r="BI70" s="233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2">
        <f>INDEX('файл остатки'!$A$5:$CX$265,MATCH($H$1,'файл остатки'!$A$5:$A$228,0),MATCH($B70,'файл остатки'!$A$5:$CX$5,0))</f>
        <v>165.79523809523809</v>
      </c>
      <c r="BK70" s="212" t="e">
        <f t="shared" si="0"/>
        <v>#N/A</v>
      </c>
      <c r="BL70" s="240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7"/>
      <c r="BN70" s="216">
        <f t="shared" si="1"/>
        <v>-331.75124999999997</v>
      </c>
      <c r="BO70" s="207"/>
      <c r="BP70" s="233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331.75124999999997</v>
      </c>
      <c r="BQ70" s="212">
        <f>INDEX('файл остатки'!$A$5:$CX$265,MATCH($H$1,'файл остатки'!$A$5:$A$228,0),MATCH($B70,'файл остатки'!$A$5:$CX$5,0))</f>
        <v>165.79523809523809</v>
      </c>
      <c r="BR70" s="240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7"/>
      <c r="BT70" s="216">
        <f t="shared" si="2"/>
        <v>-331.75124999999997</v>
      </c>
      <c r="BU70" s="207"/>
      <c r="BV70" s="233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2">
        <f>INDEX('файл остатки'!$A$5:$CX$265,MATCH($H$1,'файл остатки'!$A$5:$A$228,0),MATCH($B70,'файл остатки'!$A$5:$CX$5,0))</f>
        <v>165.79523809523809</v>
      </c>
      <c r="BX70" s="240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7"/>
      <c r="BZ70" s="216">
        <f t="shared" si="3"/>
        <v>-331.75124999999997</v>
      </c>
      <c r="CA70" s="207"/>
      <c r="CB70" s="233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2">
        <f>INDEX('файл остатки'!$A$5:$CX$265,MATCH($H$1,'файл остатки'!$A$5:$A$228,0),MATCH($B70,'файл остатки'!$A$5:$CX$5,0))</f>
        <v>165.79523809523809</v>
      </c>
      <c r="CD70" s="240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7"/>
      <c r="CH70" s="216">
        <f t="shared" si="4"/>
        <v>-910</v>
      </c>
      <c r="CI70" s="207"/>
      <c r="CJ70" s="216" t="e">
        <f t="shared" si="5"/>
        <v>#N/A</v>
      </c>
      <c r="CK70" s="207"/>
      <c r="CO70" s="222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89" t="s">
        <v>46</v>
      </c>
      <c r="B71" s="201" t="s">
        <v>124</v>
      </c>
      <c r="C71" s="243">
        <f>INDEX('файл остатки'!$A$5:$CX$265,MATCH($C$1,'файл остатки'!$A$5:$A$228,0),MATCH(B71,'файл остатки'!$A$5:$CX$5,0))</f>
        <v>387</v>
      </c>
      <c r="D71" s="247"/>
      <c r="E71" s="216">
        <v>-900</v>
      </c>
      <c r="F71" s="207"/>
      <c r="G71" s="233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2">
        <f>INDEX('файл остатки'!$A$5:$CX$265,MATCH($H$1,'файл остатки'!$A$5:$A$228,0),MATCH($B71,'файл остатки'!$A$5:$CX$5,0))</f>
        <v>777.31076190476199</v>
      </c>
      <c r="I71" s="240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7"/>
      <c r="K71" s="216"/>
      <c r="L71" s="207"/>
      <c r="M71" s="233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2">
        <f>INDEX('файл остатки'!$A$5:$CX$265,MATCH($H$1,'файл остатки'!$A$5:$A$228,0),MATCH($B71,'файл остатки'!$A$5:$CX$5,0))</f>
        <v>777.31076190476199</v>
      </c>
      <c r="O71" s="240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7"/>
      <c r="Q71" s="216"/>
      <c r="R71" s="207"/>
      <c r="S71" s="233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2">
        <f>INDEX('файл остатки'!$A$5:$CX$265,MATCH($H$1,'файл остатки'!$A$5:$A$228,0),MATCH($B71,'файл остатки'!$A$5:$CX$5,0))</f>
        <v>777.31076190476199</v>
      </c>
      <c r="U71" s="240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7"/>
      <c r="W71" s="216">
        <v>-500</v>
      </c>
      <c r="X71" s="207"/>
      <c r="Y71" s="233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2">
        <f>INDEX('файл остатки'!$A$5:$CX$265,MATCH($H$1,'файл остатки'!$A$5:$A$228,0),MATCH($B71,'файл остатки'!$A$5:$CX$5,0))</f>
        <v>777.31076190476199</v>
      </c>
      <c r="AA71" s="240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7"/>
      <c r="AC71" s="216"/>
      <c r="AD71" s="207"/>
      <c r="AE71" s="233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2">
        <f>INDEX('файл остатки'!$A$5:$CX$265,MATCH($H$1,'файл остатки'!$A$5:$A$228,0),MATCH($B71,'файл остатки'!$A$5:$CX$5,0))</f>
        <v>777.31076190476199</v>
      </c>
      <c r="AG71" s="240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7"/>
      <c r="AI71" s="216">
        <v>-1500</v>
      </c>
      <c r="AJ71" s="207"/>
      <c r="AK71" s="233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2">
        <f>INDEX('файл остатки'!$A$5:$CX$265,MATCH($H$1,'файл остатки'!$A$5:$A$228,0),MATCH($B71,'файл остатки'!$A$5:$CX$5,0))</f>
        <v>777.31076190476199</v>
      </c>
      <c r="AM71" s="240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7"/>
      <c r="AO71" s="216"/>
      <c r="AP71" s="207"/>
      <c r="AQ71" s="233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2">
        <f>INDEX('файл остатки'!$A$5:$CX$265,MATCH($H$1,'файл остатки'!$A$5:$A$228,0),MATCH($B71,'файл остатки'!$A$5:$CX$5,0))</f>
        <v>777.31076190476199</v>
      </c>
      <c r="AS71" s="240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7"/>
      <c r="AU71" s="216">
        <v>-100</v>
      </c>
      <c r="AV71" s="207"/>
      <c r="AW71" s="233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2">
        <f>INDEX('файл остатки'!$A$5:$CX$265,MATCH($H$1,'файл остатки'!$A$5:$A$228,0),MATCH($B71,'файл остатки'!$A$5:$CX$5,0))</f>
        <v>777.31076190476199</v>
      </c>
      <c r="AY71" s="240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7"/>
      <c r="BA71" s="216"/>
      <c r="BB71" s="207"/>
      <c r="BC71" s="233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2">
        <f>INDEX('файл остатки'!$A$5:$CX$265,MATCH($H$1,'файл остатки'!$A$5:$A$228,0),MATCH($B71,'файл остатки'!$A$5:$CX$5,0))</f>
        <v>777.31076190476199</v>
      </c>
      <c r="BE71" s="240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7"/>
      <c r="BG71" s="216">
        <v>-1000</v>
      </c>
      <c r="BH71" s="207"/>
      <c r="BI71" s="233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2">
        <f>INDEX('файл остатки'!$A$5:$CX$265,MATCH($H$1,'файл остатки'!$A$5:$A$228,0),MATCH($B71,'файл остатки'!$A$5:$CX$5,0))</f>
        <v>777.31076190476199</v>
      </c>
      <c r="BK71" s="212" t="e">
        <f t="shared" ref="BK71:BK121" si="6">((-CJ71/10+BP71/7+BV71/7+CB71/7)/4)*CO71</f>
        <v>#N/A</v>
      </c>
      <c r="BL71" s="240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7"/>
      <c r="BN71" s="216">
        <f t="shared" ref="BN71:BN121" si="7">-BP71</f>
        <v>-2746.3450000000003</v>
      </c>
      <c r="BO71" s="207"/>
      <c r="BP71" s="233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2746.3450000000003</v>
      </c>
      <c r="BQ71" s="212">
        <f>INDEX('файл остатки'!$A$5:$CX$265,MATCH($H$1,'файл остатки'!$A$5:$A$228,0),MATCH($B71,'файл остатки'!$A$5:$CX$5,0))</f>
        <v>777.31076190476199</v>
      </c>
      <c r="BR71" s="240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7"/>
      <c r="BT71" s="216">
        <f t="shared" ref="BT71:BT121" si="8">-BV71</f>
        <v>-2746.3450000000003</v>
      </c>
      <c r="BU71" s="207"/>
      <c r="BV71" s="233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2">
        <f>INDEX('файл остатки'!$A$5:$CX$265,MATCH($H$1,'файл остатки'!$A$5:$A$228,0),MATCH($B71,'файл остатки'!$A$5:$CX$5,0))</f>
        <v>777.31076190476199</v>
      </c>
      <c r="BX71" s="240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7"/>
      <c r="BZ71" s="216">
        <f t="shared" ref="BZ71:BZ121" si="9">-CB71</f>
        <v>-2746.3450000000003</v>
      </c>
      <c r="CA71" s="207"/>
      <c r="CB71" s="233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2">
        <f>INDEX('файл остатки'!$A$5:$CX$265,MATCH($H$1,'файл остатки'!$A$5:$A$228,0),MATCH($B71,'файл остатки'!$A$5:$CX$5,0))</f>
        <v>777.31076190476199</v>
      </c>
      <c r="CD71" s="240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7"/>
      <c r="CH71" s="216">
        <f t="shared" ref="CH71:CH121" si="10">E71+K71+Q71+W71+AC71+AI71+AO71+AU71+BA71+BG71</f>
        <v>-4000</v>
      </c>
      <c r="CI71" s="207"/>
      <c r="CJ71" s="216" t="e">
        <f t="shared" ref="CJ71:CJ122" si="11">-(G71+M71+S71+Y71+AE71+AK71+AQ71+AW71+BC71+BI71)</f>
        <v>#N/A</v>
      </c>
      <c r="CK71" s="207"/>
      <c r="CO71" s="222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89" t="s">
        <v>46</v>
      </c>
      <c r="B72" s="201" t="s">
        <v>131</v>
      </c>
      <c r="C72" s="243">
        <f>INDEX('файл остатки'!$A$5:$CX$265,MATCH($C$1,'файл остатки'!$A$5:$A$228,0),MATCH(B72,'файл остатки'!$A$5:$CX$5,0))</f>
        <v>15</v>
      </c>
      <c r="D72" s="247"/>
      <c r="E72" s="216">
        <v>-115</v>
      </c>
      <c r="F72" s="207"/>
      <c r="G72" s="233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2">
        <f>INDEX('файл остатки'!$A$5:$CX$265,MATCH($H$1,'файл остатки'!$A$5:$A$228,0),MATCH($B72,'файл остатки'!$A$5:$CX$5,0))</f>
        <v>55.08790476190476</v>
      </c>
      <c r="I72" s="240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7"/>
      <c r="K72" s="216"/>
      <c r="L72" s="207"/>
      <c r="M72" s="233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2">
        <f>INDEX('файл остатки'!$A$5:$CX$265,MATCH($H$1,'файл остатки'!$A$5:$A$228,0),MATCH($B72,'файл остатки'!$A$5:$CX$5,0))</f>
        <v>55.08790476190476</v>
      </c>
      <c r="O72" s="240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7"/>
      <c r="Q72" s="216">
        <v>-63</v>
      </c>
      <c r="R72" s="207"/>
      <c r="S72" s="233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2">
        <f>INDEX('файл остатки'!$A$5:$CX$265,MATCH($H$1,'файл остатки'!$A$5:$A$228,0),MATCH($B72,'файл остатки'!$A$5:$CX$5,0))</f>
        <v>55.08790476190476</v>
      </c>
      <c r="U72" s="240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7"/>
      <c r="W72" s="216"/>
      <c r="X72" s="207"/>
      <c r="Y72" s="233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2">
        <f>INDEX('файл остатки'!$A$5:$CX$265,MATCH($H$1,'файл остатки'!$A$5:$A$228,0),MATCH($B72,'файл остатки'!$A$5:$CX$5,0))</f>
        <v>55.08790476190476</v>
      </c>
      <c r="AA72" s="240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7"/>
      <c r="AC72" s="216"/>
      <c r="AD72" s="207"/>
      <c r="AE72" s="233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2">
        <f>INDEX('файл остатки'!$A$5:$CX$265,MATCH($H$1,'файл остатки'!$A$5:$A$228,0),MATCH($B72,'файл остатки'!$A$5:$CX$5,0))</f>
        <v>55.08790476190476</v>
      </c>
      <c r="AG72" s="240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7"/>
      <c r="AI72" s="216">
        <v>-150</v>
      </c>
      <c r="AJ72" s="207"/>
      <c r="AK72" s="233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2">
        <f>INDEX('файл остатки'!$A$5:$CX$265,MATCH($H$1,'файл остатки'!$A$5:$A$228,0),MATCH($B72,'файл остатки'!$A$5:$CX$5,0))</f>
        <v>55.08790476190476</v>
      </c>
      <c r="AM72" s="240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7"/>
      <c r="AO72" s="216"/>
      <c r="AP72" s="207"/>
      <c r="AQ72" s="233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2">
        <f>INDEX('файл остатки'!$A$5:$CX$265,MATCH($H$1,'файл остатки'!$A$5:$A$228,0),MATCH($B72,'файл остатки'!$A$5:$CX$5,0))</f>
        <v>55.08790476190476</v>
      </c>
      <c r="AS72" s="240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7"/>
      <c r="AU72" s="216">
        <v>-100</v>
      </c>
      <c r="AV72" s="207"/>
      <c r="AW72" s="233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2">
        <f>INDEX('файл остатки'!$A$5:$CX$265,MATCH($H$1,'файл остатки'!$A$5:$A$228,0),MATCH($B72,'файл остатки'!$A$5:$CX$5,0))</f>
        <v>55.08790476190476</v>
      </c>
      <c r="AY72" s="240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7"/>
      <c r="BA72" s="216"/>
      <c r="BB72" s="207"/>
      <c r="BC72" s="233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2">
        <f>INDEX('файл остатки'!$A$5:$CX$265,MATCH($H$1,'файл остатки'!$A$5:$A$228,0),MATCH($B72,'файл остатки'!$A$5:$CX$5,0))</f>
        <v>55.08790476190476</v>
      </c>
      <c r="BE72" s="240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7"/>
      <c r="BG72" s="216">
        <v>-100</v>
      </c>
      <c r="BH72" s="207"/>
      <c r="BI72" s="233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2">
        <f>INDEX('файл остатки'!$A$5:$CX$265,MATCH($H$1,'файл остатки'!$A$5:$A$228,0),MATCH($B72,'файл остатки'!$A$5:$CX$5,0))</f>
        <v>55.08790476190476</v>
      </c>
      <c r="BK72" s="212" t="e">
        <f t="shared" si="6"/>
        <v>#N/A</v>
      </c>
      <c r="BL72" s="240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7"/>
      <c r="BN72" s="216">
        <f t="shared" si="7"/>
        <v>-203.67499999999998</v>
      </c>
      <c r="BO72" s="207"/>
      <c r="BP72" s="233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2">
        <f>INDEX('файл остатки'!$A$5:$CX$265,MATCH($H$1,'файл остатки'!$A$5:$A$228,0),MATCH($B72,'файл остатки'!$A$5:$CX$5,0))</f>
        <v>55.08790476190476</v>
      </c>
      <c r="BR72" s="240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7"/>
      <c r="BT72" s="216">
        <f t="shared" si="8"/>
        <v>-203.67499999999998</v>
      </c>
      <c r="BU72" s="207"/>
      <c r="BV72" s="233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2">
        <f>INDEX('файл остатки'!$A$5:$CX$265,MATCH($H$1,'файл остатки'!$A$5:$A$228,0),MATCH($B72,'файл остатки'!$A$5:$CX$5,0))</f>
        <v>55.08790476190476</v>
      </c>
      <c r="BX72" s="240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7"/>
      <c r="BZ72" s="216">
        <f t="shared" si="9"/>
        <v>-203.67499999999998</v>
      </c>
      <c r="CA72" s="207"/>
      <c r="CB72" s="233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2">
        <f>INDEX('файл остатки'!$A$5:$CX$265,MATCH($H$1,'файл остатки'!$A$5:$A$228,0),MATCH($B72,'файл остатки'!$A$5:$CX$5,0))</f>
        <v>55.08790476190476</v>
      </c>
      <c r="CD72" s="240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7"/>
      <c r="CH72" s="216">
        <f t="shared" si="10"/>
        <v>-528</v>
      </c>
      <c r="CI72" s="207"/>
      <c r="CJ72" s="216" t="e">
        <f t="shared" si="11"/>
        <v>#N/A</v>
      </c>
      <c r="CK72" s="207"/>
      <c r="CO72" s="222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89" t="s">
        <v>46</v>
      </c>
      <c r="B73" s="201" t="s">
        <v>132</v>
      </c>
      <c r="C73" s="243" t="e">
        <f>INDEX('файл остатки'!$A$5:$CX$265,MATCH($C$1,'файл остатки'!$A$5:$A$228,0),MATCH(B73,'файл остатки'!$A$5:$CX$5,0))</f>
        <v>#N/A</v>
      </c>
      <c r="D73" s="247"/>
      <c r="E73" s="216">
        <v>-200</v>
      </c>
      <c r="F73" s="207"/>
      <c r="G73" s="233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2" t="e">
        <f>INDEX('файл остатки'!$A$5:$CX$265,MATCH($H$1,'файл остатки'!$A$5:$A$228,0),MATCH($B73,'файл остатки'!$A$5:$CX$5,0))</f>
        <v>#N/A</v>
      </c>
      <c r="I73" s="240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7"/>
      <c r="K73" s="216"/>
      <c r="L73" s="207"/>
      <c r="M73" s="233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2" t="e">
        <f>INDEX('файл остатки'!$A$5:$CX$265,MATCH($H$1,'файл остатки'!$A$5:$A$228,0),MATCH($B73,'файл остатки'!$A$5:$CX$5,0))</f>
        <v>#N/A</v>
      </c>
      <c r="O73" s="240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7"/>
      <c r="Q73" s="216">
        <v>-150</v>
      </c>
      <c r="R73" s="207"/>
      <c r="S73" s="233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2" t="e">
        <f>INDEX('файл остатки'!$A$5:$CX$265,MATCH($H$1,'файл остатки'!$A$5:$A$228,0),MATCH($B73,'файл остатки'!$A$5:$CX$5,0))</f>
        <v>#N/A</v>
      </c>
      <c r="U73" s="240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7"/>
      <c r="W73" s="216"/>
      <c r="X73" s="207"/>
      <c r="Y73" s="233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2" t="e">
        <f>INDEX('файл остатки'!$A$5:$CX$265,MATCH($H$1,'файл остатки'!$A$5:$A$228,0),MATCH($B73,'файл остатки'!$A$5:$CX$5,0))</f>
        <v>#N/A</v>
      </c>
      <c r="AA73" s="240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7"/>
      <c r="AC73" s="216"/>
      <c r="AD73" s="207"/>
      <c r="AE73" s="233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2" t="e">
        <f>INDEX('файл остатки'!$A$5:$CX$265,MATCH($H$1,'файл остатки'!$A$5:$A$228,0),MATCH($B73,'файл остатки'!$A$5:$CX$5,0))</f>
        <v>#N/A</v>
      </c>
      <c r="AG73" s="240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7"/>
      <c r="AI73" s="216">
        <v>-200</v>
      </c>
      <c r="AJ73" s="207"/>
      <c r="AK73" s="233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2" t="e">
        <f>INDEX('файл остатки'!$A$5:$CX$265,MATCH($H$1,'файл остатки'!$A$5:$A$228,0),MATCH($B73,'файл остатки'!$A$5:$CX$5,0))</f>
        <v>#N/A</v>
      </c>
      <c r="AM73" s="240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7"/>
      <c r="AO73" s="216"/>
      <c r="AP73" s="207"/>
      <c r="AQ73" s="233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2" t="e">
        <f>INDEX('файл остатки'!$A$5:$CX$265,MATCH($H$1,'файл остатки'!$A$5:$A$228,0),MATCH($B73,'файл остатки'!$A$5:$CX$5,0))</f>
        <v>#N/A</v>
      </c>
      <c r="AS73" s="240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7"/>
      <c r="AU73" s="216">
        <v>-1</v>
      </c>
      <c r="AV73" s="207"/>
      <c r="AW73" s="233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2" t="e">
        <f>INDEX('файл остатки'!$A$5:$CX$265,MATCH($H$1,'файл остатки'!$A$5:$A$228,0),MATCH($B73,'файл остатки'!$A$5:$CX$5,0))</f>
        <v>#N/A</v>
      </c>
      <c r="AY73" s="240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7"/>
      <c r="BA73" s="216"/>
      <c r="BB73" s="207"/>
      <c r="BC73" s="233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2" t="e">
        <f>INDEX('файл остатки'!$A$5:$CX$265,MATCH($H$1,'файл остатки'!$A$5:$A$228,0),MATCH($B73,'файл остатки'!$A$5:$CX$5,0))</f>
        <v>#N/A</v>
      </c>
      <c r="BE73" s="240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7"/>
      <c r="BG73" s="216">
        <v>-100</v>
      </c>
      <c r="BH73" s="207"/>
      <c r="BI73" s="233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2" t="e">
        <f>INDEX('файл остатки'!$A$5:$CX$265,MATCH($H$1,'файл остатки'!$A$5:$A$228,0),MATCH($B73,'файл остатки'!$A$5:$CX$5,0))</f>
        <v>#N/A</v>
      </c>
      <c r="BK73" s="212" t="e">
        <f t="shared" si="6"/>
        <v>#N/A</v>
      </c>
      <c r="BL73" s="240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7"/>
      <c r="BN73" s="216" t="e">
        <f t="shared" si="7"/>
        <v>#N/A</v>
      </c>
      <c r="BO73" s="207"/>
      <c r="BP73" s="233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2" t="e">
        <f>INDEX('файл остатки'!$A$5:$CX$265,MATCH($H$1,'файл остатки'!$A$5:$A$228,0),MATCH($B73,'файл остатки'!$A$5:$CX$5,0))</f>
        <v>#N/A</v>
      </c>
      <c r="BR73" s="240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7"/>
      <c r="BT73" s="216" t="e">
        <f t="shared" si="8"/>
        <v>#N/A</v>
      </c>
      <c r="BU73" s="207"/>
      <c r="BV73" s="233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2" t="e">
        <f>INDEX('файл остатки'!$A$5:$CX$265,MATCH($H$1,'файл остатки'!$A$5:$A$228,0),MATCH($B73,'файл остатки'!$A$5:$CX$5,0))</f>
        <v>#N/A</v>
      </c>
      <c r="BX73" s="240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7"/>
      <c r="BZ73" s="216" t="e">
        <f t="shared" si="9"/>
        <v>#N/A</v>
      </c>
      <c r="CA73" s="207"/>
      <c r="CB73" s="233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2" t="e">
        <f>INDEX('файл остатки'!$A$5:$CX$265,MATCH($H$1,'файл остатки'!$A$5:$A$228,0),MATCH($B73,'файл остатки'!$A$5:$CX$5,0))</f>
        <v>#N/A</v>
      </c>
      <c r="CD73" s="240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7"/>
      <c r="CH73" s="216">
        <f t="shared" si="10"/>
        <v>-651</v>
      </c>
      <c r="CI73" s="207"/>
      <c r="CJ73" s="216" t="e">
        <f t="shared" si="11"/>
        <v>#N/A</v>
      </c>
      <c r="CK73" s="207"/>
      <c r="CO73" s="222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89" t="s">
        <v>46</v>
      </c>
      <c r="B74" s="201" t="s">
        <v>164</v>
      </c>
      <c r="C74" s="243">
        <f>INDEX('файл остатки'!$A$5:$CX$265,MATCH($C$1,'файл остатки'!$A$5:$A$228,0),MATCH(B74,'файл остатки'!$A$5:$CX$5,0))</f>
        <v>0</v>
      </c>
      <c r="D74" s="247"/>
      <c r="E74" s="216">
        <v>-58</v>
      </c>
      <c r="F74" s="207"/>
      <c r="G74" s="233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2">
        <f>INDEX('файл остатки'!$A$5:$CX$265,MATCH($H$1,'файл остатки'!$A$5:$A$228,0),MATCH($B74,'файл остатки'!$A$5:$CX$5,0))</f>
        <v>92.359904761904758</v>
      </c>
      <c r="I74" s="240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7"/>
      <c r="K74" s="216"/>
      <c r="L74" s="207"/>
      <c r="M74" s="233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2">
        <f>INDEX('файл остатки'!$A$5:$CX$265,MATCH($H$1,'файл остатки'!$A$5:$A$228,0),MATCH($B74,'файл остатки'!$A$5:$CX$5,0))</f>
        <v>92.359904761904758</v>
      </c>
      <c r="O74" s="240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7"/>
      <c r="Q74" s="216">
        <v>-50</v>
      </c>
      <c r="R74" s="207"/>
      <c r="S74" s="233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2">
        <f>INDEX('файл остатки'!$A$5:$CX$265,MATCH($H$1,'файл остатки'!$A$5:$A$228,0),MATCH($B74,'файл остатки'!$A$5:$CX$5,0))</f>
        <v>92.359904761904758</v>
      </c>
      <c r="U74" s="240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7"/>
      <c r="W74" s="216">
        <v>-100</v>
      </c>
      <c r="X74" s="207"/>
      <c r="Y74" s="233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2">
        <f>INDEX('файл остатки'!$A$5:$CX$265,MATCH($H$1,'файл остатки'!$A$5:$A$228,0),MATCH($B74,'файл остатки'!$A$5:$CX$5,0))</f>
        <v>92.359904761904758</v>
      </c>
      <c r="AA74" s="240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7"/>
      <c r="AC74" s="216"/>
      <c r="AD74" s="207"/>
      <c r="AE74" s="233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2">
        <f>INDEX('файл остатки'!$A$5:$CX$265,MATCH($H$1,'файл остатки'!$A$5:$A$228,0),MATCH($B74,'файл остатки'!$A$5:$CX$5,0))</f>
        <v>92.359904761904758</v>
      </c>
      <c r="AG74" s="240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7"/>
      <c r="AI74" s="216">
        <v>-100</v>
      </c>
      <c r="AJ74" s="207"/>
      <c r="AK74" s="233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2">
        <f>INDEX('файл остатки'!$A$5:$CX$265,MATCH($H$1,'файл остатки'!$A$5:$A$228,0),MATCH($B74,'файл остатки'!$A$5:$CX$5,0))</f>
        <v>92.359904761904758</v>
      </c>
      <c r="AM74" s="240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7"/>
      <c r="AO74" s="216"/>
      <c r="AP74" s="207"/>
      <c r="AQ74" s="233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2">
        <f>INDEX('файл остатки'!$A$5:$CX$265,MATCH($H$1,'файл остатки'!$A$5:$A$228,0),MATCH($B74,'файл остатки'!$A$5:$CX$5,0))</f>
        <v>92.359904761904758</v>
      </c>
      <c r="AS74" s="240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7"/>
      <c r="AU74" s="216">
        <v>-50</v>
      </c>
      <c r="AV74" s="207"/>
      <c r="AW74" s="233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2">
        <f>INDEX('файл остатки'!$A$5:$CX$265,MATCH($H$1,'файл остатки'!$A$5:$A$228,0),MATCH($B74,'файл остатки'!$A$5:$CX$5,0))</f>
        <v>92.359904761904758</v>
      </c>
      <c r="AY74" s="240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7"/>
      <c r="BA74" s="216"/>
      <c r="BB74" s="207"/>
      <c r="BC74" s="233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2">
        <f>INDEX('файл остатки'!$A$5:$CX$265,MATCH($H$1,'файл остатки'!$A$5:$A$228,0),MATCH($B74,'файл остатки'!$A$5:$CX$5,0))</f>
        <v>92.359904761904758</v>
      </c>
      <c r="BE74" s="240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7"/>
      <c r="BG74" s="216">
        <v>-100</v>
      </c>
      <c r="BH74" s="207"/>
      <c r="BI74" s="233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2">
        <f>INDEX('файл остатки'!$A$5:$CX$265,MATCH($H$1,'файл остатки'!$A$5:$A$228,0),MATCH($B74,'файл остатки'!$A$5:$CX$5,0))</f>
        <v>92.359904761904758</v>
      </c>
      <c r="BK74" s="212" t="e">
        <f t="shared" si="6"/>
        <v>#N/A</v>
      </c>
      <c r="BL74" s="240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7"/>
      <c r="BN74" s="216">
        <f t="shared" si="7"/>
        <v>-270</v>
      </c>
      <c r="BO74" s="207"/>
      <c r="BP74" s="233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2">
        <f>INDEX('файл остатки'!$A$5:$CX$265,MATCH($H$1,'файл остатки'!$A$5:$A$228,0),MATCH($B74,'файл остатки'!$A$5:$CX$5,0))</f>
        <v>92.359904761904758</v>
      </c>
      <c r="BR74" s="240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7"/>
      <c r="BT74" s="216">
        <f t="shared" si="8"/>
        <v>-270</v>
      </c>
      <c r="BU74" s="207"/>
      <c r="BV74" s="233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2">
        <f>INDEX('файл остатки'!$A$5:$CX$265,MATCH($H$1,'файл остатки'!$A$5:$A$228,0),MATCH($B74,'файл остатки'!$A$5:$CX$5,0))</f>
        <v>92.359904761904758</v>
      </c>
      <c r="BX74" s="240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7"/>
      <c r="BZ74" s="216">
        <f t="shared" si="9"/>
        <v>-270</v>
      </c>
      <c r="CA74" s="207"/>
      <c r="CB74" s="233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2">
        <f>INDEX('файл остатки'!$A$5:$CX$265,MATCH($H$1,'файл остатки'!$A$5:$A$228,0),MATCH($B74,'файл остатки'!$A$5:$CX$5,0))</f>
        <v>92.359904761904758</v>
      </c>
      <c r="CD74" s="240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7"/>
      <c r="CH74" s="216">
        <f t="shared" si="10"/>
        <v>-458</v>
      </c>
      <c r="CI74" s="207"/>
      <c r="CJ74" s="216" t="e">
        <f t="shared" si="11"/>
        <v>#N/A</v>
      </c>
      <c r="CK74" s="207"/>
      <c r="CO74" s="222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89" t="s">
        <v>46</v>
      </c>
      <c r="B75" s="201" t="s">
        <v>106</v>
      </c>
      <c r="C75" s="243">
        <f>INDEX('файл остатки'!$A$5:$CX$265,MATCH($C$1,'файл остатки'!$A$5:$A$228,0),MATCH(B75,'файл остатки'!$A$5:$CX$5,0))</f>
        <v>216.07999999999998</v>
      </c>
      <c r="D75" s="247"/>
      <c r="E75" s="216">
        <v>-1000</v>
      </c>
      <c r="F75" s="207"/>
      <c r="G75" s="233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2">
        <f>INDEX('файл остатки'!$A$5:$CX$265,MATCH($H$1,'файл остатки'!$A$5:$A$228,0),MATCH($B75,'файл остатки'!$A$5:$CX$5,0))</f>
        <v>614.37619047619057</v>
      </c>
      <c r="I75" s="240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7"/>
      <c r="K75" s="216"/>
      <c r="L75" s="207"/>
      <c r="M75" s="233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2">
        <f>INDEX('файл остатки'!$A$5:$CX$265,MATCH($H$1,'файл остатки'!$A$5:$A$228,0),MATCH($B75,'файл остатки'!$A$5:$CX$5,0))</f>
        <v>614.37619047619057</v>
      </c>
      <c r="O75" s="240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7"/>
      <c r="Q75" s="216">
        <v>-112</v>
      </c>
      <c r="R75" s="207"/>
      <c r="S75" s="233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2">
        <f>INDEX('файл остатки'!$A$5:$CX$265,MATCH($H$1,'файл остатки'!$A$5:$A$228,0),MATCH($B75,'файл остатки'!$A$5:$CX$5,0))</f>
        <v>614.37619047619057</v>
      </c>
      <c r="U75" s="240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7"/>
      <c r="W75" s="216">
        <v>-30</v>
      </c>
      <c r="X75" s="207"/>
      <c r="Y75" s="233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2">
        <f>INDEX('файл остатки'!$A$5:$CX$265,MATCH($H$1,'файл остатки'!$A$5:$A$228,0),MATCH($B75,'файл остатки'!$A$5:$CX$5,0))</f>
        <v>614.37619047619057</v>
      </c>
      <c r="AA75" s="240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7"/>
      <c r="AC75" s="216"/>
      <c r="AD75" s="207"/>
      <c r="AE75" s="233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2">
        <f>INDEX('файл остатки'!$A$5:$CX$265,MATCH($H$1,'файл остатки'!$A$5:$A$228,0),MATCH($B75,'файл остатки'!$A$5:$CX$5,0))</f>
        <v>614.37619047619057</v>
      </c>
      <c r="AG75" s="240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7"/>
      <c r="AI75" s="216">
        <v>-600</v>
      </c>
      <c r="AJ75" s="207"/>
      <c r="AK75" s="233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2">
        <f>INDEX('файл остатки'!$A$5:$CX$265,MATCH($H$1,'файл остатки'!$A$5:$A$228,0),MATCH($B75,'файл остатки'!$A$5:$CX$5,0))</f>
        <v>614.37619047619057</v>
      </c>
      <c r="AM75" s="240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7"/>
      <c r="AO75" s="216"/>
      <c r="AP75" s="207"/>
      <c r="AQ75" s="233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2">
        <f>INDEX('файл остатки'!$A$5:$CX$265,MATCH($H$1,'файл остатки'!$A$5:$A$228,0),MATCH($B75,'файл остатки'!$A$5:$CX$5,0))</f>
        <v>614.37619047619057</v>
      </c>
      <c r="AS75" s="240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7"/>
      <c r="AU75" s="216">
        <v>-630</v>
      </c>
      <c r="AV75" s="207"/>
      <c r="AW75" s="233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2">
        <f>INDEX('файл остатки'!$A$5:$CX$265,MATCH($H$1,'файл остатки'!$A$5:$A$228,0),MATCH($B75,'файл остатки'!$A$5:$CX$5,0))</f>
        <v>614.37619047619057</v>
      </c>
      <c r="AY75" s="240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7"/>
      <c r="BA75" s="216"/>
      <c r="BB75" s="207"/>
      <c r="BC75" s="233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2">
        <f>INDEX('файл остатки'!$A$5:$CX$265,MATCH($H$1,'файл остатки'!$A$5:$A$228,0),MATCH($B75,'файл остатки'!$A$5:$CX$5,0))</f>
        <v>614.37619047619057</v>
      </c>
      <c r="BE75" s="240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7"/>
      <c r="BG75" s="216">
        <v>-1000</v>
      </c>
      <c r="BH75" s="207"/>
      <c r="BI75" s="233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2">
        <f>INDEX('файл остатки'!$A$5:$CX$265,MATCH($H$1,'файл остатки'!$A$5:$A$228,0),MATCH($B75,'файл остатки'!$A$5:$CX$5,0))</f>
        <v>614.37619047619057</v>
      </c>
      <c r="BK75" s="212" t="e">
        <f t="shared" si="6"/>
        <v>#N/A</v>
      </c>
      <c r="BL75" s="240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7"/>
      <c r="BN75" s="216">
        <f t="shared" si="7"/>
        <v>-3720.6285714285709</v>
      </c>
      <c r="BO75" s="207"/>
      <c r="BP75" s="233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3720.6285714285709</v>
      </c>
      <c r="BQ75" s="212">
        <f>INDEX('файл остатки'!$A$5:$CX$265,MATCH($H$1,'файл остатки'!$A$5:$A$228,0),MATCH($B75,'файл остатки'!$A$5:$CX$5,0))</f>
        <v>614.37619047619057</v>
      </c>
      <c r="BR75" s="240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7"/>
      <c r="BT75" s="216">
        <f t="shared" si="8"/>
        <v>-3720.6285714285709</v>
      </c>
      <c r="BU75" s="207"/>
      <c r="BV75" s="233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3720.6285714285709</v>
      </c>
      <c r="BW75" s="212">
        <f>INDEX('файл остатки'!$A$5:$CX$265,MATCH($H$1,'файл остатки'!$A$5:$A$228,0),MATCH($B75,'файл остатки'!$A$5:$CX$5,0))</f>
        <v>614.37619047619057</v>
      </c>
      <c r="BX75" s="240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7"/>
      <c r="BZ75" s="216">
        <f t="shared" si="9"/>
        <v>-3120.6285714285709</v>
      </c>
      <c r="CA75" s="207"/>
      <c r="CB75" s="233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3120.6285714285709</v>
      </c>
      <c r="CC75" s="212">
        <f>INDEX('файл остатки'!$A$5:$CX$265,MATCH($H$1,'файл остатки'!$A$5:$A$228,0),MATCH($B75,'файл остатки'!$A$5:$CX$5,0))</f>
        <v>614.37619047619057</v>
      </c>
      <c r="CD75" s="240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7"/>
      <c r="CH75" s="216">
        <f t="shared" si="10"/>
        <v>-3372</v>
      </c>
      <c r="CI75" s="207"/>
      <c r="CJ75" s="216" t="e">
        <f t="shared" si="11"/>
        <v>#N/A</v>
      </c>
      <c r="CK75" s="207"/>
      <c r="CO75" s="222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89" t="s">
        <v>46</v>
      </c>
      <c r="B76" s="201" t="s">
        <v>154</v>
      </c>
      <c r="C76" s="243" t="e">
        <f>INDEX('файл остатки'!$A$5:$CX$265,MATCH($C$1,'файл остатки'!$A$5:$A$228,0),MATCH(B76,'файл остатки'!$A$5:$CX$5,0))</f>
        <v>#N/A</v>
      </c>
      <c r="D76" s="247"/>
      <c r="E76" s="216"/>
      <c r="F76" s="207"/>
      <c r="G76" s="233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2" t="e">
        <f>INDEX('файл остатки'!$A$5:$CX$265,MATCH($H$1,'файл остатки'!$A$5:$A$228,0),MATCH($B76,'файл остатки'!$A$5:$CX$5,0))</f>
        <v>#N/A</v>
      </c>
      <c r="I76" s="240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7"/>
      <c r="K76" s="216"/>
      <c r="L76" s="207"/>
      <c r="M76" s="233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2" t="e">
        <f>INDEX('файл остатки'!$A$5:$CX$265,MATCH($H$1,'файл остатки'!$A$5:$A$228,0),MATCH($B76,'файл остатки'!$A$5:$CX$5,0))</f>
        <v>#N/A</v>
      </c>
      <c r="O76" s="240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7">
        <v>57</v>
      </c>
      <c r="Q76" s="216"/>
      <c r="R76" s="207"/>
      <c r="S76" s="233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2" t="e">
        <f>INDEX('файл остатки'!$A$5:$CX$265,MATCH($H$1,'файл остатки'!$A$5:$A$228,0),MATCH($B76,'файл остатки'!$A$5:$CX$5,0))</f>
        <v>#N/A</v>
      </c>
      <c r="U76" s="240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7"/>
      <c r="W76" s="216">
        <v>-4</v>
      </c>
      <c r="X76" s="207"/>
      <c r="Y76" s="233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2" t="e">
        <f>INDEX('файл остатки'!$A$5:$CX$265,MATCH($H$1,'файл остатки'!$A$5:$A$228,0),MATCH($B76,'файл остатки'!$A$5:$CX$5,0))</f>
        <v>#N/A</v>
      </c>
      <c r="AA76" s="240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7"/>
      <c r="AC76" s="216"/>
      <c r="AD76" s="207"/>
      <c r="AE76" s="233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2" t="e">
        <f>INDEX('файл остатки'!$A$5:$CX$265,MATCH($H$1,'файл остатки'!$A$5:$A$228,0),MATCH($B76,'файл остатки'!$A$5:$CX$5,0))</f>
        <v>#N/A</v>
      </c>
      <c r="AG76" s="240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7"/>
      <c r="AI76" s="216"/>
      <c r="AJ76" s="207"/>
      <c r="AK76" s="233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2" t="e">
        <f>INDEX('файл остатки'!$A$5:$CX$265,MATCH($H$1,'файл остатки'!$A$5:$A$228,0),MATCH($B76,'файл остатки'!$A$5:$CX$5,0))</f>
        <v>#N/A</v>
      </c>
      <c r="AM76" s="240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7"/>
      <c r="AO76" s="216"/>
      <c r="AP76" s="207"/>
      <c r="AQ76" s="233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2" t="e">
        <f>INDEX('файл остатки'!$A$5:$CX$265,MATCH($H$1,'файл остатки'!$A$5:$A$228,0),MATCH($B76,'файл остатки'!$A$5:$CX$5,0))</f>
        <v>#N/A</v>
      </c>
      <c r="AS76" s="240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7"/>
      <c r="AU76" s="216"/>
      <c r="AV76" s="207"/>
      <c r="AW76" s="233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2" t="e">
        <f>INDEX('файл остатки'!$A$5:$CX$265,MATCH($H$1,'файл остатки'!$A$5:$A$228,0),MATCH($B76,'файл остатки'!$A$5:$CX$5,0))</f>
        <v>#N/A</v>
      </c>
      <c r="AY76" s="240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7"/>
      <c r="BA76" s="216"/>
      <c r="BB76" s="207"/>
      <c r="BC76" s="233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2" t="e">
        <f>INDEX('файл остатки'!$A$5:$CX$265,MATCH($H$1,'файл остатки'!$A$5:$A$228,0),MATCH($B76,'файл остатки'!$A$5:$CX$5,0))</f>
        <v>#N/A</v>
      </c>
      <c r="BE76" s="240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7"/>
      <c r="BG76" s="216"/>
      <c r="BH76" s="207"/>
      <c r="BI76" s="233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2" t="e">
        <f>INDEX('файл остатки'!$A$5:$CX$265,MATCH($H$1,'файл остатки'!$A$5:$A$228,0),MATCH($B76,'файл остатки'!$A$5:$CX$5,0))</f>
        <v>#N/A</v>
      </c>
      <c r="BK76" s="212" t="e">
        <f t="shared" si="6"/>
        <v>#N/A</v>
      </c>
      <c r="BL76" s="240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7"/>
      <c r="BN76" s="216" t="e">
        <f t="shared" si="7"/>
        <v>#N/A</v>
      </c>
      <c r="BO76" s="207"/>
      <c r="BP76" s="233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2" t="e">
        <f>INDEX('файл остатки'!$A$5:$CX$265,MATCH($H$1,'файл остатки'!$A$5:$A$228,0),MATCH($B76,'файл остатки'!$A$5:$CX$5,0))</f>
        <v>#N/A</v>
      </c>
      <c r="BR76" s="240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7"/>
      <c r="BT76" s="216" t="e">
        <f t="shared" si="8"/>
        <v>#N/A</v>
      </c>
      <c r="BU76" s="207"/>
      <c r="BV76" s="233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2" t="e">
        <f>INDEX('файл остатки'!$A$5:$CX$265,MATCH($H$1,'файл остатки'!$A$5:$A$228,0),MATCH($B76,'файл остатки'!$A$5:$CX$5,0))</f>
        <v>#N/A</v>
      </c>
      <c r="BX76" s="240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7"/>
      <c r="BZ76" s="216" t="e">
        <f t="shared" si="9"/>
        <v>#N/A</v>
      </c>
      <c r="CA76" s="207"/>
      <c r="CB76" s="233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2" t="e">
        <f>INDEX('файл остатки'!$A$5:$CX$265,MATCH($H$1,'файл остатки'!$A$5:$A$228,0),MATCH($B76,'файл остатки'!$A$5:$CX$5,0))</f>
        <v>#N/A</v>
      </c>
      <c r="CD76" s="240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7"/>
      <c r="CH76" s="216">
        <f t="shared" si="10"/>
        <v>-4</v>
      </c>
      <c r="CI76" s="207"/>
      <c r="CJ76" s="216" t="e">
        <f t="shared" si="11"/>
        <v>#N/A</v>
      </c>
      <c r="CK76" s="207"/>
      <c r="CO76" s="222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89" t="s">
        <v>46</v>
      </c>
      <c r="B77" s="201" t="s">
        <v>107</v>
      </c>
      <c r="C77" s="243">
        <f>INDEX('файл остатки'!$A$5:$CX$265,MATCH($C$1,'файл остатки'!$A$5:$A$228,0),MATCH(B77,'файл остатки'!$A$5:$CX$5,0))</f>
        <v>33</v>
      </c>
      <c r="D77" s="247"/>
      <c r="E77" s="216">
        <v>-3</v>
      </c>
      <c r="F77" s="207"/>
      <c r="G77" s="233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2">
        <f>INDEX('файл остатки'!$A$5:$CX$265,MATCH($H$1,'файл остатки'!$A$5:$A$228,0),MATCH($B77,'файл остатки'!$A$5:$CX$5,0))</f>
        <v>231.44066666666671</v>
      </c>
      <c r="I77" s="240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7"/>
      <c r="K77" s="216"/>
      <c r="L77" s="207"/>
      <c r="M77" s="233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2">
        <f>INDEX('файл остатки'!$A$5:$CX$265,MATCH($H$1,'файл остатки'!$A$5:$A$228,0),MATCH($B77,'файл остатки'!$A$5:$CX$5,0))</f>
        <v>231.44066666666671</v>
      </c>
      <c r="O77" s="240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7">
        <v>55</v>
      </c>
      <c r="Q77" s="216">
        <v>-81</v>
      </c>
      <c r="R77" s="207"/>
      <c r="S77" s="233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2">
        <f>INDEX('файл остатки'!$A$5:$CX$265,MATCH($H$1,'файл остатки'!$A$5:$A$228,0),MATCH($B77,'файл остатки'!$A$5:$CX$5,0))</f>
        <v>231.44066666666671</v>
      </c>
      <c r="U77" s="240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7"/>
      <c r="W77" s="216"/>
      <c r="X77" s="207"/>
      <c r="Y77" s="233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2">
        <f>INDEX('файл остатки'!$A$5:$CX$265,MATCH($H$1,'файл остатки'!$A$5:$A$228,0),MATCH($B77,'файл остатки'!$A$5:$CX$5,0))</f>
        <v>231.44066666666671</v>
      </c>
      <c r="AA77" s="240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7"/>
      <c r="AC77" s="216"/>
      <c r="AD77" s="207"/>
      <c r="AE77" s="233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2">
        <f>INDEX('файл остатки'!$A$5:$CX$265,MATCH($H$1,'файл остатки'!$A$5:$A$228,0),MATCH($B77,'файл остатки'!$A$5:$CX$5,0))</f>
        <v>231.44066666666671</v>
      </c>
      <c r="AG77" s="240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7"/>
      <c r="AI77" s="216">
        <v>-50</v>
      </c>
      <c r="AJ77" s="207"/>
      <c r="AK77" s="233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2">
        <f>INDEX('файл остатки'!$A$5:$CX$265,MATCH($H$1,'файл остатки'!$A$5:$A$228,0),MATCH($B77,'файл остатки'!$A$5:$CX$5,0))</f>
        <v>231.44066666666671</v>
      </c>
      <c r="AM77" s="240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7"/>
      <c r="AO77" s="216"/>
      <c r="AP77" s="207"/>
      <c r="AQ77" s="233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2">
        <f>INDEX('файл остатки'!$A$5:$CX$265,MATCH($H$1,'файл остатки'!$A$5:$A$228,0),MATCH($B77,'файл остатки'!$A$5:$CX$5,0))</f>
        <v>231.44066666666671</v>
      </c>
      <c r="AS77" s="240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7"/>
      <c r="AU77" s="216">
        <v>-32</v>
      </c>
      <c r="AV77" s="207"/>
      <c r="AW77" s="233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2">
        <f>INDEX('файл остатки'!$A$5:$CX$265,MATCH($H$1,'файл остатки'!$A$5:$A$228,0),MATCH($B77,'файл остатки'!$A$5:$CX$5,0))</f>
        <v>231.44066666666671</v>
      </c>
      <c r="AY77" s="240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7"/>
      <c r="BA77" s="216"/>
      <c r="BB77" s="207"/>
      <c r="BC77" s="233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2">
        <f>INDEX('файл остатки'!$A$5:$CX$265,MATCH($H$1,'файл остатки'!$A$5:$A$228,0),MATCH($B77,'файл остатки'!$A$5:$CX$5,0))</f>
        <v>231.44066666666671</v>
      </c>
      <c r="BE77" s="240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7"/>
      <c r="BG77" s="216"/>
      <c r="BH77" s="207"/>
      <c r="BI77" s="233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2">
        <f>INDEX('файл остатки'!$A$5:$CX$265,MATCH($H$1,'файл остатки'!$A$5:$A$228,0),MATCH($B77,'файл остатки'!$A$5:$CX$5,0))</f>
        <v>231.44066666666671</v>
      </c>
      <c r="BK77" s="212" t="e">
        <f t="shared" si="6"/>
        <v>#N/A</v>
      </c>
      <c r="BL77" s="240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7"/>
      <c r="BN77" s="216">
        <f t="shared" si="7"/>
        <v>-660.05250000000001</v>
      </c>
      <c r="BO77" s="207"/>
      <c r="BP77" s="233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2">
        <f>INDEX('файл остатки'!$A$5:$CX$265,MATCH($H$1,'файл остатки'!$A$5:$A$228,0),MATCH($B77,'файл остатки'!$A$5:$CX$5,0))</f>
        <v>231.44066666666671</v>
      </c>
      <c r="BR77" s="240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7"/>
      <c r="BT77" s="216">
        <f t="shared" si="8"/>
        <v>-660.05250000000001</v>
      </c>
      <c r="BU77" s="207"/>
      <c r="BV77" s="233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2">
        <f>INDEX('файл остатки'!$A$5:$CX$265,MATCH($H$1,'файл остатки'!$A$5:$A$228,0),MATCH($B77,'файл остатки'!$A$5:$CX$5,0))</f>
        <v>231.44066666666671</v>
      </c>
      <c r="BX77" s="240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7"/>
      <c r="BZ77" s="216">
        <f t="shared" si="9"/>
        <v>-660.05250000000001</v>
      </c>
      <c r="CA77" s="207"/>
      <c r="CB77" s="233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2">
        <f>INDEX('файл остатки'!$A$5:$CX$265,MATCH($H$1,'файл остатки'!$A$5:$A$228,0),MATCH($B77,'файл остатки'!$A$5:$CX$5,0))</f>
        <v>231.44066666666671</v>
      </c>
      <c r="CD77" s="240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7"/>
      <c r="CH77" s="216">
        <f t="shared" si="10"/>
        <v>-166</v>
      </c>
      <c r="CI77" s="207"/>
      <c r="CJ77" s="216" t="e">
        <f t="shared" si="11"/>
        <v>#N/A</v>
      </c>
      <c r="CK77" s="207"/>
      <c r="CO77" s="222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89"/>
      <c r="B78" s="201"/>
      <c r="C78" s="243"/>
      <c r="D78" s="247"/>
      <c r="E78" s="216">
        <v>0</v>
      </c>
      <c r="F78" s="207"/>
      <c r="G78" s="233"/>
      <c r="H78" s="212"/>
      <c r="I78" s="240"/>
      <c r="J78" s="217"/>
      <c r="K78" s="216"/>
      <c r="L78" s="207"/>
      <c r="M78" s="233"/>
      <c r="N78" s="212"/>
      <c r="O78" s="240"/>
      <c r="P78" s="217"/>
      <c r="Q78" s="216">
        <v>0</v>
      </c>
      <c r="R78" s="207"/>
      <c r="S78" s="233"/>
      <c r="T78" s="212"/>
      <c r="U78" s="240"/>
      <c r="V78" s="217"/>
      <c r="W78" s="216"/>
      <c r="X78" s="207"/>
      <c r="Y78" s="233"/>
      <c r="Z78" s="212"/>
      <c r="AA78" s="240"/>
      <c r="AB78" s="217"/>
      <c r="AC78" s="216"/>
      <c r="AD78" s="207"/>
      <c r="AE78" s="233"/>
      <c r="AF78" s="212"/>
      <c r="AG78" s="240"/>
      <c r="AH78" s="217"/>
      <c r="AI78" s="216"/>
      <c r="AJ78" s="207"/>
      <c r="AK78" s="233"/>
      <c r="AL78" s="212"/>
      <c r="AM78" s="240"/>
      <c r="AN78" s="217"/>
      <c r="AO78" s="216"/>
      <c r="AP78" s="207"/>
      <c r="AQ78" s="233"/>
      <c r="AR78" s="212"/>
      <c r="AS78" s="240"/>
      <c r="AT78" s="217"/>
      <c r="AU78" s="216"/>
      <c r="AV78" s="207"/>
      <c r="AW78" s="233"/>
      <c r="AX78" s="212"/>
      <c r="AY78" s="240"/>
      <c r="AZ78" s="217"/>
      <c r="BA78" s="216"/>
      <c r="BB78" s="207"/>
      <c r="BC78" s="233"/>
      <c r="BD78" s="212"/>
      <c r="BE78" s="240"/>
      <c r="BF78" s="217"/>
      <c r="BG78" s="216"/>
      <c r="BH78" s="207"/>
      <c r="BI78" s="233"/>
      <c r="BJ78" s="212"/>
      <c r="BK78" s="212"/>
      <c r="BL78" s="240"/>
      <c r="BM78" s="217"/>
      <c r="BN78" s="216">
        <f t="shared" si="7"/>
        <v>0</v>
      </c>
      <c r="BO78" s="207"/>
      <c r="BP78" s="233"/>
      <c r="BQ78" s="212"/>
      <c r="BR78" s="240"/>
      <c r="BS78" s="217"/>
      <c r="BT78" s="216">
        <f t="shared" si="8"/>
        <v>0</v>
      </c>
      <c r="BU78" s="207"/>
      <c r="BV78" s="233"/>
      <c r="BW78" s="212"/>
      <c r="BX78" s="240"/>
      <c r="BY78" s="217"/>
      <c r="BZ78" s="216">
        <f t="shared" si="9"/>
        <v>0</v>
      </c>
      <c r="CA78" s="207"/>
      <c r="CB78" s="233"/>
      <c r="CC78" s="212"/>
      <c r="CD78" s="240"/>
      <c r="CE78" s="217"/>
      <c r="CH78" s="216">
        <f t="shared" si="10"/>
        <v>0</v>
      </c>
      <c r="CI78" s="207"/>
      <c r="CJ78" s="216"/>
      <c r="CK78" s="207"/>
      <c r="CO78" s="222"/>
    </row>
    <row r="79" spans="1:93" ht="24" customHeight="1">
      <c r="A79" s="139" t="s">
        <v>46</v>
      </c>
      <c r="B79" s="219" t="s">
        <v>168</v>
      </c>
      <c r="C79" s="243" t="e">
        <f>INDEX('файл остатки'!$A$5:$CX$265,MATCH($C$1,'файл остатки'!$A$5:$A$228,0),MATCH(B79,'файл остатки'!$A$5:$CX$5,0))</f>
        <v>#N/A</v>
      </c>
      <c r="D79" s="247"/>
      <c r="E79" s="216">
        <v>-32.559999999999995</v>
      </c>
      <c r="F79" s="207" t="s">
        <v>208</v>
      </c>
      <c r="G79" s="233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2" t="e">
        <f>INDEX('файл остатки'!$A$5:$CX$265,MATCH($H$1,'файл остатки'!$A$5:$A$228,0),MATCH($B79,'файл остатки'!$A$5:$CX$5,0))</f>
        <v>#N/A</v>
      </c>
      <c r="I79" s="240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7"/>
      <c r="K79" s="216">
        <v>-65</v>
      </c>
      <c r="L79" s="207" t="s">
        <v>208</v>
      </c>
      <c r="M79" s="233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2" t="e">
        <f>INDEX('файл остатки'!$A$5:$CX$265,MATCH($H$1,'файл остатки'!$A$5:$A$228,0),MATCH($B79,'файл остатки'!$A$5:$CX$5,0))</f>
        <v>#N/A</v>
      </c>
      <c r="O79" s="240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7"/>
      <c r="Q79" s="216">
        <v>-65</v>
      </c>
      <c r="R79" s="207" t="s">
        <v>208</v>
      </c>
      <c r="S79" s="233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2" t="e">
        <f>INDEX('файл остатки'!$A$5:$CX$265,MATCH($H$1,'файл остатки'!$A$5:$A$228,0),MATCH($B79,'файл остатки'!$A$5:$CX$5,0))</f>
        <v>#N/A</v>
      </c>
      <c r="U79" s="240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7"/>
      <c r="W79" s="216"/>
      <c r="X79" s="207" t="s">
        <v>208</v>
      </c>
      <c r="Y79" s="233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2" t="e">
        <f>INDEX('файл остатки'!$A$5:$CX$265,MATCH($H$1,'файл остатки'!$A$5:$A$228,0),MATCH($B79,'файл остатки'!$A$5:$CX$5,0))</f>
        <v>#N/A</v>
      </c>
      <c r="AA79" s="240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7"/>
      <c r="AC79" s="216">
        <v>-130</v>
      </c>
      <c r="AD79" s="207" t="s">
        <v>208</v>
      </c>
      <c r="AE79" s="233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2" t="e">
        <f>INDEX('файл остатки'!$A$5:$CX$265,MATCH($H$1,'файл остатки'!$A$5:$A$228,0),MATCH($B79,'файл остатки'!$A$5:$CX$5,0))</f>
        <v>#N/A</v>
      </c>
      <c r="AG79" s="240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7"/>
      <c r="AI79" s="216"/>
      <c r="AJ79" s="207" t="s">
        <v>208</v>
      </c>
      <c r="AK79" s="233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2" t="e">
        <f>INDEX('файл остатки'!$A$5:$CX$265,MATCH($H$1,'файл остатки'!$A$5:$A$228,0),MATCH($B79,'файл остатки'!$A$5:$CX$5,0))</f>
        <v>#N/A</v>
      </c>
      <c r="AM79" s="240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7"/>
      <c r="AO79" s="216"/>
      <c r="AP79" s="207" t="s">
        <v>208</v>
      </c>
      <c r="AQ79" s="233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2" t="e">
        <f>INDEX('файл остатки'!$A$5:$CX$265,MATCH($H$1,'файл остатки'!$A$5:$A$228,0),MATCH($B79,'файл остатки'!$A$5:$CX$5,0))</f>
        <v>#N/A</v>
      </c>
      <c r="AS79" s="240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7"/>
      <c r="AU79" s="216"/>
      <c r="AV79" s="207" t="s">
        <v>208</v>
      </c>
      <c r="AW79" s="233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2" t="e">
        <f>INDEX('файл остатки'!$A$5:$CX$265,MATCH($H$1,'файл остатки'!$A$5:$A$228,0),MATCH($B79,'файл остатки'!$A$5:$CX$5,0))</f>
        <v>#N/A</v>
      </c>
      <c r="AY79" s="240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7"/>
      <c r="BA79" s="216">
        <v>-65</v>
      </c>
      <c r="BB79" s="207" t="s">
        <v>208</v>
      </c>
      <c r="BC79" s="233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2" t="e">
        <f>INDEX('файл остатки'!$A$5:$CX$265,MATCH($H$1,'файл остатки'!$A$5:$A$228,0),MATCH($B79,'файл остатки'!$A$5:$CX$5,0))</f>
        <v>#N/A</v>
      </c>
      <c r="BE79" s="240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7"/>
      <c r="BG79" s="216"/>
      <c r="BH79" s="207" t="s">
        <v>208</v>
      </c>
      <c r="BI79" s="233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2" t="e">
        <f>INDEX('файл остатки'!$A$5:$CX$265,MATCH($H$1,'файл остатки'!$A$5:$A$228,0),MATCH($B79,'файл остатки'!$A$5:$CX$5,0))</f>
        <v>#N/A</v>
      </c>
      <c r="BK79" s="212" t="e">
        <f t="shared" si="6"/>
        <v>#N/A</v>
      </c>
      <c r="BL79" s="240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7"/>
      <c r="BN79" s="216" t="e">
        <f t="shared" si="7"/>
        <v>#N/A</v>
      </c>
      <c r="BO79" s="207" t="s">
        <v>208</v>
      </c>
      <c r="BP79" s="233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2" t="e">
        <f>INDEX('файл остатки'!$A$5:$CX$265,MATCH($H$1,'файл остатки'!$A$5:$A$228,0),MATCH($B79,'файл остатки'!$A$5:$CX$5,0))</f>
        <v>#N/A</v>
      </c>
      <c r="BR79" s="240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7"/>
      <c r="BT79" s="216" t="e">
        <f t="shared" si="8"/>
        <v>#N/A</v>
      </c>
      <c r="BU79" s="207" t="s">
        <v>208</v>
      </c>
      <c r="BV79" s="233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2" t="e">
        <f>INDEX('файл остатки'!$A$5:$CX$265,MATCH($H$1,'файл остатки'!$A$5:$A$228,0),MATCH($B79,'файл остатки'!$A$5:$CX$5,0))</f>
        <v>#N/A</v>
      </c>
      <c r="BX79" s="240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7"/>
      <c r="BZ79" s="216" t="e">
        <f t="shared" si="9"/>
        <v>#N/A</v>
      </c>
      <c r="CA79" s="207" t="s">
        <v>208</v>
      </c>
      <c r="CB79" s="233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2" t="e">
        <f>INDEX('файл остатки'!$A$5:$CX$265,MATCH($H$1,'файл остатки'!$A$5:$A$228,0),MATCH($B79,'файл остатки'!$A$5:$CX$5,0))</f>
        <v>#N/A</v>
      </c>
      <c r="CD79" s="240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7"/>
      <c r="CH79" s="216">
        <f t="shared" si="10"/>
        <v>-357.56</v>
      </c>
      <c r="CI79" s="207" t="s">
        <v>208</v>
      </c>
      <c r="CJ79" s="216" t="e">
        <f t="shared" si="11"/>
        <v>#N/A</v>
      </c>
      <c r="CK79" s="207" t="s">
        <v>208</v>
      </c>
      <c r="CO79" s="222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19" t="s">
        <v>162</v>
      </c>
      <c r="C80" s="243">
        <f>INDEX('файл остатки'!$A$5:$CX$265,MATCH($C$1,'файл остатки'!$A$5:$A$228,0),MATCH(B80,'файл остатки'!$A$5:$CX$5,0))</f>
        <v>118.4</v>
      </c>
      <c r="D80" s="247"/>
      <c r="E80" s="216">
        <v>-183.52000000000004</v>
      </c>
      <c r="F80" s="150">
        <f>-(E79)/'планирование суточное'!$K$104</f>
        <v>0.21706666666666663</v>
      </c>
      <c r="G80" s="233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2">
        <f>INDEX('файл остатки'!$A$5:$CX$265,MATCH($H$1,'файл остатки'!$A$5:$A$228,0),MATCH($B80,'файл остатки'!$A$5:$CX$5,0))</f>
        <v>235.10857142857142</v>
      </c>
      <c r="I80" s="240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7"/>
      <c r="K80" s="216">
        <v>-240</v>
      </c>
      <c r="L80" s="150">
        <f>-(K79)/'планирование суточное'!$K$104</f>
        <v>0.43333333333333335</v>
      </c>
      <c r="M80" s="233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2">
        <f>INDEX('файл остатки'!$A$5:$CX$265,MATCH($H$1,'файл остатки'!$A$5:$A$228,0),MATCH($B80,'файл остатки'!$A$5:$CX$5,0))</f>
        <v>235.10857142857142</v>
      </c>
      <c r="O80" s="240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7"/>
      <c r="Q80" s="216">
        <v>-200</v>
      </c>
      <c r="R80" s="150">
        <f>-(Q79)/'планирование суточное'!$K$104</f>
        <v>0.43333333333333335</v>
      </c>
      <c r="S80" s="233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2">
        <f>INDEX('файл остатки'!$A$5:$CX$265,MATCH($H$1,'файл остатки'!$A$5:$A$228,0),MATCH($B80,'файл остатки'!$A$5:$CX$5,0))</f>
        <v>235.10857142857142</v>
      </c>
      <c r="U80" s="240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7"/>
      <c r="W80" s="216"/>
      <c r="X80" s="150">
        <f>-(W79)/'планирование суточное'!$K$104</f>
        <v>0</v>
      </c>
      <c r="Y80" s="233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2">
        <f>INDEX('файл остатки'!$A$5:$CX$265,MATCH($H$1,'файл остатки'!$A$5:$A$228,0),MATCH($B80,'файл остатки'!$A$5:$CX$5,0))</f>
        <v>235.10857142857142</v>
      </c>
      <c r="AA80" s="240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7"/>
      <c r="AC80" s="216">
        <v>-360</v>
      </c>
      <c r="AD80" s="150">
        <f>-(AC79)/'планирование суточное'!$K$104</f>
        <v>0.8666666666666667</v>
      </c>
      <c r="AE80" s="233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2">
        <f>INDEX('файл остатки'!$A$5:$CX$265,MATCH($H$1,'файл остатки'!$A$5:$A$228,0),MATCH($B80,'файл остатки'!$A$5:$CX$5,0))</f>
        <v>235.10857142857142</v>
      </c>
      <c r="AG80" s="240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7"/>
      <c r="AI80" s="216"/>
      <c r="AJ80" s="150">
        <f>-(AI79)/'планирование суточное'!$K$104</f>
        <v>0</v>
      </c>
      <c r="AK80" s="233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2">
        <f>INDEX('файл остатки'!$A$5:$CX$265,MATCH($H$1,'файл остатки'!$A$5:$A$228,0),MATCH($B80,'файл остатки'!$A$5:$CX$5,0))</f>
        <v>235.10857142857142</v>
      </c>
      <c r="AM80" s="240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7"/>
      <c r="AO80" s="216"/>
      <c r="AP80" s="150">
        <f>-(AO79)/'планирование суточное'!$K$104</f>
        <v>0</v>
      </c>
      <c r="AQ80" s="233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2">
        <f>INDEX('файл остатки'!$A$5:$CX$265,MATCH($H$1,'файл остатки'!$A$5:$A$228,0),MATCH($B80,'файл остатки'!$A$5:$CX$5,0))</f>
        <v>235.10857142857142</v>
      </c>
      <c r="AS80" s="240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7"/>
      <c r="AU80" s="216"/>
      <c r="AV80" s="150">
        <f>-(AU79)/'планирование суточное'!$K$104</f>
        <v>0</v>
      </c>
      <c r="AW80" s="233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2">
        <f>INDEX('файл остатки'!$A$5:$CX$265,MATCH($H$1,'файл остатки'!$A$5:$A$228,0),MATCH($B80,'файл остатки'!$A$5:$CX$5,0))</f>
        <v>235.10857142857142</v>
      </c>
      <c r="AY80" s="240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7"/>
      <c r="BA80" s="216">
        <v>-240</v>
      </c>
      <c r="BB80" s="150">
        <f>-(BA79)/'планирование суточное'!$K$104</f>
        <v>0.43333333333333335</v>
      </c>
      <c r="BC80" s="233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2">
        <f>INDEX('файл остатки'!$A$5:$CX$265,MATCH($H$1,'файл остатки'!$A$5:$A$228,0),MATCH($B80,'файл остатки'!$A$5:$CX$5,0))</f>
        <v>235.10857142857142</v>
      </c>
      <c r="BE80" s="240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7"/>
      <c r="BG80" s="216"/>
      <c r="BH80" s="150">
        <f>-(BG79)/'планирование суточное'!$K$104</f>
        <v>0</v>
      </c>
      <c r="BI80" s="233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2">
        <f>INDEX('файл остатки'!$A$5:$CX$265,MATCH($H$1,'файл остатки'!$A$5:$A$228,0),MATCH($B80,'файл остатки'!$A$5:$CX$5,0))</f>
        <v>235.10857142857142</v>
      </c>
      <c r="BK80" s="212" t="e">
        <f t="shared" si="6"/>
        <v>#N/A</v>
      </c>
      <c r="BL80" s="240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7"/>
      <c r="BN80" s="216">
        <f t="shared" si="7"/>
        <v>-1643.1825000000003</v>
      </c>
      <c r="BO80" s="150" t="e">
        <f>-(BN79)/'планирование суточное'!$K$104</f>
        <v>#N/A</v>
      </c>
      <c r="BP80" s="233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1643.1825000000003</v>
      </c>
      <c r="BQ80" s="212">
        <f>INDEX('файл остатки'!$A$5:$CX$265,MATCH($H$1,'файл остатки'!$A$5:$A$228,0),MATCH($B80,'файл остатки'!$A$5:$CX$5,0))</f>
        <v>235.10857142857142</v>
      </c>
      <c r="BR80" s="240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7"/>
      <c r="BT80" s="216">
        <f t="shared" si="8"/>
        <v>-1643.1825000000003</v>
      </c>
      <c r="BU80" s="150" t="e">
        <f>-(BT79)/'планирование суточное'!$K$104</f>
        <v>#N/A</v>
      </c>
      <c r="BV80" s="233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1643.1825000000003</v>
      </c>
      <c r="BW80" s="212">
        <f>INDEX('файл остатки'!$A$5:$CX$265,MATCH($H$1,'файл остатки'!$A$5:$A$228,0),MATCH($B80,'файл остатки'!$A$5:$CX$5,0))</f>
        <v>235.10857142857142</v>
      </c>
      <c r="BX80" s="240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7"/>
      <c r="BZ80" s="216">
        <f t="shared" si="9"/>
        <v>-1600.0625000000005</v>
      </c>
      <c r="CA80" s="150" t="e">
        <f>-(BZ79)/'планирование суточное'!$K$104</f>
        <v>#N/A</v>
      </c>
      <c r="CB80" s="233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1600.0625000000005</v>
      </c>
      <c r="CC80" s="212">
        <f>INDEX('файл остатки'!$A$5:$CX$265,MATCH($H$1,'файл остатки'!$A$5:$A$228,0),MATCH($B80,'файл остатки'!$A$5:$CX$5,0))</f>
        <v>235.10857142857142</v>
      </c>
      <c r="CD80" s="240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7"/>
      <c r="CH80" s="216">
        <f t="shared" si="10"/>
        <v>-1223.52</v>
      </c>
      <c r="CI80" s="150">
        <f>-(CH79)/'планирование суточное'!$K$104</f>
        <v>2.3837333333333333</v>
      </c>
      <c r="CJ80" s="216" t="e">
        <f t="shared" si="11"/>
        <v>#N/A</v>
      </c>
      <c r="CK80" s="150" t="e">
        <f>-(CJ79)/'планирование суточное'!$K$104</f>
        <v>#N/A</v>
      </c>
      <c r="CO80" s="222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19"/>
      <c r="C81" s="243"/>
      <c r="D81" s="247"/>
      <c r="E81" s="216">
        <v>0</v>
      </c>
      <c r="F81" s="207" t="s">
        <v>206</v>
      </c>
      <c r="G81" s="233"/>
      <c r="H81" s="212"/>
      <c r="I81" s="240"/>
      <c r="J81" s="217"/>
      <c r="K81" s="216"/>
      <c r="L81" s="207" t="s">
        <v>206</v>
      </c>
      <c r="M81" s="233"/>
      <c r="N81" s="212"/>
      <c r="O81" s="240"/>
      <c r="P81" s="217"/>
      <c r="Q81" s="216">
        <v>0</v>
      </c>
      <c r="R81" s="207" t="s">
        <v>206</v>
      </c>
      <c r="S81" s="233"/>
      <c r="T81" s="212"/>
      <c r="U81" s="240"/>
      <c r="V81" s="217"/>
      <c r="W81" s="216"/>
      <c r="X81" s="207" t="s">
        <v>206</v>
      </c>
      <c r="Y81" s="233"/>
      <c r="Z81" s="212"/>
      <c r="AA81" s="240"/>
      <c r="AB81" s="217"/>
      <c r="AC81" s="216"/>
      <c r="AD81" s="207" t="s">
        <v>206</v>
      </c>
      <c r="AE81" s="233"/>
      <c r="AF81" s="212"/>
      <c r="AG81" s="240"/>
      <c r="AH81" s="217"/>
      <c r="AI81" s="216"/>
      <c r="AJ81" s="207" t="s">
        <v>206</v>
      </c>
      <c r="AK81" s="233"/>
      <c r="AL81" s="212"/>
      <c r="AM81" s="240"/>
      <c r="AN81" s="217"/>
      <c r="AO81" s="216"/>
      <c r="AP81" s="207" t="s">
        <v>206</v>
      </c>
      <c r="AQ81" s="233"/>
      <c r="AR81" s="212"/>
      <c r="AS81" s="240"/>
      <c r="AT81" s="217"/>
      <c r="AU81" s="216"/>
      <c r="AV81" s="207" t="s">
        <v>206</v>
      </c>
      <c r="AW81" s="233"/>
      <c r="AX81" s="212"/>
      <c r="AY81" s="240"/>
      <c r="AZ81" s="217"/>
      <c r="BA81" s="216"/>
      <c r="BB81" s="207" t="s">
        <v>206</v>
      </c>
      <c r="BC81" s="233"/>
      <c r="BD81" s="212"/>
      <c r="BE81" s="240"/>
      <c r="BF81" s="217"/>
      <c r="BG81" s="216"/>
      <c r="BH81" s="207" t="s">
        <v>206</v>
      </c>
      <c r="BI81" s="233"/>
      <c r="BJ81" s="212"/>
      <c r="BK81" s="212"/>
      <c r="BL81" s="240"/>
      <c r="BM81" s="217"/>
      <c r="BN81" s="216">
        <f t="shared" si="7"/>
        <v>0</v>
      </c>
      <c r="BO81" s="207" t="s">
        <v>206</v>
      </c>
      <c r="BP81" s="233"/>
      <c r="BQ81" s="212"/>
      <c r="BR81" s="240"/>
      <c r="BS81" s="217"/>
      <c r="BT81" s="216">
        <f t="shared" si="8"/>
        <v>0</v>
      </c>
      <c r="BU81" s="207" t="s">
        <v>206</v>
      </c>
      <c r="BV81" s="233"/>
      <c r="BW81" s="212"/>
      <c r="BX81" s="240"/>
      <c r="BY81" s="217"/>
      <c r="BZ81" s="216">
        <f t="shared" si="9"/>
        <v>0</v>
      </c>
      <c r="CA81" s="207" t="s">
        <v>206</v>
      </c>
      <c r="CB81" s="233"/>
      <c r="CC81" s="212"/>
      <c r="CD81" s="240"/>
      <c r="CE81" s="217"/>
      <c r="CH81" s="216"/>
      <c r="CI81" s="207" t="s">
        <v>206</v>
      </c>
      <c r="CJ81" s="216"/>
      <c r="CK81" s="207" t="s">
        <v>206</v>
      </c>
      <c r="CO81" s="222"/>
    </row>
    <row r="82" spans="1:93" ht="24" customHeight="1">
      <c r="A82" s="150" t="s">
        <v>20</v>
      </c>
      <c r="B82" s="220" t="s">
        <v>152</v>
      </c>
      <c r="C82" s="243" t="e">
        <f>INDEX('файл остатки'!$A$5:$CX$265,MATCH($C$1,'файл остатки'!$A$5:$A$228,0),MATCH(B82,'файл остатки'!$A$5:$CX$5,0))</f>
        <v>#N/A</v>
      </c>
      <c r="D82" s="247"/>
      <c r="E82" s="216">
        <v>0</v>
      </c>
      <c r="F82" s="150" t="e">
        <f>-(E80)/'планирование суточное'!$K$111</f>
        <v>#DIV/0!</v>
      </c>
      <c r="G82" s="233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2" t="e">
        <f>INDEX('файл остатки'!$A$5:$CX$265,MATCH($H$1,'файл остатки'!$A$5:$A$228,0),MATCH($B82,'файл остатки'!$A$5:$CX$5,0))</f>
        <v>#N/A</v>
      </c>
      <c r="I82" s="240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7"/>
      <c r="K82" s="216">
        <v>-10</v>
      </c>
      <c r="L82" s="150" t="e">
        <f>-(K80)/'планирование суточное'!$K$111</f>
        <v>#DIV/0!</v>
      </c>
      <c r="M82" s="233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2" t="e">
        <f>INDEX('файл остатки'!$A$5:$CX$265,MATCH($H$1,'файл остатки'!$A$5:$A$228,0),MATCH($B82,'файл остатки'!$A$5:$CX$5,0))</f>
        <v>#N/A</v>
      </c>
      <c r="O82" s="240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7"/>
      <c r="Q82" s="216">
        <v>-24</v>
      </c>
      <c r="R82" s="150" t="e">
        <f>-(Q80)/'планирование суточное'!$K$111</f>
        <v>#DIV/0!</v>
      </c>
      <c r="S82" s="233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2" t="e">
        <f>INDEX('файл остатки'!$A$5:$CX$265,MATCH($H$1,'файл остатки'!$A$5:$A$228,0),MATCH($B82,'файл остатки'!$A$5:$CX$5,0))</f>
        <v>#N/A</v>
      </c>
      <c r="U82" s="240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7"/>
      <c r="W82" s="216"/>
      <c r="X82" s="150" t="e">
        <f>-(W80)/'планирование суточное'!$K$111</f>
        <v>#DIV/0!</v>
      </c>
      <c r="Y82" s="233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2" t="e">
        <f>INDEX('файл остатки'!$A$5:$CX$265,MATCH($H$1,'файл остатки'!$A$5:$A$228,0),MATCH($B82,'файл остатки'!$A$5:$CX$5,0))</f>
        <v>#N/A</v>
      </c>
      <c r="AA82" s="240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7"/>
      <c r="AC82" s="216"/>
      <c r="AD82" s="150" t="e">
        <f>-(AC80)/'планирование суточное'!$K$111</f>
        <v>#DIV/0!</v>
      </c>
      <c r="AE82" s="233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2" t="e">
        <f>INDEX('файл остатки'!$A$5:$CX$265,MATCH($H$1,'файл остатки'!$A$5:$A$228,0),MATCH($B82,'файл остатки'!$A$5:$CX$5,0))</f>
        <v>#N/A</v>
      </c>
      <c r="AG82" s="240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7"/>
      <c r="AI82" s="216"/>
      <c r="AJ82" s="150" t="e">
        <f>-(AI80)/'планирование суточное'!$K$111</f>
        <v>#DIV/0!</v>
      </c>
      <c r="AK82" s="233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2" t="e">
        <f>INDEX('файл остатки'!$A$5:$CX$265,MATCH($H$1,'файл остатки'!$A$5:$A$228,0),MATCH($B82,'файл остатки'!$A$5:$CX$5,0))</f>
        <v>#N/A</v>
      </c>
      <c r="AM82" s="240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7"/>
      <c r="AO82" s="216"/>
      <c r="AP82" s="150" t="e">
        <f>-(AO80)/'планирование суточное'!$K$111</f>
        <v>#DIV/0!</v>
      </c>
      <c r="AQ82" s="233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2" t="e">
        <f>INDEX('файл остатки'!$A$5:$CX$265,MATCH($H$1,'файл остатки'!$A$5:$A$228,0),MATCH($B82,'файл остатки'!$A$5:$CX$5,0))</f>
        <v>#N/A</v>
      </c>
      <c r="AS82" s="240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7"/>
      <c r="AU82" s="216"/>
      <c r="AV82" s="150" t="e">
        <f>-(AU80)/'планирование суточное'!$K$111</f>
        <v>#DIV/0!</v>
      </c>
      <c r="AW82" s="233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2" t="e">
        <f>INDEX('файл остатки'!$A$5:$CX$265,MATCH($H$1,'файл остатки'!$A$5:$A$228,0),MATCH($B82,'файл остатки'!$A$5:$CX$5,0))</f>
        <v>#N/A</v>
      </c>
      <c r="AY82" s="240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7"/>
      <c r="BA82" s="216"/>
      <c r="BB82" s="150" t="e">
        <f>-(BA80)/'планирование суточное'!$K$111</f>
        <v>#DIV/0!</v>
      </c>
      <c r="BC82" s="233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2" t="e">
        <f>INDEX('файл остатки'!$A$5:$CX$265,MATCH($H$1,'файл остатки'!$A$5:$A$228,0),MATCH($B82,'файл остатки'!$A$5:$CX$5,0))</f>
        <v>#N/A</v>
      </c>
      <c r="BE82" s="240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7"/>
      <c r="BG82" s="216"/>
      <c r="BH82" s="150" t="e">
        <f>-(BG80)/'планирование суточное'!$K$111</f>
        <v>#DIV/0!</v>
      </c>
      <c r="BI82" s="233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2" t="e">
        <f>INDEX('файл остатки'!$A$5:$CX$265,MATCH($H$1,'файл остатки'!$A$5:$A$228,0),MATCH($B82,'файл остатки'!$A$5:$CX$5,0))</f>
        <v>#N/A</v>
      </c>
      <c r="BK82" s="212" t="e">
        <f t="shared" si="6"/>
        <v>#N/A</v>
      </c>
      <c r="BL82" s="240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7"/>
      <c r="BN82" s="216" t="e">
        <f t="shared" si="7"/>
        <v>#N/A</v>
      </c>
      <c r="BO82" s="150" t="e">
        <f>-(BN80)/'планирование суточное'!$K$111</f>
        <v>#DIV/0!</v>
      </c>
      <c r="BP82" s="233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2" t="e">
        <f>INDEX('файл остатки'!$A$5:$CX$265,MATCH($H$1,'файл остатки'!$A$5:$A$228,0),MATCH($B82,'файл остатки'!$A$5:$CX$5,0))</f>
        <v>#N/A</v>
      </c>
      <c r="BR82" s="240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7"/>
      <c r="BT82" s="216" t="e">
        <f t="shared" si="8"/>
        <v>#N/A</v>
      </c>
      <c r="BU82" s="150" t="e">
        <f>-(BT80)/'планирование суточное'!$K$111</f>
        <v>#DIV/0!</v>
      </c>
      <c r="BV82" s="233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2" t="e">
        <f>INDEX('файл остатки'!$A$5:$CX$265,MATCH($H$1,'файл остатки'!$A$5:$A$228,0),MATCH($B82,'файл остатки'!$A$5:$CX$5,0))</f>
        <v>#N/A</v>
      </c>
      <c r="BX82" s="240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7"/>
      <c r="BZ82" s="216" t="e">
        <f t="shared" si="9"/>
        <v>#N/A</v>
      </c>
      <c r="CA82" s="150" t="e">
        <f>-(BZ80)/'планирование суточное'!$K$111</f>
        <v>#DIV/0!</v>
      </c>
      <c r="CB82" s="233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2" t="e">
        <f>INDEX('файл остатки'!$A$5:$CX$265,MATCH($H$1,'файл остатки'!$A$5:$A$228,0),MATCH($B82,'файл остатки'!$A$5:$CX$5,0))</f>
        <v>#N/A</v>
      </c>
      <c r="CD82" s="240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7"/>
      <c r="CH82" s="216">
        <f t="shared" si="10"/>
        <v>-34</v>
      </c>
      <c r="CI82" s="150" t="e">
        <f>-(CH80)/'планирование суточное'!$K$111</f>
        <v>#DIV/0!</v>
      </c>
      <c r="CJ82" s="216" t="e">
        <f t="shared" si="11"/>
        <v>#N/A</v>
      </c>
      <c r="CK82" s="150" t="e">
        <f>-(CJ80)/'планирование суточное'!$K$111</f>
        <v>#N/A</v>
      </c>
      <c r="CO82" s="222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0" t="s">
        <v>275</v>
      </c>
      <c r="C83" s="243" t="e">
        <f>INDEX('файл остатки'!$A$5:$CX$265,MATCH($C$1,'файл остатки'!$A$5:$A$228,0),MATCH(B83,'файл остатки'!$A$5:$CX$5,0))</f>
        <v>#N/A</v>
      </c>
      <c r="D83" s="247"/>
      <c r="E83" s="216"/>
      <c r="F83" s="207"/>
      <c r="G83" s="271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2" t="e">
        <f>INDEX('файл остатки'!$A$5:$CX$265,MATCH($H$1,'файл остатки'!$A$5:$A$228,0),MATCH($B83,'файл остатки'!$A$5:$CX$5,0))</f>
        <v>#N/A</v>
      </c>
      <c r="I83" s="240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7"/>
      <c r="K83" s="216">
        <v>-75</v>
      </c>
      <c r="L83" s="207"/>
      <c r="M83" s="271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2" t="e">
        <f>INDEX('файл остатки'!$A$5:$CX$265,MATCH($H$1,'файл остатки'!$A$5:$A$228,0),MATCH($B83,'файл остатки'!$A$5:$CX$5,0))</f>
        <v>#N/A</v>
      </c>
      <c r="O83" s="240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7">
        <v>75</v>
      </c>
      <c r="Q83" s="216"/>
      <c r="R83" s="207"/>
      <c r="S83" s="271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2" t="e">
        <f>INDEX('файл остатки'!$A$5:$CX$265,MATCH($H$1,'файл остатки'!$A$5:$A$228,0),MATCH($B83,'файл остатки'!$A$5:$CX$5,0))</f>
        <v>#N/A</v>
      </c>
      <c r="U83" s="240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7"/>
      <c r="W83" s="216"/>
      <c r="X83" s="207"/>
      <c r="Y83" s="271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2" t="e">
        <f>INDEX('файл остатки'!$A$5:$CX$265,MATCH($H$1,'файл остатки'!$A$5:$A$228,0),MATCH($B83,'файл остатки'!$A$5:$CX$5,0))</f>
        <v>#N/A</v>
      </c>
      <c r="AA83" s="240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7"/>
      <c r="AC83" s="216">
        <v>-600</v>
      </c>
      <c r="AD83" s="207"/>
      <c r="AE83" s="271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2" t="e">
        <f>INDEX('файл остатки'!$A$5:$CX$265,MATCH($H$1,'файл остатки'!$A$5:$A$228,0),MATCH($B83,'файл остатки'!$A$5:$CX$5,0))</f>
        <v>#N/A</v>
      </c>
      <c r="AG83" s="240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7"/>
      <c r="AI83" s="216"/>
      <c r="AJ83" s="207"/>
      <c r="AK83" s="271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2" t="e">
        <f>INDEX('файл остатки'!$A$5:$CX$265,MATCH($H$1,'файл остатки'!$A$5:$A$228,0),MATCH($B83,'файл остатки'!$A$5:$CX$5,0))</f>
        <v>#N/A</v>
      </c>
      <c r="AM83" s="240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7"/>
      <c r="AO83" s="216"/>
      <c r="AP83" s="207"/>
      <c r="AQ83" s="271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2" t="e">
        <f>INDEX('файл остатки'!$A$5:$CX$265,MATCH($H$1,'файл остатки'!$A$5:$A$228,0),MATCH($B83,'файл остатки'!$A$5:$CX$5,0))</f>
        <v>#N/A</v>
      </c>
      <c r="AS83" s="240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7"/>
      <c r="AU83" s="216"/>
      <c r="AV83" s="207"/>
      <c r="AW83" s="271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2" t="e">
        <f>INDEX('файл остатки'!$A$5:$CX$265,MATCH($H$1,'файл остатки'!$A$5:$A$228,0),MATCH($B83,'файл остатки'!$A$5:$CX$5,0))</f>
        <v>#N/A</v>
      </c>
      <c r="AY83" s="240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7"/>
      <c r="BA83" s="216">
        <v>-600</v>
      </c>
      <c r="BB83" s="207"/>
      <c r="BC83" s="271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2" t="e">
        <f>INDEX('файл остатки'!$A$5:$CX$265,MATCH($H$1,'файл остатки'!$A$5:$A$228,0),MATCH($B83,'файл остатки'!$A$5:$CX$5,0))</f>
        <v>#N/A</v>
      </c>
      <c r="BE83" s="240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7"/>
      <c r="BG83" s="216"/>
      <c r="BH83" s="207"/>
      <c r="BI83" s="271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2" t="e">
        <f>INDEX('файл остатки'!$A$5:$CX$265,MATCH($H$1,'файл остатки'!$A$5:$A$228,0),MATCH($B83,'файл остатки'!$A$5:$CX$5,0))</f>
        <v>#N/A</v>
      </c>
      <c r="BK83" s="212" t="e">
        <f>((-CJ83/10+BP83/7+BV83/7+CB83/7)/4)*CO83</f>
        <v>#N/A</v>
      </c>
      <c r="BL83" s="240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7"/>
      <c r="BN83" s="216" t="e">
        <f>-BP83</f>
        <v>#N/A</v>
      </c>
      <c r="BO83" s="207"/>
      <c r="BP83" s="271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2" t="e">
        <f>INDEX('файл остатки'!$A$5:$CX$265,MATCH($H$1,'файл остатки'!$A$5:$A$228,0),MATCH($B83,'файл остатки'!$A$5:$CX$5,0))</f>
        <v>#N/A</v>
      </c>
      <c r="BR83" s="240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7"/>
      <c r="BT83" s="216" t="e">
        <f>-BV83</f>
        <v>#N/A</v>
      </c>
      <c r="BU83" s="207"/>
      <c r="BV83" s="271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2" t="e">
        <f>INDEX('файл остатки'!$A$5:$CX$265,MATCH($H$1,'файл остатки'!$A$5:$A$228,0),MATCH($B83,'файл остатки'!$A$5:$CX$5,0))</f>
        <v>#N/A</v>
      </c>
      <c r="BX83" s="240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7"/>
      <c r="BZ83" s="216" t="e">
        <f>-CB83</f>
        <v>#N/A</v>
      </c>
      <c r="CA83" s="207"/>
      <c r="CB83" s="271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2" t="e">
        <f>INDEX('файл остатки'!$A$5:$CX$265,MATCH($H$1,'файл остатки'!$A$5:$A$228,0),MATCH($B83,'файл остатки'!$A$5:$CX$5,0))</f>
        <v>#N/A</v>
      </c>
      <c r="CD83" s="240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7"/>
      <c r="CH83" s="216">
        <f>E83+K83+Q83+W83+AC83+AI83+AO83+AU83+BA83+BG83</f>
        <v>-1275</v>
      </c>
      <c r="CI83" s="150" t="e">
        <f>-(CH81)/'планирование суточное'!$K$111</f>
        <v>#DIV/0!</v>
      </c>
      <c r="CJ83" s="216" t="e">
        <f>-(G83+M83+S83+Y83+AE83+AK83+AQ83+AW83+BC83+BI83)</f>
        <v>#N/A</v>
      </c>
      <c r="CK83" s="150" t="e">
        <f>-(CJ81)/'планирование суточное'!$K$111</f>
        <v>#DIV/0!</v>
      </c>
      <c r="CO83" s="222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0" t="s">
        <v>155</v>
      </c>
      <c r="C84" s="243">
        <f>INDEX('файл остатки'!$A$5:$CX$265,MATCH($C$1,'файл остатки'!$A$5:$A$228,0),MATCH(B84,'файл остатки'!$A$5:$CX$5,0))</f>
        <v>17.760000000000002</v>
      </c>
      <c r="D84" s="247"/>
      <c r="E84" s="216">
        <v>-449.91999999999996</v>
      </c>
      <c r="F84" s="207" t="s">
        <v>207</v>
      </c>
      <c r="G84" s="233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2">
        <f>INDEX('файл остатки'!$A$5:$CX$265,MATCH($H$1,'файл остатки'!$A$5:$A$228,0),MATCH($B84,'файл остатки'!$A$5:$CX$5,0))</f>
        <v>174.92190476190476</v>
      </c>
      <c r="I84" s="240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7"/>
      <c r="K84" s="216">
        <v>-224</v>
      </c>
      <c r="L84" s="207" t="s">
        <v>207</v>
      </c>
      <c r="M84" s="233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2">
        <f>INDEX('файл остатки'!$A$5:$CX$265,MATCH($H$1,'файл остатки'!$A$5:$A$228,0),MATCH($B84,'файл остатки'!$A$5:$CX$5,0))</f>
        <v>174.92190476190476</v>
      </c>
      <c r="O84" s="240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7"/>
      <c r="Q84" s="216">
        <v>-15</v>
      </c>
      <c r="R84" s="207" t="s">
        <v>207</v>
      </c>
      <c r="S84" s="233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2">
        <f>INDEX('файл остатки'!$A$5:$CX$265,MATCH($H$1,'файл остатки'!$A$5:$A$228,0),MATCH($B84,'файл остатки'!$A$5:$CX$5,0))</f>
        <v>174.92190476190476</v>
      </c>
      <c r="U84" s="240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7"/>
      <c r="W84" s="216"/>
      <c r="X84" s="207" t="s">
        <v>207</v>
      </c>
      <c r="Y84" s="233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2">
        <f>INDEX('файл остатки'!$A$5:$CX$265,MATCH($H$1,'файл остатки'!$A$5:$A$228,0),MATCH($B84,'файл остатки'!$A$5:$CX$5,0))</f>
        <v>174.92190476190476</v>
      </c>
      <c r="AA84" s="240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7"/>
      <c r="AC84" s="216">
        <v>-590</v>
      </c>
      <c r="AD84" s="207" t="s">
        <v>207</v>
      </c>
      <c r="AE84" s="233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2">
        <f>INDEX('файл остатки'!$A$5:$CX$265,MATCH($H$1,'файл остатки'!$A$5:$A$228,0),MATCH($B84,'файл остатки'!$A$5:$CX$5,0))</f>
        <v>174.92190476190476</v>
      </c>
      <c r="AG84" s="240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7"/>
      <c r="AI84" s="216"/>
      <c r="AJ84" s="207" t="s">
        <v>207</v>
      </c>
      <c r="AK84" s="233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2">
        <f>INDEX('файл остатки'!$A$5:$CX$265,MATCH($H$1,'файл остатки'!$A$5:$A$228,0),MATCH($B84,'файл остатки'!$A$5:$CX$5,0))</f>
        <v>174.92190476190476</v>
      </c>
      <c r="AM84" s="240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7"/>
      <c r="AO84" s="216"/>
      <c r="AP84" s="207" t="s">
        <v>207</v>
      </c>
      <c r="AQ84" s="233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2">
        <f>INDEX('файл остатки'!$A$5:$CX$265,MATCH($H$1,'файл остатки'!$A$5:$A$228,0),MATCH($B84,'файл остатки'!$A$5:$CX$5,0))</f>
        <v>174.92190476190476</v>
      </c>
      <c r="AS84" s="240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7"/>
      <c r="AU84" s="216"/>
      <c r="AV84" s="207" t="s">
        <v>207</v>
      </c>
      <c r="AW84" s="233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2">
        <f>INDEX('файл остатки'!$A$5:$CX$265,MATCH($H$1,'файл остатки'!$A$5:$A$228,0),MATCH($B84,'файл остатки'!$A$5:$CX$5,0))</f>
        <v>174.92190476190476</v>
      </c>
      <c r="AY84" s="240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7"/>
      <c r="BA84" s="216">
        <v>-400</v>
      </c>
      <c r="BB84" s="207" t="s">
        <v>207</v>
      </c>
      <c r="BC84" s="233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2">
        <f>INDEX('файл остатки'!$A$5:$CX$265,MATCH($H$1,'файл остатки'!$A$5:$A$228,0),MATCH($B84,'файл остатки'!$A$5:$CX$5,0))</f>
        <v>174.92190476190476</v>
      </c>
      <c r="BE84" s="240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7"/>
      <c r="BG84" s="216"/>
      <c r="BH84" s="207" t="s">
        <v>207</v>
      </c>
      <c r="BI84" s="233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2">
        <f>INDEX('файл остатки'!$A$5:$CX$265,MATCH($H$1,'файл остатки'!$A$5:$A$228,0),MATCH($B84,'файл остатки'!$A$5:$CX$5,0))</f>
        <v>174.92190476190476</v>
      </c>
      <c r="BK84" s="212" t="e">
        <f t="shared" si="6"/>
        <v>#N/A</v>
      </c>
      <c r="BL84" s="240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7"/>
      <c r="BN84" s="216">
        <f t="shared" si="7"/>
        <v>-566.84000000000015</v>
      </c>
      <c r="BO84" s="207" t="s">
        <v>207</v>
      </c>
      <c r="BP84" s="233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2">
        <f>INDEX('файл остатки'!$A$5:$CX$265,MATCH($H$1,'файл остатки'!$A$5:$A$228,0),MATCH($B84,'файл остатки'!$A$5:$CX$5,0))</f>
        <v>174.92190476190476</v>
      </c>
      <c r="BR84" s="240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7"/>
      <c r="BT84" s="216">
        <f t="shared" si="8"/>
        <v>-566.84000000000015</v>
      </c>
      <c r="BU84" s="207" t="s">
        <v>207</v>
      </c>
      <c r="BV84" s="233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2">
        <f>INDEX('файл остатки'!$A$5:$CX$265,MATCH($H$1,'файл остатки'!$A$5:$A$228,0),MATCH($B84,'файл остатки'!$A$5:$CX$5,0))</f>
        <v>174.92190476190476</v>
      </c>
      <c r="BX84" s="240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7"/>
      <c r="BZ84" s="216">
        <f t="shared" si="9"/>
        <v>-566.84000000000015</v>
      </c>
      <c r="CA84" s="207" t="s">
        <v>207</v>
      </c>
      <c r="CB84" s="233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2">
        <f>INDEX('файл остатки'!$A$5:$CX$265,MATCH($H$1,'файл остатки'!$A$5:$A$228,0),MATCH($B84,'файл остатки'!$A$5:$CX$5,0))</f>
        <v>174.92190476190476</v>
      </c>
      <c r="CD84" s="240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7"/>
      <c r="CH84" s="216">
        <f t="shared" si="10"/>
        <v>-1678.92</v>
      </c>
      <c r="CI84" s="207" t="s">
        <v>207</v>
      </c>
      <c r="CJ84" s="216" t="e">
        <f t="shared" si="11"/>
        <v>#N/A</v>
      </c>
      <c r="CK84" s="207" t="s">
        <v>207</v>
      </c>
      <c r="CO84" s="222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0" t="s">
        <v>157</v>
      </c>
      <c r="C85" s="243" t="e">
        <f>INDEX('файл остатки'!$A$5:$CX$265,MATCH($C$1,'файл остатки'!$A$5:$A$228,0),MATCH(B85,'файл остатки'!$A$5:$CX$5,0))</f>
        <v>#N/A</v>
      </c>
      <c r="D85" s="247"/>
      <c r="E85" s="216">
        <v>-42</v>
      </c>
      <c r="F85" s="150">
        <f>-(E82+E83+E84+E85)/'планирование суточное'!$K$114</f>
        <v>3.2794666666666665</v>
      </c>
      <c r="G85" s="233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2" t="e">
        <f>INDEX('файл остатки'!$A$5:$CX$265,MATCH($H$1,'файл остатки'!$A$5:$A$228,0),MATCH($B85,'файл остатки'!$A$5:$CX$5,0))</f>
        <v>#N/A</v>
      </c>
      <c r="I85" s="240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7"/>
      <c r="K85" s="216">
        <v>-27</v>
      </c>
      <c r="L85" s="150">
        <f>-(K82+K83+K84+K85)/'планирование суточное'!$K$114</f>
        <v>2.2400000000000002</v>
      </c>
      <c r="M85" s="233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2" t="e">
        <f>INDEX('файл остатки'!$A$5:$CX$265,MATCH($H$1,'файл остатки'!$A$5:$A$228,0),MATCH($B85,'файл остатки'!$A$5:$CX$5,0))</f>
        <v>#N/A</v>
      </c>
      <c r="O85" s="240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7">
        <v>15</v>
      </c>
      <c r="Q85" s="216">
        <v>-12</v>
      </c>
      <c r="R85" s="150">
        <f>-(Q82+Q83+Q84+Q85)/'планирование суточное'!$K$114</f>
        <v>0.34</v>
      </c>
      <c r="S85" s="233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2" t="e">
        <f>INDEX('файл остатки'!$A$5:$CX$265,MATCH($H$1,'файл остатки'!$A$5:$A$228,0),MATCH($B85,'файл остатки'!$A$5:$CX$5,0))</f>
        <v>#N/A</v>
      </c>
      <c r="U85" s="240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7"/>
      <c r="W85" s="216"/>
      <c r="X85" s="150">
        <f>-(W82+W83+W84+W85)/'планирование суточное'!$K$114</f>
        <v>0</v>
      </c>
      <c r="Y85" s="233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2" t="e">
        <f>INDEX('файл остатки'!$A$5:$CX$265,MATCH($H$1,'файл остатки'!$A$5:$A$228,0),MATCH($B85,'файл остатки'!$A$5:$CX$5,0))</f>
        <v>#N/A</v>
      </c>
      <c r="AA85" s="240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7"/>
      <c r="AC85" s="216">
        <v>-35</v>
      </c>
      <c r="AD85" s="150">
        <f>-(AC82+AC83+AC84+AC85)/'планирование суточное'!$K$114</f>
        <v>8.1666666666666661</v>
      </c>
      <c r="AE85" s="233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2" t="e">
        <f>INDEX('файл остатки'!$A$5:$CX$265,MATCH($H$1,'файл остатки'!$A$5:$A$228,0),MATCH($B85,'файл остатки'!$A$5:$CX$5,0))</f>
        <v>#N/A</v>
      </c>
      <c r="AG85" s="240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7"/>
      <c r="AI85" s="216"/>
      <c r="AJ85" s="150">
        <f>-(AI82+AI83+AI84+AI85)/'планирование суточное'!$K$114</f>
        <v>0</v>
      </c>
      <c r="AK85" s="233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2" t="e">
        <f>INDEX('файл остатки'!$A$5:$CX$265,MATCH($H$1,'файл остатки'!$A$5:$A$228,0),MATCH($B85,'файл остатки'!$A$5:$CX$5,0))</f>
        <v>#N/A</v>
      </c>
      <c r="AM85" s="240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7"/>
      <c r="AO85" s="216"/>
      <c r="AP85" s="150">
        <f>-(AO82+AO83+AO84+AO85)/'планирование суточное'!$K$114</f>
        <v>0</v>
      </c>
      <c r="AQ85" s="233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2" t="e">
        <f>INDEX('файл остатки'!$A$5:$CX$265,MATCH($H$1,'файл остатки'!$A$5:$A$228,0),MATCH($B85,'файл остатки'!$A$5:$CX$5,0))</f>
        <v>#N/A</v>
      </c>
      <c r="AS85" s="240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7"/>
      <c r="AU85" s="216"/>
      <c r="AV85" s="150">
        <f>-(AU82+AU83+AU84+AU85)/'планирование суточное'!$K$114</f>
        <v>0</v>
      </c>
      <c r="AW85" s="233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2" t="e">
        <f>INDEX('файл остатки'!$A$5:$CX$265,MATCH($H$1,'файл остатки'!$A$5:$A$228,0),MATCH($B85,'файл остатки'!$A$5:$CX$5,0))</f>
        <v>#N/A</v>
      </c>
      <c r="AY85" s="240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7"/>
      <c r="BA85" s="216">
        <v>-3</v>
      </c>
      <c r="BB85" s="150">
        <f>-(BA82+BA83+BA84+BA85)/'планирование суточное'!$K$114</f>
        <v>6.6866666666666665</v>
      </c>
      <c r="BC85" s="233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2" t="e">
        <f>INDEX('файл остатки'!$A$5:$CX$265,MATCH($H$1,'файл остатки'!$A$5:$A$228,0),MATCH($B85,'файл остатки'!$A$5:$CX$5,0))</f>
        <v>#N/A</v>
      </c>
      <c r="BE85" s="240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7"/>
      <c r="BG85" s="216"/>
      <c r="BH85" s="150">
        <f>-(BG82+BG83+BG84+BG85)/'планирование суточное'!$K$114</f>
        <v>0</v>
      </c>
      <c r="BI85" s="233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2" t="e">
        <f>INDEX('файл остатки'!$A$5:$CX$265,MATCH($H$1,'файл остатки'!$A$5:$A$228,0),MATCH($B85,'файл остатки'!$A$5:$CX$5,0))</f>
        <v>#N/A</v>
      </c>
      <c r="BK85" s="212" t="e">
        <f t="shared" si="6"/>
        <v>#N/A</v>
      </c>
      <c r="BL85" s="240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7"/>
      <c r="BN85" s="216" t="e">
        <f t="shared" si="7"/>
        <v>#N/A</v>
      </c>
      <c r="BO85" s="150" t="e">
        <f>-(BN82+BN83+BN84+BN85)/'планирование суточное'!$K$114</f>
        <v>#N/A</v>
      </c>
      <c r="BP85" s="233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2" t="e">
        <f>INDEX('файл остатки'!$A$5:$CX$265,MATCH($H$1,'файл остатки'!$A$5:$A$228,0),MATCH($B85,'файл остатки'!$A$5:$CX$5,0))</f>
        <v>#N/A</v>
      </c>
      <c r="BR85" s="240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7"/>
      <c r="BT85" s="216" t="e">
        <f t="shared" si="8"/>
        <v>#N/A</v>
      </c>
      <c r="BU85" s="150" t="e">
        <f>-(BT82+BT83+BT84+BT85)/'планирование суточное'!$K$114</f>
        <v>#N/A</v>
      </c>
      <c r="BV85" s="233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2" t="e">
        <f>INDEX('файл остатки'!$A$5:$CX$265,MATCH($H$1,'файл остатки'!$A$5:$A$228,0),MATCH($B85,'файл остатки'!$A$5:$CX$5,0))</f>
        <v>#N/A</v>
      </c>
      <c r="BX85" s="240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7"/>
      <c r="BZ85" s="216" t="e">
        <f t="shared" si="9"/>
        <v>#N/A</v>
      </c>
      <c r="CA85" s="150" t="e">
        <f>-(BZ82+BZ83+BZ84+BZ85)/'планирование суточное'!$K$114</f>
        <v>#N/A</v>
      </c>
      <c r="CB85" s="233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2" t="e">
        <f>INDEX('файл остатки'!$A$5:$CX$265,MATCH($H$1,'файл остатки'!$A$5:$A$228,0),MATCH($B85,'файл остатки'!$A$5:$CX$5,0))</f>
        <v>#N/A</v>
      </c>
      <c r="CD85" s="240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7"/>
      <c r="CH85" s="216">
        <f t="shared" si="10"/>
        <v>-119</v>
      </c>
      <c r="CI85" s="150">
        <f>-(CH82+CH84+CH85)/'планирование суточное'!$K$114</f>
        <v>12.2128</v>
      </c>
      <c r="CJ85" s="216" t="e">
        <f t="shared" si="11"/>
        <v>#N/A</v>
      </c>
      <c r="CK85" s="150" t="e">
        <f>-(CJ82+CJ84+CJ85)/'планирование суточное'!$K$114</f>
        <v>#N/A</v>
      </c>
      <c r="CO85" s="222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0"/>
      <c r="C86" s="243"/>
      <c r="D86" s="247"/>
      <c r="E86" s="216">
        <v>0</v>
      </c>
      <c r="F86" s="207"/>
      <c r="G86" s="233"/>
      <c r="H86" s="212"/>
      <c r="I86" s="240"/>
      <c r="J86" s="217"/>
      <c r="K86" s="216"/>
      <c r="L86" s="207"/>
      <c r="M86" s="233"/>
      <c r="N86" s="212"/>
      <c r="O86" s="240"/>
      <c r="P86" s="217"/>
      <c r="Q86" s="216">
        <v>0</v>
      </c>
      <c r="R86" s="207"/>
      <c r="S86" s="233"/>
      <c r="T86" s="212"/>
      <c r="U86" s="240"/>
      <c r="V86" s="217"/>
      <c r="W86" s="216"/>
      <c r="X86" s="207"/>
      <c r="Y86" s="233"/>
      <c r="Z86" s="212"/>
      <c r="AA86" s="240"/>
      <c r="AB86" s="217"/>
      <c r="AC86" s="216"/>
      <c r="AD86" s="207"/>
      <c r="AE86" s="233"/>
      <c r="AF86" s="212"/>
      <c r="AG86" s="240"/>
      <c r="AH86" s="217"/>
      <c r="AI86" s="216"/>
      <c r="AJ86" s="207"/>
      <c r="AK86" s="233"/>
      <c r="AL86" s="212"/>
      <c r="AM86" s="240"/>
      <c r="AN86" s="217"/>
      <c r="AO86" s="216"/>
      <c r="AP86" s="207"/>
      <c r="AQ86" s="233"/>
      <c r="AR86" s="212"/>
      <c r="AS86" s="240"/>
      <c r="AT86" s="217"/>
      <c r="AU86" s="216"/>
      <c r="AV86" s="207"/>
      <c r="AW86" s="233"/>
      <c r="AX86" s="212"/>
      <c r="AY86" s="240"/>
      <c r="AZ86" s="217"/>
      <c r="BA86" s="216"/>
      <c r="BB86" s="207"/>
      <c r="BC86" s="233"/>
      <c r="BD86" s="212"/>
      <c r="BE86" s="240"/>
      <c r="BF86" s="217"/>
      <c r="BG86" s="216"/>
      <c r="BH86" s="207"/>
      <c r="BI86" s="233"/>
      <c r="BJ86" s="212"/>
      <c r="BK86" s="212"/>
      <c r="BL86" s="240"/>
      <c r="BM86" s="217"/>
      <c r="BN86" s="216"/>
      <c r="BO86" s="207"/>
      <c r="BP86" s="233"/>
      <c r="BQ86" s="212"/>
      <c r="BR86" s="240"/>
      <c r="BS86" s="217"/>
      <c r="BT86" s="216"/>
      <c r="BU86" s="207"/>
      <c r="BV86" s="233"/>
      <c r="BW86" s="212"/>
      <c r="BX86" s="240"/>
      <c r="BY86" s="217"/>
      <c r="BZ86" s="216"/>
      <c r="CA86" s="207"/>
      <c r="CB86" s="233"/>
      <c r="CC86" s="212"/>
      <c r="CD86" s="240"/>
      <c r="CE86" s="217"/>
      <c r="CH86" s="216"/>
      <c r="CI86" s="207"/>
      <c r="CJ86" s="216"/>
      <c r="CK86" s="207"/>
      <c r="CO86" s="222"/>
    </row>
    <row r="87" spans="1:93" s="211" customFormat="1" ht="24" customHeight="1">
      <c r="C87" s="214"/>
      <c r="D87" s="208"/>
      <c r="E87" s="214"/>
      <c r="F87" s="249"/>
      <c r="G87" s="207"/>
      <c r="H87" s="207"/>
      <c r="I87" s="207"/>
      <c r="J87" s="215"/>
      <c r="K87" s="214"/>
      <c r="L87" s="249"/>
      <c r="M87" s="207"/>
      <c r="N87" s="207"/>
      <c r="O87" s="207"/>
      <c r="P87" s="215"/>
      <c r="Q87" s="214"/>
      <c r="R87" s="249"/>
      <c r="S87" s="207"/>
      <c r="T87" s="207"/>
      <c r="U87" s="207"/>
      <c r="V87" s="215"/>
      <c r="W87" s="214"/>
      <c r="X87" s="249"/>
      <c r="Y87" s="207"/>
      <c r="Z87" s="207"/>
      <c r="AA87" s="207"/>
      <c r="AB87" s="215"/>
      <c r="AC87" s="214"/>
      <c r="AD87" s="249"/>
      <c r="AE87" s="207"/>
      <c r="AF87" s="207"/>
      <c r="AG87" s="207"/>
      <c r="AH87" s="215"/>
      <c r="AI87" s="214"/>
      <c r="AJ87" s="249"/>
      <c r="AK87" s="207"/>
      <c r="AL87" s="207"/>
      <c r="AM87" s="207"/>
      <c r="AN87" s="215"/>
      <c r="AO87" s="214"/>
      <c r="AP87" s="249"/>
      <c r="AQ87" s="207"/>
      <c r="AR87" s="207"/>
      <c r="AS87" s="207"/>
      <c r="AT87" s="215"/>
      <c r="AU87" s="214"/>
      <c r="AV87" s="249"/>
      <c r="AW87" s="207"/>
      <c r="AX87" s="207"/>
      <c r="AY87" s="207"/>
      <c r="AZ87" s="215"/>
      <c r="BA87" s="214"/>
      <c r="BB87" s="249"/>
      <c r="BC87" s="207"/>
      <c r="BD87" s="207"/>
      <c r="BE87" s="207"/>
      <c r="BF87" s="215"/>
      <c r="BG87" s="214"/>
      <c r="BH87" s="249"/>
      <c r="BI87" s="207"/>
      <c r="BJ87" s="207"/>
      <c r="BK87" s="207"/>
      <c r="BL87" s="207"/>
      <c r="BM87" s="215"/>
      <c r="BN87" s="214"/>
      <c r="BO87" s="249"/>
      <c r="BP87" s="207"/>
      <c r="BQ87" s="207"/>
      <c r="BR87" s="207"/>
      <c r="BS87" s="215"/>
      <c r="BT87" s="214"/>
      <c r="BU87" s="249"/>
      <c r="BV87" s="207"/>
      <c r="BW87" s="207"/>
      <c r="BX87" s="207"/>
      <c r="BY87" s="215"/>
      <c r="BZ87" s="214"/>
      <c r="CA87" s="249"/>
      <c r="CB87" s="207"/>
      <c r="CC87" s="207"/>
      <c r="CD87" s="207"/>
      <c r="CE87" s="215"/>
      <c r="CH87" s="216"/>
      <c r="CI87" s="249"/>
      <c r="CJ87" s="216"/>
      <c r="CK87" s="249"/>
      <c r="CO87" s="222"/>
    </row>
    <row r="88" spans="1:93" ht="24" customHeight="1">
      <c r="A88" s="150" t="s">
        <v>19</v>
      </c>
      <c r="B88" s="220" t="s">
        <v>17</v>
      </c>
      <c r="C88" s="243" t="e">
        <f>INDEX('файл остатки'!$A$5:$CX$265,MATCH($C$1,'файл остатки'!$A$5:$A$228,0),MATCH(B88,'файл остатки'!$A$5:$CX$5,0))</f>
        <v>#N/A</v>
      </c>
      <c r="D88" s="247"/>
      <c r="E88" s="216">
        <v>-500</v>
      </c>
      <c r="F88" s="207"/>
      <c r="G88" s="233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2" t="e">
        <f>INDEX('файл остатки'!$A$5:$CX$265,MATCH($H$1,'файл остатки'!$A$5:$A$228,0),MATCH($B88,'файл остатки'!$A$5:$CX$5,0))</f>
        <v>#N/A</v>
      </c>
      <c r="I88" s="240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7"/>
      <c r="K88" s="216"/>
      <c r="L88" s="207"/>
      <c r="M88" s="233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2" t="e">
        <f>INDEX('файл остатки'!$A$5:$CX$265,MATCH($H$1,'файл остатки'!$A$5:$A$228,0),MATCH($B88,'файл остатки'!$A$5:$CX$5,0))</f>
        <v>#N/A</v>
      </c>
      <c r="O88" s="240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7"/>
      <c r="Q88" s="216">
        <v>-900</v>
      </c>
      <c r="R88" s="207"/>
      <c r="S88" s="233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2" t="e">
        <f>INDEX('файл остатки'!$A$5:$CX$265,MATCH($H$1,'файл остатки'!$A$5:$A$228,0),MATCH($B88,'файл остатки'!$A$5:$CX$5,0))</f>
        <v>#N/A</v>
      </c>
      <c r="U88" s="240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7"/>
      <c r="W88" s="216">
        <v>-1000</v>
      </c>
      <c r="X88" s="207"/>
      <c r="Y88" s="233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2" t="e">
        <f>INDEX('файл остатки'!$A$5:$CX$265,MATCH($H$1,'файл остатки'!$A$5:$A$228,0),MATCH($B88,'файл остатки'!$A$5:$CX$5,0))</f>
        <v>#N/A</v>
      </c>
      <c r="AA88" s="240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7"/>
      <c r="AC88" s="216"/>
      <c r="AD88" s="207"/>
      <c r="AE88" s="233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2" t="e">
        <f>INDEX('файл остатки'!$A$5:$CX$265,MATCH($H$1,'файл остатки'!$A$5:$A$228,0),MATCH($B88,'файл остатки'!$A$5:$CX$5,0))</f>
        <v>#N/A</v>
      </c>
      <c r="AG88" s="240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7"/>
      <c r="AI88" s="216"/>
      <c r="AJ88" s="207"/>
      <c r="AK88" s="233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2" t="e">
        <f>INDEX('файл остатки'!$A$5:$CX$265,MATCH($H$1,'файл остатки'!$A$5:$A$228,0),MATCH($B88,'файл остатки'!$A$5:$CX$5,0))</f>
        <v>#N/A</v>
      </c>
      <c r="AM88" s="240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7"/>
      <c r="AO88" s="216">
        <v>-1000</v>
      </c>
      <c r="AP88" s="207"/>
      <c r="AQ88" s="233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2" t="e">
        <f>INDEX('файл остатки'!$A$5:$CX$265,MATCH($H$1,'файл остатки'!$A$5:$A$228,0),MATCH($B88,'файл остатки'!$A$5:$CX$5,0))</f>
        <v>#N/A</v>
      </c>
      <c r="AS88" s="240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7"/>
      <c r="AU88" s="216"/>
      <c r="AV88" s="207"/>
      <c r="AW88" s="233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2" t="e">
        <f>INDEX('файл остатки'!$A$5:$CX$265,MATCH($H$1,'файл остатки'!$A$5:$A$228,0),MATCH($B88,'файл остатки'!$A$5:$CX$5,0))</f>
        <v>#N/A</v>
      </c>
      <c r="AY88" s="240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7"/>
      <c r="BA88" s="216"/>
      <c r="BB88" s="207"/>
      <c r="BC88" s="233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2" t="e">
        <f>INDEX('файл остатки'!$A$5:$CX$265,MATCH($H$1,'файл остатки'!$A$5:$A$228,0),MATCH($B88,'файл остатки'!$A$5:$CX$5,0))</f>
        <v>#N/A</v>
      </c>
      <c r="BE88" s="240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7"/>
      <c r="BG88" s="216">
        <v>-1000</v>
      </c>
      <c r="BH88" s="207"/>
      <c r="BI88" s="233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2" t="e">
        <f>INDEX('файл остатки'!$A$5:$CX$265,MATCH($H$1,'файл остатки'!$A$5:$A$228,0),MATCH($B88,'файл остатки'!$A$5:$CX$5,0))</f>
        <v>#N/A</v>
      </c>
      <c r="BK88" s="212" t="e">
        <f t="shared" si="6"/>
        <v>#N/A</v>
      </c>
      <c r="BL88" s="240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7"/>
      <c r="BN88" s="216" t="e">
        <f t="shared" si="7"/>
        <v>#N/A</v>
      </c>
      <c r="BO88" s="207"/>
      <c r="BP88" s="233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2" t="e">
        <f>INDEX('файл остатки'!$A$5:$CX$265,MATCH($H$1,'файл остатки'!$A$5:$A$228,0),MATCH($B88,'файл остатки'!$A$5:$CX$5,0))</f>
        <v>#N/A</v>
      </c>
      <c r="BR88" s="240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7"/>
      <c r="BT88" s="216" t="e">
        <f t="shared" si="8"/>
        <v>#N/A</v>
      </c>
      <c r="BU88" s="207"/>
      <c r="BV88" s="233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2" t="e">
        <f>INDEX('файл остатки'!$A$5:$CX$265,MATCH($H$1,'файл остатки'!$A$5:$A$228,0),MATCH($B88,'файл остатки'!$A$5:$CX$5,0))</f>
        <v>#N/A</v>
      </c>
      <c r="BX88" s="240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7"/>
      <c r="BZ88" s="216" t="e">
        <f t="shared" si="9"/>
        <v>#N/A</v>
      </c>
      <c r="CA88" s="207"/>
      <c r="CB88" s="233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2" t="e">
        <f>INDEX('файл остатки'!$A$5:$CX$265,MATCH($H$1,'файл остатки'!$A$5:$A$228,0),MATCH($B88,'файл остатки'!$A$5:$CX$5,0))</f>
        <v>#N/A</v>
      </c>
      <c r="CD88" s="240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7"/>
      <c r="CH88" s="216">
        <f t="shared" si="10"/>
        <v>-4400</v>
      </c>
      <c r="CI88" s="207"/>
      <c r="CJ88" s="216" t="e">
        <f t="shared" si="11"/>
        <v>#N/A</v>
      </c>
      <c r="CK88" s="207"/>
      <c r="CO88" s="222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0" t="s">
        <v>130</v>
      </c>
      <c r="C89" s="243" t="e">
        <f>INDEX('файл остатки'!$A$5:$CX$265,MATCH($C$1,'файл остатки'!$A$5:$A$228,0),MATCH(B89,'файл остатки'!$A$5:$CX$5,0))</f>
        <v>#N/A</v>
      </c>
      <c r="D89" s="247"/>
      <c r="E89" s="216"/>
      <c r="F89" s="207"/>
      <c r="G89" s="233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2" t="e">
        <f>INDEX('файл остатки'!$A$5:$CX$265,MATCH($H$1,'файл остатки'!$A$5:$A$228,0),MATCH($B89,'файл остатки'!$A$5:$CX$5,0))</f>
        <v>#N/A</v>
      </c>
      <c r="I89" s="240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7"/>
      <c r="K89" s="216"/>
      <c r="L89" s="207"/>
      <c r="M89" s="233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2" t="e">
        <f>INDEX('файл остатки'!$A$5:$CX$265,MATCH($H$1,'файл остатки'!$A$5:$A$228,0),MATCH($B89,'файл остатки'!$A$5:$CX$5,0))</f>
        <v>#N/A</v>
      </c>
      <c r="O89" s="240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7"/>
      <c r="Q89" s="216"/>
      <c r="R89" s="207"/>
      <c r="S89" s="233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2" t="e">
        <f>INDEX('файл остатки'!$A$5:$CX$265,MATCH($H$1,'файл остатки'!$A$5:$A$228,0),MATCH($B89,'файл остатки'!$A$5:$CX$5,0))</f>
        <v>#N/A</v>
      </c>
      <c r="U89" s="240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7"/>
      <c r="W89" s="216"/>
      <c r="X89" s="207"/>
      <c r="Y89" s="233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2" t="e">
        <f>INDEX('файл остатки'!$A$5:$CX$265,MATCH($H$1,'файл остатки'!$A$5:$A$228,0),MATCH($B89,'файл остатки'!$A$5:$CX$5,0))</f>
        <v>#N/A</v>
      </c>
      <c r="AA89" s="240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7"/>
      <c r="AC89" s="216"/>
      <c r="AD89" s="207"/>
      <c r="AE89" s="233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2" t="e">
        <f>INDEX('файл остатки'!$A$5:$CX$265,MATCH($H$1,'файл остатки'!$A$5:$A$228,0),MATCH($B89,'файл остатки'!$A$5:$CX$5,0))</f>
        <v>#N/A</v>
      </c>
      <c r="AG89" s="240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7"/>
      <c r="AI89" s="216"/>
      <c r="AJ89" s="207"/>
      <c r="AK89" s="233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2" t="e">
        <f>INDEX('файл остатки'!$A$5:$CX$265,MATCH($H$1,'файл остатки'!$A$5:$A$228,0),MATCH($B89,'файл остатки'!$A$5:$CX$5,0))</f>
        <v>#N/A</v>
      </c>
      <c r="AM89" s="240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7"/>
      <c r="AO89" s="216">
        <v>-500</v>
      </c>
      <c r="AP89" s="207"/>
      <c r="AQ89" s="233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2" t="e">
        <f>INDEX('файл остатки'!$A$5:$CX$265,MATCH($H$1,'файл остатки'!$A$5:$A$228,0),MATCH($B89,'файл остатки'!$A$5:$CX$5,0))</f>
        <v>#N/A</v>
      </c>
      <c r="AS89" s="240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7"/>
      <c r="AU89" s="216"/>
      <c r="AV89" s="207"/>
      <c r="AW89" s="233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2" t="e">
        <f>INDEX('файл остатки'!$A$5:$CX$265,MATCH($H$1,'файл остатки'!$A$5:$A$228,0),MATCH($B89,'файл остатки'!$A$5:$CX$5,0))</f>
        <v>#N/A</v>
      </c>
      <c r="AY89" s="240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7"/>
      <c r="BA89" s="216"/>
      <c r="BB89" s="207"/>
      <c r="BC89" s="233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2" t="e">
        <f>INDEX('файл остатки'!$A$5:$CX$265,MATCH($H$1,'файл остатки'!$A$5:$A$228,0),MATCH($B89,'файл остатки'!$A$5:$CX$5,0))</f>
        <v>#N/A</v>
      </c>
      <c r="BE89" s="240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7"/>
      <c r="BG89" s="216"/>
      <c r="BH89" s="207"/>
      <c r="BI89" s="233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2" t="e">
        <f>INDEX('файл остатки'!$A$5:$CX$265,MATCH($H$1,'файл остатки'!$A$5:$A$228,0),MATCH($B89,'файл остатки'!$A$5:$CX$5,0))</f>
        <v>#N/A</v>
      </c>
      <c r="BK89" s="212" t="e">
        <f t="shared" si="6"/>
        <v>#N/A</v>
      </c>
      <c r="BL89" s="240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7"/>
      <c r="BN89" s="216" t="e">
        <f t="shared" si="7"/>
        <v>#N/A</v>
      </c>
      <c r="BO89" s="207"/>
      <c r="BP89" s="233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2" t="e">
        <f>INDEX('файл остатки'!$A$5:$CX$265,MATCH($H$1,'файл остатки'!$A$5:$A$228,0),MATCH($B89,'файл остатки'!$A$5:$CX$5,0))</f>
        <v>#N/A</v>
      </c>
      <c r="BR89" s="240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7"/>
      <c r="BT89" s="216" t="e">
        <f t="shared" si="8"/>
        <v>#N/A</v>
      </c>
      <c r="BU89" s="207"/>
      <c r="BV89" s="233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2" t="e">
        <f>INDEX('файл остатки'!$A$5:$CX$265,MATCH($H$1,'файл остатки'!$A$5:$A$228,0),MATCH($B89,'файл остатки'!$A$5:$CX$5,0))</f>
        <v>#N/A</v>
      </c>
      <c r="BX89" s="240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7"/>
      <c r="BZ89" s="216" t="e">
        <f t="shared" si="9"/>
        <v>#N/A</v>
      </c>
      <c r="CA89" s="207"/>
      <c r="CB89" s="233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2" t="e">
        <f>INDEX('файл остатки'!$A$5:$CX$265,MATCH($H$1,'файл остатки'!$A$5:$A$228,0),MATCH($B89,'файл остатки'!$A$5:$CX$5,0))</f>
        <v>#N/A</v>
      </c>
      <c r="CD89" s="240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7"/>
      <c r="CH89" s="216">
        <f t="shared" si="10"/>
        <v>-500</v>
      </c>
      <c r="CI89" s="207"/>
      <c r="CJ89" s="216" t="e">
        <f t="shared" si="11"/>
        <v>#N/A</v>
      </c>
      <c r="CK89" s="207"/>
      <c r="CO89" s="222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0" t="s">
        <v>133</v>
      </c>
      <c r="C90" s="243" t="e">
        <f>INDEX('файл остатки'!$A$5:$CX$265,MATCH($C$1,'файл остатки'!$A$5:$A$228,0),MATCH(B90,'файл остатки'!$A$5:$CX$5,0))</f>
        <v>#N/A</v>
      </c>
      <c r="D90" s="247"/>
      <c r="E90" s="216"/>
      <c r="F90" s="207"/>
      <c r="G90" s="233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2" t="e">
        <f>INDEX('файл остатки'!$A$5:$CX$265,MATCH($H$1,'файл остатки'!$A$5:$A$228,0),MATCH($B90,'файл остатки'!$A$5:$CX$5,0))</f>
        <v>#N/A</v>
      </c>
      <c r="I90" s="240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7"/>
      <c r="K90" s="216"/>
      <c r="L90" s="207"/>
      <c r="M90" s="233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2" t="e">
        <f>INDEX('файл остатки'!$A$5:$CX$265,MATCH($H$1,'файл остатки'!$A$5:$A$228,0),MATCH($B90,'файл остатки'!$A$5:$CX$5,0))</f>
        <v>#N/A</v>
      </c>
      <c r="O90" s="240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7"/>
      <c r="Q90" s="216"/>
      <c r="R90" s="207"/>
      <c r="S90" s="233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2" t="e">
        <f>INDEX('файл остатки'!$A$5:$CX$265,MATCH($H$1,'файл остатки'!$A$5:$A$228,0),MATCH($B90,'файл остатки'!$A$5:$CX$5,0))</f>
        <v>#N/A</v>
      </c>
      <c r="U90" s="240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7"/>
      <c r="W90" s="216"/>
      <c r="X90" s="207"/>
      <c r="Y90" s="233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2" t="e">
        <f>INDEX('файл остатки'!$A$5:$CX$265,MATCH($H$1,'файл остатки'!$A$5:$A$228,0),MATCH($B90,'файл остатки'!$A$5:$CX$5,0))</f>
        <v>#N/A</v>
      </c>
      <c r="AA90" s="240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7"/>
      <c r="AC90" s="216"/>
      <c r="AD90" s="207"/>
      <c r="AE90" s="233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2" t="e">
        <f>INDEX('файл остатки'!$A$5:$CX$265,MATCH($H$1,'файл остатки'!$A$5:$A$228,0),MATCH($B90,'файл остатки'!$A$5:$CX$5,0))</f>
        <v>#N/A</v>
      </c>
      <c r="AG90" s="240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7"/>
      <c r="AI90" s="216"/>
      <c r="AJ90" s="207"/>
      <c r="AK90" s="233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2" t="e">
        <f>INDEX('файл остатки'!$A$5:$CX$265,MATCH($H$1,'файл остатки'!$A$5:$A$228,0),MATCH($B90,'файл остатки'!$A$5:$CX$5,0))</f>
        <v>#N/A</v>
      </c>
      <c r="AM90" s="240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7"/>
      <c r="AO90" s="216"/>
      <c r="AP90" s="207"/>
      <c r="AQ90" s="233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2" t="e">
        <f>INDEX('файл остатки'!$A$5:$CX$265,MATCH($H$1,'файл остатки'!$A$5:$A$228,0),MATCH($B90,'файл остатки'!$A$5:$CX$5,0))</f>
        <v>#N/A</v>
      </c>
      <c r="AS90" s="240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7"/>
      <c r="AU90" s="216">
        <v>-600</v>
      </c>
      <c r="AV90" s="207"/>
      <c r="AW90" s="233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2" t="e">
        <f>INDEX('файл остатки'!$A$5:$CX$265,MATCH($H$1,'файл остатки'!$A$5:$A$228,0),MATCH($B90,'файл остатки'!$A$5:$CX$5,0))</f>
        <v>#N/A</v>
      </c>
      <c r="AY90" s="240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7"/>
      <c r="BA90" s="216">
        <v>-600</v>
      </c>
      <c r="BB90" s="207"/>
      <c r="BC90" s="233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2" t="e">
        <f>INDEX('файл остатки'!$A$5:$CX$265,MATCH($H$1,'файл остатки'!$A$5:$A$228,0),MATCH($B90,'файл остатки'!$A$5:$CX$5,0))</f>
        <v>#N/A</v>
      </c>
      <c r="BE90" s="240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7"/>
      <c r="BG90" s="216"/>
      <c r="BH90" s="207"/>
      <c r="BI90" s="233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2" t="e">
        <f>INDEX('файл остатки'!$A$5:$CX$265,MATCH($H$1,'файл остатки'!$A$5:$A$228,0),MATCH($B90,'файл остатки'!$A$5:$CX$5,0))</f>
        <v>#N/A</v>
      </c>
      <c r="BK90" s="212" t="e">
        <f t="shared" si="6"/>
        <v>#N/A</v>
      </c>
      <c r="BL90" s="240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7"/>
      <c r="BN90" s="216" t="e">
        <f t="shared" si="7"/>
        <v>#N/A</v>
      </c>
      <c r="BO90" s="207"/>
      <c r="BP90" s="233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2" t="e">
        <f>INDEX('файл остатки'!$A$5:$CX$265,MATCH($H$1,'файл остатки'!$A$5:$A$228,0),MATCH($B90,'файл остатки'!$A$5:$CX$5,0))</f>
        <v>#N/A</v>
      </c>
      <c r="BR90" s="240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7"/>
      <c r="BT90" s="216" t="e">
        <f t="shared" si="8"/>
        <v>#N/A</v>
      </c>
      <c r="BU90" s="207"/>
      <c r="BV90" s="233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2" t="e">
        <f>INDEX('файл остатки'!$A$5:$CX$265,MATCH($H$1,'файл остатки'!$A$5:$A$228,0),MATCH($B90,'файл остатки'!$A$5:$CX$5,0))</f>
        <v>#N/A</v>
      </c>
      <c r="BX90" s="240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7"/>
      <c r="BZ90" s="216" t="e">
        <f t="shared" si="9"/>
        <v>#N/A</v>
      </c>
      <c r="CA90" s="207"/>
      <c r="CB90" s="233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2" t="e">
        <f>INDEX('файл остатки'!$A$5:$CX$265,MATCH($H$1,'файл остатки'!$A$5:$A$228,0),MATCH($B90,'файл остатки'!$A$5:$CX$5,0))</f>
        <v>#N/A</v>
      </c>
      <c r="CD90" s="240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7"/>
      <c r="CH90" s="216">
        <f t="shared" si="10"/>
        <v>-1200</v>
      </c>
      <c r="CI90" s="207"/>
      <c r="CJ90" s="216" t="e">
        <f t="shared" si="11"/>
        <v>#N/A</v>
      </c>
      <c r="CK90" s="207"/>
      <c r="CO90" s="222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0" t="s">
        <v>142</v>
      </c>
      <c r="C91" s="243" t="e">
        <f>INDEX('файл остатки'!$A$5:$CX$265,MATCH($C$1,'файл остатки'!$A$5:$A$228,0),MATCH(B91,'файл остатки'!$A$5:$CX$5,0))</f>
        <v>#N/A</v>
      </c>
      <c r="D91" s="247"/>
      <c r="E91" s="216"/>
      <c r="F91" s="207"/>
      <c r="G91" s="233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2" t="e">
        <f>INDEX('файл остатки'!$A$5:$CX$265,MATCH($H$1,'файл остатки'!$A$5:$A$228,0),MATCH($B91,'файл остатки'!$A$5:$CX$5,0))</f>
        <v>#N/A</v>
      </c>
      <c r="I91" s="240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7"/>
      <c r="K91" s="216">
        <v>-50</v>
      </c>
      <c r="L91" s="207"/>
      <c r="M91" s="233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2" t="e">
        <f>INDEX('файл остатки'!$A$5:$CX$265,MATCH($H$1,'файл остатки'!$A$5:$A$228,0),MATCH($B91,'файл остатки'!$A$5:$CX$5,0))</f>
        <v>#N/A</v>
      </c>
      <c r="O91" s="240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7"/>
      <c r="Q91" s="216">
        <v>-50</v>
      </c>
      <c r="R91" s="207"/>
      <c r="S91" s="233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2" t="e">
        <f>INDEX('файл остатки'!$A$5:$CX$265,MATCH($H$1,'файл остатки'!$A$5:$A$228,0),MATCH($B91,'файл остатки'!$A$5:$CX$5,0))</f>
        <v>#N/A</v>
      </c>
      <c r="U91" s="240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7"/>
      <c r="W91" s="216"/>
      <c r="X91" s="207"/>
      <c r="Y91" s="233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2" t="e">
        <f>INDEX('файл остатки'!$A$5:$CX$265,MATCH($H$1,'файл остатки'!$A$5:$A$228,0),MATCH($B91,'файл остатки'!$A$5:$CX$5,0))</f>
        <v>#N/A</v>
      </c>
      <c r="AA91" s="240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7"/>
      <c r="AC91" s="216"/>
      <c r="AD91" s="207"/>
      <c r="AE91" s="233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2" t="e">
        <f>INDEX('файл остатки'!$A$5:$CX$265,MATCH($H$1,'файл остатки'!$A$5:$A$228,0),MATCH($B91,'файл остатки'!$A$5:$CX$5,0))</f>
        <v>#N/A</v>
      </c>
      <c r="AG91" s="240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7"/>
      <c r="AI91" s="216"/>
      <c r="AJ91" s="207"/>
      <c r="AK91" s="233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2" t="e">
        <f>INDEX('файл остатки'!$A$5:$CX$265,MATCH($H$1,'файл остатки'!$A$5:$A$228,0),MATCH($B91,'файл остатки'!$A$5:$CX$5,0))</f>
        <v>#N/A</v>
      </c>
      <c r="AM91" s="240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7"/>
      <c r="AO91" s="216">
        <v>-100</v>
      </c>
      <c r="AP91" s="207"/>
      <c r="AQ91" s="233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2" t="e">
        <f>INDEX('файл остатки'!$A$5:$CX$265,MATCH($H$1,'файл остатки'!$A$5:$A$228,0),MATCH($B91,'файл остатки'!$A$5:$CX$5,0))</f>
        <v>#N/A</v>
      </c>
      <c r="AS91" s="240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7"/>
      <c r="AU91" s="216"/>
      <c r="AV91" s="207"/>
      <c r="AW91" s="233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2" t="e">
        <f>INDEX('файл остатки'!$A$5:$CX$265,MATCH($H$1,'файл остатки'!$A$5:$A$228,0),MATCH($B91,'файл остатки'!$A$5:$CX$5,0))</f>
        <v>#N/A</v>
      </c>
      <c r="AY91" s="240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7"/>
      <c r="BA91" s="216"/>
      <c r="BB91" s="207"/>
      <c r="BC91" s="233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2" t="e">
        <f>INDEX('файл остатки'!$A$5:$CX$265,MATCH($H$1,'файл остатки'!$A$5:$A$228,0),MATCH($B91,'файл остатки'!$A$5:$CX$5,0))</f>
        <v>#N/A</v>
      </c>
      <c r="BE91" s="240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7"/>
      <c r="BG91" s="216"/>
      <c r="BH91" s="207"/>
      <c r="BI91" s="233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2" t="e">
        <f>INDEX('файл остатки'!$A$5:$CX$265,MATCH($H$1,'файл остатки'!$A$5:$A$228,0),MATCH($B91,'файл остатки'!$A$5:$CX$5,0))</f>
        <v>#N/A</v>
      </c>
      <c r="BK91" s="212" t="e">
        <f t="shared" si="6"/>
        <v>#N/A</v>
      </c>
      <c r="BL91" s="240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7"/>
      <c r="BN91" s="216" t="e">
        <f t="shared" si="7"/>
        <v>#N/A</v>
      </c>
      <c r="BO91" s="207"/>
      <c r="BP91" s="233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2" t="e">
        <f>INDEX('файл остатки'!$A$5:$CX$265,MATCH($H$1,'файл остатки'!$A$5:$A$228,0),MATCH($B91,'файл остатки'!$A$5:$CX$5,0))</f>
        <v>#N/A</v>
      </c>
      <c r="BR91" s="240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7"/>
      <c r="BT91" s="216" t="e">
        <f t="shared" si="8"/>
        <v>#N/A</v>
      </c>
      <c r="BU91" s="207"/>
      <c r="BV91" s="233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2" t="e">
        <f>INDEX('файл остатки'!$A$5:$CX$265,MATCH($H$1,'файл остатки'!$A$5:$A$228,0),MATCH($B91,'файл остатки'!$A$5:$CX$5,0))</f>
        <v>#N/A</v>
      </c>
      <c r="BX91" s="240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7"/>
      <c r="BZ91" s="216" t="e">
        <f t="shared" si="9"/>
        <v>#N/A</v>
      </c>
      <c r="CA91" s="207"/>
      <c r="CB91" s="233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2" t="e">
        <f>INDEX('файл остатки'!$A$5:$CX$265,MATCH($H$1,'файл остатки'!$A$5:$A$228,0),MATCH($B91,'файл остатки'!$A$5:$CX$5,0))</f>
        <v>#N/A</v>
      </c>
      <c r="CD91" s="240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7"/>
      <c r="CH91" s="216">
        <f t="shared" si="10"/>
        <v>-200</v>
      </c>
      <c r="CI91" s="207"/>
      <c r="CJ91" s="216" t="e">
        <f t="shared" si="11"/>
        <v>#N/A</v>
      </c>
      <c r="CK91" s="207"/>
      <c r="CO91" s="222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0" t="s">
        <v>139</v>
      </c>
      <c r="C92" s="243" t="e">
        <f>INDEX('файл остатки'!$A$5:$CX$265,MATCH($C$1,'файл остатки'!$A$5:$A$228,0),MATCH(B92,'файл остатки'!$A$5:$CX$5,0))</f>
        <v>#N/A</v>
      </c>
      <c r="D92" s="247"/>
      <c r="E92" s="216"/>
      <c r="F92" s="207"/>
      <c r="G92" s="233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2" t="e">
        <f>INDEX('файл остатки'!$A$5:$CX$265,MATCH($H$1,'файл остатки'!$A$5:$A$228,0),MATCH($B92,'файл остатки'!$A$5:$CX$5,0))</f>
        <v>#N/A</v>
      </c>
      <c r="I92" s="240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7"/>
      <c r="K92" s="216"/>
      <c r="L92" s="207"/>
      <c r="M92" s="233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2" t="e">
        <f>INDEX('файл остатки'!$A$5:$CX$265,MATCH($H$1,'файл остатки'!$A$5:$A$228,0),MATCH($B92,'файл остатки'!$A$5:$CX$5,0))</f>
        <v>#N/A</v>
      </c>
      <c r="O92" s="240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7"/>
      <c r="Q92" s="216"/>
      <c r="R92" s="207"/>
      <c r="S92" s="233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2" t="e">
        <f>INDEX('файл остатки'!$A$5:$CX$265,MATCH($H$1,'файл остатки'!$A$5:$A$228,0),MATCH($B92,'файл остатки'!$A$5:$CX$5,0))</f>
        <v>#N/A</v>
      </c>
      <c r="U92" s="240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7"/>
      <c r="W92" s="216"/>
      <c r="X92" s="207"/>
      <c r="Y92" s="233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2" t="e">
        <f>INDEX('файл остатки'!$A$5:$CX$265,MATCH($H$1,'файл остатки'!$A$5:$A$228,0),MATCH($B92,'файл остатки'!$A$5:$CX$5,0))</f>
        <v>#N/A</v>
      </c>
      <c r="AA92" s="240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7"/>
      <c r="AC92" s="216"/>
      <c r="AD92" s="207"/>
      <c r="AE92" s="233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2" t="e">
        <f>INDEX('файл остатки'!$A$5:$CX$265,MATCH($H$1,'файл остатки'!$A$5:$A$228,0),MATCH($B92,'файл остатки'!$A$5:$CX$5,0))</f>
        <v>#N/A</v>
      </c>
      <c r="AG92" s="240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7"/>
      <c r="AI92" s="216"/>
      <c r="AJ92" s="207"/>
      <c r="AK92" s="233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2" t="e">
        <f>INDEX('файл остатки'!$A$5:$CX$265,MATCH($H$1,'файл остатки'!$A$5:$A$228,0),MATCH($B92,'файл остатки'!$A$5:$CX$5,0))</f>
        <v>#N/A</v>
      </c>
      <c r="AM92" s="240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7"/>
      <c r="AO92" s="216"/>
      <c r="AP92" s="207"/>
      <c r="AQ92" s="233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2" t="e">
        <f>INDEX('файл остатки'!$A$5:$CX$265,MATCH($H$1,'файл остатки'!$A$5:$A$228,0),MATCH($B92,'файл остатки'!$A$5:$CX$5,0))</f>
        <v>#N/A</v>
      </c>
      <c r="AS92" s="240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7"/>
      <c r="AU92" s="216">
        <v>-300</v>
      </c>
      <c r="AV92" s="207"/>
      <c r="AW92" s="233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2" t="e">
        <f>INDEX('файл остатки'!$A$5:$CX$265,MATCH($H$1,'файл остатки'!$A$5:$A$228,0),MATCH($B92,'файл остатки'!$A$5:$CX$5,0))</f>
        <v>#N/A</v>
      </c>
      <c r="AY92" s="240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7"/>
      <c r="BA92" s="216">
        <v>-600</v>
      </c>
      <c r="BB92" s="207"/>
      <c r="BC92" s="233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2" t="e">
        <f>INDEX('файл остатки'!$A$5:$CX$265,MATCH($H$1,'файл остатки'!$A$5:$A$228,0),MATCH($B92,'файл остатки'!$A$5:$CX$5,0))</f>
        <v>#N/A</v>
      </c>
      <c r="BE92" s="240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7"/>
      <c r="BG92" s="216"/>
      <c r="BH92" s="207"/>
      <c r="BI92" s="233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2" t="e">
        <f>INDEX('файл остатки'!$A$5:$CX$265,MATCH($H$1,'файл остатки'!$A$5:$A$228,0),MATCH($B92,'файл остатки'!$A$5:$CX$5,0))</f>
        <v>#N/A</v>
      </c>
      <c r="BK92" s="212" t="e">
        <f t="shared" si="6"/>
        <v>#N/A</v>
      </c>
      <c r="BL92" s="240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7"/>
      <c r="BN92" s="216" t="e">
        <f t="shared" si="7"/>
        <v>#N/A</v>
      </c>
      <c r="BO92" s="207"/>
      <c r="BP92" s="233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2" t="e">
        <f>INDEX('файл остатки'!$A$5:$CX$265,MATCH($H$1,'файл остатки'!$A$5:$A$228,0),MATCH($B92,'файл остатки'!$A$5:$CX$5,0))</f>
        <v>#N/A</v>
      </c>
      <c r="BR92" s="240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7"/>
      <c r="BT92" s="216" t="e">
        <f t="shared" si="8"/>
        <v>#N/A</v>
      </c>
      <c r="BU92" s="207"/>
      <c r="BV92" s="233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2" t="e">
        <f>INDEX('файл остатки'!$A$5:$CX$265,MATCH($H$1,'файл остатки'!$A$5:$A$228,0),MATCH($B92,'файл остатки'!$A$5:$CX$5,0))</f>
        <v>#N/A</v>
      </c>
      <c r="BX92" s="240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7"/>
      <c r="BZ92" s="216" t="e">
        <f t="shared" si="9"/>
        <v>#N/A</v>
      </c>
      <c r="CA92" s="207"/>
      <c r="CB92" s="233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2" t="e">
        <f>INDEX('файл остатки'!$A$5:$CX$265,MATCH($H$1,'файл остатки'!$A$5:$A$228,0),MATCH($B92,'файл остатки'!$A$5:$CX$5,0))</f>
        <v>#N/A</v>
      </c>
      <c r="CD92" s="240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7"/>
      <c r="CH92" s="216">
        <f t="shared" si="10"/>
        <v>-900</v>
      </c>
      <c r="CI92" s="207"/>
      <c r="CJ92" s="216" t="e">
        <f t="shared" si="11"/>
        <v>#N/A</v>
      </c>
      <c r="CK92" s="207"/>
      <c r="CO92" s="222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0" t="s">
        <v>156</v>
      </c>
      <c r="C93" s="243" t="e">
        <f>INDEX('файл остатки'!$A$5:$CX$265,MATCH($C$1,'файл остатки'!$A$5:$A$228,0),MATCH(B93,'файл остатки'!$A$5:$CX$5,0))</f>
        <v>#N/A</v>
      </c>
      <c r="D93" s="247"/>
      <c r="E93" s="216">
        <v>-1000</v>
      </c>
      <c r="F93" s="207"/>
      <c r="G93" s="233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2" t="e">
        <f>INDEX('файл остатки'!$A$5:$CX$265,MATCH($H$1,'файл остатки'!$A$5:$A$228,0),MATCH($B93,'файл остатки'!$A$5:$CX$5,0))</f>
        <v>#N/A</v>
      </c>
      <c r="I93" s="240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7"/>
      <c r="K93" s="216"/>
      <c r="L93" s="207"/>
      <c r="M93" s="233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2" t="e">
        <f>INDEX('файл остатки'!$A$5:$CX$265,MATCH($H$1,'файл остатки'!$A$5:$A$228,0),MATCH($B93,'файл остатки'!$A$5:$CX$5,0))</f>
        <v>#N/A</v>
      </c>
      <c r="O93" s="240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7"/>
      <c r="Q93" s="216">
        <v>-1000</v>
      </c>
      <c r="R93" s="207"/>
      <c r="S93" s="233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2" t="e">
        <f>INDEX('файл остатки'!$A$5:$CX$265,MATCH($H$1,'файл остатки'!$A$5:$A$228,0),MATCH($B93,'файл остатки'!$A$5:$CX$5,0))</f>
        <v>#N/A</v>
      </c>
      <c r="U93" s="240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7"/>
      <c r="W93" s="216"/>
      <c r="X93" s="207"/>
      <c r="Y93" s="233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2" t="e">
        <f>INDEX('файл остатки'!$A$5:$CX$265,MATCH($H$1,'файл остатки'!$A$5:$A$228,0),MATCH($B93,'файл остатки'!$A$5:$CX$5,0))</f>
        <v>#N/A</v>
      </c>
      <c r="AA93" s="240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7"/>
      <c r="AC93" s="216"/>
      <c r="AD93" s="207"/>
      <c r="AE93" s="233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2" t="e">
        <f>INDEX('файл остатки'!$A$5:$CX$265,MATCH($H$1,'файл остатки'!$A$5:$A$228,0),MATCH($B93,'файл остатки'!$A$5:$CX$5,0))</f>
        <v>#N/A</v>
      </c>
      <c r="AG93" s="240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7"/>
      <c r="AI93" s="216"/>
      <c r="AJ93" s="207"/>
      <c r="AK93" s="233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2" t="e">
        <f>INDEX('файл остатки'!$A$5:$CX$265,MATCH($H$1,'файл остатки'!$A$5:$A$228,0),MATCH($B93,'файл остатки'!$A$5:$CX$5,0))</f>
        <v>#N/A</v>
      </c>
      <c r="AM93" s="240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7"/>
      <c r="AO93" s="216"/>
      <c r="AP93" s="207"/>
      <c r="AQ93" s="233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2" t="e">
        <f>INDEX('файл остатки'!$A$5:$CX$265,MATCH($H$1,'файл остатки'!$A$5:$A$228,0),MATCH($B93,'файл остатки'!$A$5:$CX$5,0))</f>
        <v>#N/A</v>
      </c>
      <c r="AS93" s="240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7"/>
      <c r="AU93" s="216"/>
      <c r="AV93" s="207"/>
      <c r="AW93" s="233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2" t="e">
        <f>INDEX('файл остатки'!$A$5:$CX$265,MATCH($H$1,'файл остатки'!$A$5:$A$228,0),MATCH($B93,'файл остатки'!$A$5:$CX$5,0))</f>
        <v>#N/A</v>
      </c>
      <c r="AY93" s="240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7"/>
      <c r="BA93" s="216">
        <v>-600</v>
      </c>
      <c r="BB93" s="207"/>
      <c r="BC93" s="233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2" t="e">
        <f>INDEX('файл остатки'!$A$5:$CX$265,MATCH($H$1,'файл остатки'!$A$5:$A$228,0),MATCH($B93,'файл остатки'!$A$5:$CX$5,0))</f>
        <v>#N/A</v>
      </c>
      <c r="BE93" s="240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7"/>
      <c r="BG93" s="216">
        <v>-1000</v>
      </c>
      <c r="BH93" s="207"/>
      <c r="BI93" s="233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2" t="e">
        <f>INDEX('файл остатки'!$A$5:$CX$265,MATCH($H$1,'файл остатки'!$A$5:$A$228,0),MATCH($B93,'файл остатки'!$A$5:$CX$5,0))</f>
        <v>#N/A</v>
      </c>
      <c r="BK93" s="212" t="e">
        <f t="shared" si="6"/>
        <v>#N/A</v>
      </c>
      <c r="BL93" s="240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7"/>
      <c r="BN93" s="216" t="e">
        <f t="shared" si="7"/>
        <v>#N/A</v>
      </c>
      <c r="BO93" s="207"/>
      <c r="BP93" s="233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2" t="e">
        <f>INDEX('файл остатки'!$A$5:$CX$265,MATCH($H$1,'файл остатки'!$A$5:$A$228,0),MATCH($B93,'файл остатки'!$A$5:$CX$5,0))</f>
        <v>#N/A</v>
      </c>
      <c r="BR93" s="240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7"/>
      <c r="BT93" s="216" t="e">
        <f t="shared" si="8"/>
        <v>#N/A</v>
      </c>
      <c r="BU93" s="207"/>
      <c r="BV93" s="233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2" t="e">
        <f>INDEX('файл остатки'!$A$5:$CX$265,MATCH($H$1,'файл остатки'!$A$5:$A$228,0),MATCH($B93,'файл остатки'!$A$5:$CX$5,0))</f>
        <v>#N/A</v>
      </c>
      <c r="BX93" s="240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7"/>
      <c r="BZ93" s="216" t="e">
        <f t="shared" si="9"/>
        <v>#N/A</v>
      </c>
      <c r="CA93" s="207"/>
      <c r="CB93" s="233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2" t="e">
        <f>INDEX('файл остатки'!$A$5:$CX$265,MATCH($H$1,'файл остатки'!$A$5:$A$228,0),MATCH($B93,'файл остатки'!$A$5:$CX$5,0))</f>
        <v>#N/A</v>
      </c>
      <c r="CD93" s="240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7"/>
      <c r="CH93" s="216">
        <f t="shared" si="10"/>
        <v>-3600</v>
      </c>
      <c r="CI93" s="207"/>
      <c r="CJ93" s="216" t="e">
        <f t="shared" si="11"/>
        <v>#N/A</v>
      </c>
      <c r="CK93" s="207"/>
      <c r="CO93" s="222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0" t="s">
        <v>141</v>
      </c>
      <c r="C94" s="243" t="e">
        <f>INDEX('файл остатки'!$A$5:$CX$265,MATCH($C$1,'файл остатки'!$A$5:$A$228,0),MATCH(B94,'файл остатки'!$A$5:$CX$5,0))</f>
        <v>#N/A</v>
      </c>
      <c r="D94" s="247"/>
      <c r="E94" s="216"/>
      <c r="F94" s="207"/>
      <c r="G94" s="233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2" t="e">
        <f>INDEX('файл остатки'!$A$5:$CX$265,MATCH($H$1,'файл остатки'!$A$5:$A$228,0),MATCH($B94,'файл остатки'!$A$5:$CX$5,0))</f>
        <v>#N/A</v>
      </c>
      <c r="I94" s="240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7"/>
      <c r="K94" s="216">
        <v>-500</v>
      </c>
      <c r="L94" s="207"/>
      <c r="M94" s="233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2" t="e">
        <f>INDEX('файл остатки'!$A$5:$CX$265,MATCH($H$1,'файл остатки'!$A$5:$A$228,0),MATCH($B94,'файл остатки'!$A$5:$CX$5,0))</f>
        <v>#N/A</v>
      </c>
      <c r="O94" s="240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7"/>
      <c r="Q94" s="216"/>
      <c r="R94" s="207"/>
      <c r="S94" s="233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2" t="e">
        <f>INDEX('файл остатки'!$A$5:$CX$265,MATCH($H$1,'файл остатки'!$A$5:$A$228,0),MATCH($B94,'файл остатки'!$A$5:$CX$5,0))</f>
        <v>#N/A</v>
      </c>
      <c r="U94" s="240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7"/>
      <c r="W94" s="216"/>
      <c r="X94" s="207"/>
      <c r="Y94" s="233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2" t="e">
        <f>INDEX('файл остатки'!$A$5:$CX$265,MATCH($H$1,'файл остатки'!$A$5:$A$228,0),MATCH($B94,'файл остатки'!$A$5:$CX$5,0))</f>
        <v>#N/A</v>
      </c>
      <c r="AA94" s="240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7"/>
      <c r="AC94" s="216">
        <v>-500</v>
      </c>
      <c r="AD94" s="207"/>
      <c r="AE94" s="233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2" t="e">
        <f>INDEX('файл остатки'!$A$5:$CX$265,MATCH($H$1,'файл остатки'!$A$5:$A$228,0),MATCH($B94,'файл остатки'!$A$5:$CX$5,0))</f>
        <v>#N/A</v>
      </c>
      <c r="AG94" s="240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7"/>
      <c r="AI94" s="216"/>
      <c r="AJ94" s="207"/>
      <c r="AK94" s="233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2" t="e">
        <f>INDEX('файл остатки'!$A$5:$CX$265,MATCH($H$1,'файл остатки'!$A$5:$A$228,0),MATCH($B94,'файл остатки'!$A$5:$CX$5,0))</f>
        <v>#N/A</v>
      </c>
      <c r="AM94" s="240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7"/>
      <c r="AO94" s="216"/>
      <c r="AP94" s="207"/>
      <c r="AQ94" s="233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2" t="e">
        <f>INDEX('файл остатки'!$A$5:$CX$265,MATCH($H$1,'файл остатки'!$A$5:$A$228,0),MATCH($B94,'файл остатки'!$A$5:$CX$5,0))</f>
        <v>#N/A</v>
      </c>
      <c r="AS94" s="240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7"/>
      <c r="AU94" s="216">
        <v>-300</v>
      </c>
      <c r="AV94" s="207"/>
      <c r="AW94" s="233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2" t="e">
        <f>INDEX('файл остатки'!$A$5:$CX$265,MATCH($H$1,'файл остатки'!$A$5:$A$228,0),MATCH($B94,'файл остатки'!$A$5:$CX$5,0))</f>
        <v>#N/A</v>
      </c>
      <c r="AY94" s="240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7"/>
      <c r="BA94" s="216"/>
      <c r="BB94" s="207"/>
      <c r="BC94" s="233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2" t="e">
        <f>INDEX('файл остатки'!$A$5:$CX$265,MATCH($H$1,'файл остатки'!$A$5:$A$228,0),MATCH($B94,'файл остатки'!$A$5:$CX$5,0))</f>
        <v>#N/A</v>
      </c>
      <c r="BE94" s="240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7"/>
      <c r="BG94" s="216"/>
      <c r="BH94" s="207"/>
      <c r="BI94" s="233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2" t="e">
        <f>INDEX('файл остатки'!$A$5:$CX$265,MATCH($H$1,'файл остатки'!$A$5:$A$228,0),MATCH($B94,'файл остатки'!$A$5:$CX$5,0))</f>
        <v>#N/A</v>
      </c>
      <c r="BK94" s="212" t="e">
        <f t="shared" si="6"/>
        <v>#N/A</v>
      </c>
      <c r="BL94" s="240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7"/>
      <c r="BN94" s="216" t="e">
        <f t="shared" si="7"/>
        <v>#N/A</v>
      </c>
      <c r="BO94" s="207"/>
      <c r="BP94" s="233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2" t="e">
        <f>INDEX('файл остатки'!$A$5:$CX$265,MATCH($H$1,'файл остатки'!$A$5:$A$228,0),MATCH($B94,'файл остатки'!$A$5:$CX$5,0))</f>
        <v>#N/A</v>
      </c>
      <c r="BR94" s="240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7"/>
      <c r="BT94" s="216" t="e">
        <f t="shared" si="8"/>
        <v>#N/A</v>
      </c>
      <c r="BU94" s="207"/>
      <c r="BV94" s="233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2" t="e">
        <f>INDEX('файл остатки'!$A$5:$CX$265,MATCH($H$1,'файл остатки'!$A$5:$A$228,0),MATCH($B94,'файл остатки'!$A$5:$CX$5,0))</f>
        <v>#N/A</v>
      </c>
      <c r="BX94" s="240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7"/>
      <c r="BZ94" s="216" t="e">
        <f t="shared" si="9"/>
        <v>#N/A</v>
      </c>
      <c r="CA94" s="207"/>
      <c r="CB94" s="233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2" t="e">
        <f>INDEX('файл остатки'!$A$5:$CX$265,MATCH($H$1,'файл остатки'!$A$5:$A$228,0),MATCH($B94,'файл остатки'!$A$5:$CX$5,0))</f>
        <v>#N/A</v>
      </c>
      <c r="CD94" s="240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7"/>
      <c r="CH94" s="216">
        <f t="shared" si="10"/>
        <v>-1300</v>
      </c>
      <c r="CI94" s="207"/>
      <c r="CJ94" s="216" t="e">
        <f t="shared" si="11"/>
        <v>#N/A</v>
      </c>
      <c r="CK94" s="207"/>
      <c r="CO94" s="222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0" t="s">
        <v>101</v>
      </c>
      <c r="C95" s="243">
        <f>INDEX('файл остатки'!$A$5:$CX$265,MATCH($C$1,'файл остатки'!$A$5:$A$228,0),MATCH(B95,'файл остатки'!$A$5:$CX$5,0))</f>
        <v>121.5</v>
      </c>
      <c r="D95" s="247"/>
      <c r="E95" s="216"/>
      <c r="F95" s="207"/>
      <c r="G95" s="233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2">
        <f>INDEX('файл остатки'!$A$5:$CX$265,MATCH($H$1,'файл остатки'!$A$5:$A$228,0),MATCH($B95,'файл остатки'!$A$5:$CX$5,0))</f>
        <v>62.571428571428569</v>
      </c>
      <c r="I95" s="240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7"/>
      <c r="K95" s="216"/>
      <c r="L95" s="207"/>
      <c r="M95" s="233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2">
        <f>INDEX('файл остатки'!$A$5:$CX$265,MATCH($H$1,'файл остатки'!$A$5:$A$228,0),MATCH($B95,'файл остатки'!$A$5:$CX$5,0))</f>
        <v>62.571428571428569</v>
      </c>
      <c r="O95" s="240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7"/>
      <c r="Q95" s="216"/>
      <c r="R95" s="207"/>
      <c r="S95" s="233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2">
        <f>INDEX('файл остатки'!$A$5:$CX$265,MATCH($H$1,'файл остатки'!$A$5:$A$228,0),MATCH($B95,'файл остатки'!$A$5:$CX$5,0))</f>
        <v>62.571428571428569</v>
      </c>
      <c r="U95" s="240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7"/>
      <c r="W95" s="216"/>
      <c r="X95" s="207"/>
      <c r="Y95" s="233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2">
        <f>INDEX('файл остатки'!$A$5:$CX$265,MATCH($H$1,'файл остатки'!$A$5:$A$228,0),MATCH($B95,'файл остатки'!$A$5:$CX$5,0))</f>
        <v>62.571428571428569</v>
      </c>
      <c r="AA95" s="240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7"/>
      <c r="AC95" s="216"/>
      <c r="AD95" s="207"/>
      <c r="AE95" s="233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2">
        <f>INDEX('файл остатки'!$A$5:$CX$265,MATCH($H$1,'файл остатки'!$A$5:$A$228,0),MATCH($B95,'файл остатки'!$A$5:$CX$5,0))</f>
        <v>62.571428571428569</v>
      </c>
      <c r="AG95" s="240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7"/>
      <c r="AI95" s="216"/>
      <c r="AJ95" s="207"/>
      <c r="AK95" s="233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2">
        <f>INDEX('файл остатки'!$A$5:$CX$265,MATCH($H$1,'файл остатки'!$A$5:$A$228,0),MATCH($B95,'файл остатки'!$A$5:$CX$5,0))</f>
        <v>62.571428571428569</v>
      </c>
      <c r="AM95" s="240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7"/>
      <c r="AO95" s="216"/>
      <c r="AP95" s="207"/>
      <c r="AQ95" s="233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2">
        <f>INDEX('файл остатки'!$A$5:$CX$265,MATCH($H$1,'файл остатки'!$A$5:$A$228,0),MATCH($B95,'файл остатки'!$A$5:$CX$5,0))</f>
        <v>62.571428571428569</v>
      </c>
      <c r="AS95" s="240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7"/>
      <c r="AU95" s="216"/>
      <c r="AV95" s="207"/>
      <c r="AW95" s="233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2">
        <f>INDEX('файл остатки'!$A$5:$CX$265,MATCH($H$1,'файл остатки'!$A$5:$A$228,0),MATCH($B95,'файл остатки'!$A$5:$CX$5,0))</f>
        <v>62.571428571428569</v>
      </c>
      <c r="AY95" s="240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7"/>
      <c r="BA95" s="216"/>
      <c r="BB95" s="207"/>
      <c r="BC95" s="233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2">
        <f>INDEX('файл остатки'!$A$5:$CX$265,MATCH($H$1,'файл остатки'!$A$5:$A$228,0),MATCH($B95,'файл остатки'!$A$5:$CX$5,0))</f>
        <v>62.571428571428569</v>
      </c>
      <c r="BE95" s="240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7"/>
      <c r="BG95" s="216"/>
      <c r="BH95" s="207"/>
      <c r="BI95" s="233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2">
        <f>INDEX('файл остатки'!$A$5:$CX$265,MATCH($H$1,'файл остатки'!$A$5:$A$228,0),MATCH($B95,'файл остатки'!$A$5:$CX$5,0))</f>
        <v>62.571428571428569</v>
      </c>
      <c r="BK95" s="212" t="e">
        <f t="shared" si="6"/>
        <v>#N/A</v>
      </c>
      <c r="BL95" s="240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7"/>
      <c r="BN95" s="216">
        <f t="shared" si="7"/>
        <v>-57.6</v>
      </c>
      <c r="BO95" s="207"/>
      <c r="BP95" s="233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2">
        <f>INDEX('файл остатки'!$A$5:$CX$265,MATCH($H$1,'файл остатки'!$A$5:$A$228,0),MATCH($B95,'файл остатки'!$A$5:$CX$5,0))</f>
        <v>62.571428571428569</v>
      </c>
      <c r="BR95" s="240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7"/>
      <c r="BT95" s="216">
        <f t="shared" si="8"/>
        <v>-57.6</v>
      </c>
      <c r="BU95" s="207"/>
      <c r="BV95" s="233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2">
        <f>INDEX('файл остатки'!$A$5:$CX$265,MATCH($H$1,'файл остатки'!$A$5:$A$228,0),MATCH($B95,'файл остатки'!$A$5:$CX$5,0))</f>
        <v>62.571428571428569</v>
      </c>
      <c r="BX95" s="240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7"/>
      <c r="BZ95" s="216">
        <f t="shared" si="9"/>
        <v>-57.6</v>
      </c>
      <c r="CA95" s="207"/>
      <c r="CB95" s="233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2">
        <f>INDEX('файл остатки'!$A$5:$CX$265,MATCH($H$1,'файл остатки'!$A$5:$A$228,0),MATCH($B95,'файл остатки'!$A$5:$CX$5,0))</f>
        <v>62.571428571428569</v>
      </c>
      <c r="CD95" s="240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7"/>
      <c r="CH95" s="216">
        <f t="shared" si="10"/>
        <v>0</v>
      </c>
      <c r="CI95" s="207"/>
      <c r="CJ95" s="216" t="e">
        <f t="shared" si="11"/>
        <v>#N/A</v>
      </c>
      <c r="CK95" s="207"/>
      <c r="CO95" s="222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3" t="e">
        <f>INDEX('файл остатки'!$A$5:$CX$265,MATCH($C$1,'файл остатки'!$A$5:$A$228,0),MATCH(B96,'файл остатки'!$A$5:$CX$5,0))</f>
        <v>#N/A</v>
      </c>
      <c r="D96" s="247"/>
      <c r="E96" s="216">
        <v>-240</v>
      </c>
      <c r="F96" s="207"/>
      <c r="G96" s="266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2" t="e">
        <f>INDEX('файл остатки'!$A$5:$CX$265,MATCH($H$1,'файл остатки'!$A$5:$A$228,0),MATCH($B96,'файл остатки'!$A$5:$CX$5,0))</f>
        <v>#N/A</v>
      </c>
      <c r="I96" s="240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7"/>
      <c r="K96" s="216"/>
      <c r="L96" s="207"/>
      <c r="M96" s="266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2" t="e">
        <f>INDEX('файл остатки'!$A$5:$CX$265,MATCH($H$1,'файл остатки'!$A$5:$A$228,0),MATCH($B96,'файл остатки'!$A$5:$CX$5,0))</f>
        <v>#N/A</v>
      </c>
      <c r="O96" s="240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7"/>
      <c r="Q96" s="216"/>
      <c r="R96" s="207"/>
      <c r="S96" s="266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2" t="e">
        <f>INDEX('файл остатки'!$A$5:$CX$265,MATCH($H$1,'файл остатки'!$A$5:$A$228,0),MATCH($B96,'файл остатки'!$A$5:$CX$5,0))</f>
        <v>#N/A</v>
      </c>
      <c r="U96" s="240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7"/>
      <c r="W96" s="216">
        <v>-100</v>
      </c>
      <c r="X96" s="207"/>
      <c r="Y96" s="266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2" t="e">
        <f>INDEX('файл остатки'!$A$5:$CX$265,MATCH($H$1,'файл остатки'!$A$5:$A$228,0),MATCH($B96,'файл остатки'!$A$5:$CX$5,0))</f>
        <v>#N/A</v>
      </c>
      <c r="AA96" s="240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7"/>
      <c r="AC96" s="216"/>
      <c r="AD96" s="207"/>
      <c r="AE96" s="266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2" t="e">
        <f>INDEX('файл остатки'!$A$5:$CX$265,MATCH($H$1,'файл остатки'!$A$5:$A$228,0),MATCH($B96,'файл остатки'!$A$5:$CX$5,0))</f>
        <v>#N/A</v>
      </c>
      <c r="AG96" s="240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7"/>
      <c r="AI96" s="216"/>
      <c r="AJ96" s="207"/>
      <c r="AK96" s="266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2" t="e">
        <f>INDEX('файл остатки'!$A$5:$CX$265,MATCH($H$1,'файл остатки'!$A$5:$A$228,0),MATCH($B96,'файл остатки'!$A$5:$CX$5,0))</f>
        <v>#N/A</v>
      </c>
      <c r="AM96" s="240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7"/>
      <c r="AO96" s="216"/>
      <c r="AP96" s="207"/>
      <c r="AQ96" s="266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2" t="e">
        <f>INDEX('файл остатки'!$A$5:$CX$265,MATCH($H$1,'файл остатки'!$A$5:$A$228,0),MATCH($B96,'файл остатки'!$A$5:$CX$5,0))</f>
        <v>#N/A</v>
      </c>
      <c r="AS96" s="240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7"/>
      <c r="AU96" s="216"/>
      <c r="AV96" s="207"/>
      <c r="AW96" s="266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2" t="e">
        <f>INDEX('файл остатки'!$A$5:$CX$265,MATCH($H$1,'файл остатки'!$A$5:$A$228,0),MATCH($B96,'файл остатки'!$A$5:$CX$5,0))</f>
        <v>#N/A</v>
      </c>
      <c r="AY96" s="240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7"/>
      <c r="BA96" s="216"/>
      <c r="BB96" s="207"/>
      <c r="BC96" s="266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2" t="e">
        <f>INDEX('файл остатки'!$A$5:$CX$265,MATCH($H$1,'файл остатки'!$A$5:$A$228,0),MATCH($B96,'файл остатки'!$A$5:$CX$5,0))</f>
        <v>#N/A</v>
      </c>
      <c r="BE96" s="240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7"/>
      <c r="BG96" s="216"/>
      <c r="BH96" s="207"/>
      <c r="BI96" s="266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2" t="e">
        <f>INDEX('файл остатки'!$A$5:$CX$265,MATCH($H$1,'файл остатки'!$A$5:$A$228,0),MATCH($B96,'файл остатки'!$A$5:$CX$5,0))</f>
        <v>#N/A</v>
      </c>
      <c r="BK96" s="212" t="e">
        <f>((-CJ96/10+BP96/7+BV96/7+CB96/7)/4)*CO96</f>
        <v>#N/A</v>
      </c>
      <c r="BL96" s="240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7"/>
      <c r="BN96" s="216" t="e">
        <f>-BP96</f>
        <v>#N/A</v>
      </c>
      <c r="BO96" s="207"/>
      <c r="BP96" s="266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2" t="e">
        <f>INDEX('файл остатки'!$A$5:$CX$265,MATCH($H$1,'файл остатки'!$A$5:$A$228,0),MATCH($B96,'файл остатки'!$A$5:$CX$5,0))</f>
        <v>#N/A</v>
      </c>
      <c r="BR96" s="240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7"/>
      <c r="BT96" s="216" t="e">
        <f>-BV96</f>
        <v>#N/A</v>
      </c>
      <c r="BU96" s="207"/>
      <c r="BV96" s="266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2" t="e">
        <f>INDEX('файл остатки'!$A$5:$CX$265,MATCH($H$1,'файл остатки'!$A$5:$A$228,0),MATCH($B96,'файл остатки'!$A$5:$CX$5,0))</f>
        <v>#N/A</v>
      </c>
      <c r="BX96" s="240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7"/>
      <c r="BZ96" s="216" t="e">
        <f>-CB96</f>
        <v>#N/A</v>
      </c>
      <c r="CA96" s="207"/>
      <c r="CB96" s="266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2" t="e">
        <f>INDEX('файл остатки'!$A$5:$CX$265,MATCH($H$1,'файл остатки'!$A$5:$A$228,0),MATCH($B96,'файл остатки'!$A$5:$CX$5,0))</f>
        <v>#N/A</v>
      </c>
      <c r="CD96" s="240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7"/>
      <c r="CH96" s="216">
        <f>E96+K96+Q96+W96+AC96+AI96+AO96+AU96+BA96+BG96</f>
        <v>-340</v>
      </c>
      <c r="CI96" s="207"/>
      <c r="CJ96" s="216" t="e">
        <f>-(G96+M96+S96+Y96+AE96+AK96+AQ96+AW96+BC96+BI96)</f>
        <v>#N/A</v>
      </c>
      <c r="CK96" s="207"/>
      <c r="CO96" s="222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0"/>
      <c r="C97" s="243"/>
      <c r="D97" s="247"/>
      <c r="E97" s="216"/>
      <c r="F97" s="207"/>
      <c r="G97" s="233"/>
      <c r="H97" s="212"/>
      <c r="I97" s="240"/>
      <c r="J97" s="217"/>
      <c r="K97" s="216"/>
      <c r="L97" s="207"/>
      <c r="M97" s="233"/>
      <c r="N97" s="212"/>
      <c r="O97" s="240"/>
      <c r="P97" s="217"/>
      <c r="Q97" s="216"/>
      <c r="R97" s="207"/>
      <c r="S97" s="233"/>
      <c r="T97" s="212"/>
      <c r="U97" s="240"/>
      <c r="V97" s="217"/>
      <c r="W97" s="216"/>
      <c r="X97" s="207"/>
      <c r="Y97" s="233"/>
      <c r="Z97" s="212"/>
      <c r="AA97" s="240"/>
      <c r="AB97" s="217"/>
      <c r="AC97" s="216"/>
      <c r="AD97" s="207"/>
      <c r="AE97" s="233"/>
      <c r="AF97" s="212"/>
      <c r="AG97" s="240"/>
      <c r="AH97" s="217"/>
      <c r="AI97" s="216"/>
      <c r="AJ97" s="207"/>
      <c r="AK97" s="233"/>
      <c r="AL97" s="212"/>
      <c r="AM97" s="240"/>
      <c r="AN97" s="217"/>
      <c r="AO97" s="216"/>
      <c r="AP97" s="207"/>
      <c r="AQ97" s="233"/>
      <c r="AR97" s="212"/>
      <c r="AS97" s="240"/>
      <c r="AT97" s="217"/>
      <c r="AU97" s="216"/>
      <c r="AV97" s="207"/>
      <c r="AW97" s="233"/>
      <c r="AX97" s="212"/>
      <c r="AY97" s="240"/>
      <c r="AZ97" s="217"/>
      <c r="BA97" s="216"/>
      <c r="BB97" s="207"/>
      <c r="BC97" s="233"/>
      <c r="BD97" s="212"/>
      <c r="BE97" s="240"/>
      <c r="BF97" s="217"/>
      <c r="BG97" s="216"/>
      <c r="BH97" s="207"/>
      <c r="BI97" s="233"/>
      <c r="BJ97" s="212"/>
      <c r="BK97" s="212"/>
      <c r="BL97" s="240"/>
      <c r="BM97" s="217"/>
      <c r="BN97" s="216"/>
      <c r="BO97" s="207"/>
      <c r="BP97" s="233"/>
      <c r="BQ97" s="212"/>
      <c r="BR97" s="240"/>
      <c r="BS97" s="217"/>
      <c r="BT97" s="216"/>
      <c r="BU97" s="207"/>
      <c r="BV97" s="233"/>
      <c r="BW97" s="212"/>
      <c r="BX97" s="240"/>
      <c r="BY97" s="217"/>
      <c r="BZ97" s="216"/>
      <c r="CA97" s="207"/>
      <c r="CB97" s="233"/>
      <c r="CC97" s="212"/>
      <c r="CD97" s="240"/>
      <c r="CE97" s="217"/>
      <c r="CH97" s="216"/>
      <c r="CI97" s="207"/>
      <c r="CJ97" s="216"/>
      <c r="CK97" s="207"/>
      <c r="CO97" s="222"/>
    </row>
    <row r="98" spans="1:93" ht="24" customHeight="1">
      <c r="A98" s="2546" t="s">
        <v>270</v>
      </c>
      <c r="B98" s="2547"/>
      <c r="C98" s="243"/>
      <c r="D98" s="247"/>
      <c r="E98" s="216">
        <v>0</v>
      </c>
      <c r="F98" s="207"/>
      <c r="G98" s="233"/>
      <c r="H98" s="212"/>
      <c r="I98" s="240"/>
      <c r="J98" s="217"/>
      <c r="K98" s="216"/>
      <c r="L98" s="212">
        <f>-0.5*SUM(E5:E30)/400*100-0.5*SUM(E32:E59)/330*90+0.5*SUM(E65:E78)/65*15+0.5*SUM(E79:E85)/65*50-0.5*SUM(K5:K30)/400*100-0.5*SUM(K32:K59)/330*90+0.5*SUM(K65:K78)/65*15+0.5*SUM(K79:K85)/65*50</f>
        <v>1362.4467657342657</v>
      </c>
      <c r="M98" s="233"/>
      <c r="N98" s="212"/>
      <c r="O98" s="240"/>
      <c r="P98" s="217"/>
      <c r="Q98" s="216">
        <v>0</v>
      </c>
      <c r="R98" s="212">
        <f>-0.5*SUM(K5:K30)/400*100-0.5*SUM(K32:K59)/330*90+0.5*SUM(K65:K78)/65*15+0.5*SUM(K79:K85)/65*50-0.5*SUM(Q5:Q30)/400*100-0.5*SUM(Q32:Q59)/330*90+0.5*SUM(Q65:Q78)/65*15+0.5*SUM(Q79:Q85)/65*50</f>
        <v>1602.5902972027975</v>
      </c>
      <c r="S98" s="233"/>
      <c r="T98" s="212"/>
      <c r="U98" s="240"/>
      <c r="V98" s="217"/>
      <c r="W98" s="216"/>
      <c r="X98" s="212">
        <f>-0.5*SUM(Q5:Q30)/400*100-0.5*SUM(Q32:Q59)/330*90+0.5*SUM(Q65:Q78)/65*15+0.5*SUM(Q79:Q85)/65*50-0.5*SUM(W5:W30)/400*100-0.5*SUM(W32:W59)/330*90+0.5*SUM(W65:W78)/65*15+0.5*SUM(W79:W85)/65*50</f>
        <v>1272.3952797202796</v>
      </c>
      <c r="Y98" s="233"/>
      <c r="Z98" s="212"/>
      <c r="AA98" s="240"/>
      <c r="AB98" s="217"/>
      <c r="AC98" s="216"/>
      <c r="AD98" s="212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3"/>
      <c r="AF98" s="212"/>
      <c r="AG98" s="240"/>
      <c r="AH98" s="217"/>
      <c r="AI98" s="216"/>
      <c r="AJ98" s="212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3"/>
      <c r="AL98" s="212"/>
      <c r="AM98" s="240"/>
      <c r="AN98" s="217"/>
      <c r="AO98" s="216"/>
      <c r="AP98" s="212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3"/>
      <c r="AR98" s="212"/>
      <c r="AS98" s="240"/>
      <c r="AT98" s="217"/>
      <c r="AU98" s="216"/>
      <c r="AV98" s="212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3"/>
      <c r="AX98" s="212"/>
      <c r="AY98" s="240"/>
      <c r="AZ98" s="217"/>
      <c r="BA98" s="216"/>
      <c r="BB98" s="212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3"/>
      <c r="BD98" s="212"/>
      <c r="BE98" s="240"/>
      <c r="BF98" s="217"/>
      <c r="BG98" s="216"/>
      <c r="BH98" s="212">
        <f>-SUM(BA5:BA30)/400*100-SUM(BA32:BA59)/330*90+SUM(BA65:BA78)/65*15+SUM(BA79:BA85)/65*50</f>
        <v>1566.0753205128203</v>
      </c>
      <c r="BI98" s="233"/>
      <c r="BJ98" s="212"/>
      <c r="BK98" s="212"/>
      <c r="BL98" s="240"/>
      <c r="BM98" s="217"/>
      <c r="BN98" s="216"/>
      <c r="BO98" s="212" t="e">
        <f>-SUM(BH5:BH30)/400*100-SUM(BH32:BH59)/330*90+SUM(BH65:BH78)/65*15+SUM(BH79:BH85)/65*50</f>
        <v>#DIV/0!</v>
      </c>
      <c r="BP98" s="233"/>
      <c r="BQ98" s="212"/>
      <c r="BR98" s="240"/>
      <c r="BS98" s="217"/>
      <c r="BT98" s="216"/>
      <c r="BU98" s="212" t="e">
        <f>-SUM(BN5:BN30)/400*100-SUM(BN32:BN59)/330*90+SUM(BN65:BN78)/65*15+SUM(BN79:BN85)/65*50</f>
        <v>#N/A</v>
      </c>
      <c r="BV98" s="233"/>
      <c r="BW98" s="212"/>
      <c r="BX98" s="240"/>
      <c r="BY98" s="217"/>
      <c r="BZ98" s="216"/>
      <c r="CA98" s="212" t="e">
        <f>-SUM(BT5:BT30)/400*100-SUM(BT32:BT59)/330*90+SUM(BT65:BT78)/65*15+SUM(BT79:BT85)/65*50</f>
        <v>#N/A</v>
      </c>
      <c r="CB98" s="233"/>
      <c r="CC98" s="212"/>
      <c r="CD98" s="240"/>
      <c r="CE98" s="217"/>
      <c r="CH98" s="216"/>
      <c r="CI98" s="207"/>
      <c r="CJ98" s="216"/>
      <c r="CK98" s="207"/>
      <c r="CO98" s="222"/>
    </row>
    <row r="99" spans="1:93" s="211" customFormat="1" ht="24" customHeight="1">
      <c r="C99" s="214"/>
      <c r="D99" s="208"/>
      <c r="E99" s="214"/>
      <c r="F99" s="249"/>
      <c r="G99" s="207"/>
      <c r="H99" s="207"/>
      <c r="I99" s="207"/>
      <c r="J99" s="215"/>
      <c r="K99" s="214"/>
      <c r="L99" s="249"/>
      <c r="M99" s="207"/>
      <c r="N99" s="207"/>
      <c r="O99" s="207"/>
      <c r="P99" s="215"/>
      <c r="Q99" s="214"/>
      <c r="R99" s="249"/>
      <c r="S99" s="207"/>
      <c r="T99" s="207"/>
      <c r="U99" s="207"/>
      <c r="V99" s="215"/>
      <c r="W99" s="214"/>
      <c r="X99" s="249"/>
      <c r="Y99" s="207"/>
      <c r="Z99" s="207"/>
      <c r="AA99" s="207"/>
      <c r="AB99" s="215"/>
      <c r="AC99" s="214"/>
      <c r="AD99" s="249"/>
      <c r="AE99" s="207"/>
      <c r="AF99" s="207"/>
      <c r="AG99" s="207"/>
      <c r="AH99" s="215"/>
      <c r="AI99" s="214"/>
      <c r="AJ99" s="249"/>
      <c r="AK99" s="207"/>
      <c r="AL99" s="207"/>
      <c r="AM99" s="207"/>
      <c r="AN99" s="215"/>
      <c r="AO99" s="214"/>
      <c r="AP99" s="249"/>
      <c r="AQ99" s="207"/>
      <c r="AR99" s="207"/>
      <c r="AS99" s="207"/>
      <c r="AT99" s="215"/>
      <c r="AU99" s="214"/>
      <c r="AV99" s="249"/>
      <c r="AW99" s="207"/>
      <c r="AX99" s="207"/>
      <c r="AY99" s="207"/>
      <c r="AZ99" s="215"/>
      <c r="BA99" s="214"/>
      <c r="BB99" s="249"/>
      <c r="BC99" s="207"/>
      <c r="BD99" s="207"/>
      <c r="BE99" s="207"/>
      <c r="BF99" s="215"/>
      <c r="BG99" s="214"/>
      <c r="BH99" s="249"/>
      <c r="BI99" s="207"/>
      <c r="BJ99" s="207"/>
      <c r="BK99" s="207"/>
      <c r="BL99" s="207"/>
      <c r="BM99" s="215"/>
      <c r="BN99" s="214"/>
      <c r="BO99" s="249"/>
      <c r="BP99" s="207"/>
      <c r="BQ99" s="207"/>
      <c r="BR99" s="207"/>
      <c r="BS99" s="215"/>
      <c r="BT99" s="214"/>
      <c r="BU99" s="249"/>
      <c r="BV99" s="207"/>
      <c r="BW99" s="207"/>
      <c r="BX99" s="207"/>
      <c r="BY99" s="215"/>
      <c r="BZ99" s="214"/>
      <c r="CA99" s="249"/>
      <c r="CB99" s="207"/>
      <c r="CC99" s="207"/>
      <c r="CD99" s="207"/>
      <c r="CE99" s="215"/>
      <c r="CH99" s="216"/>
      <c r="CI99" s="249"/>
      <c r="CJ99" s="216"/>
      <c r="CK99" s="249"/>
      <c r="CO99" s="222"/>
    </row>
    <row r="100" spans="1:93" ht="24" customHeight="1">
      <c r="A100" s="189" t="s">
        <v>19</v>
      </c>
      <c r="B100" s="201" t="s">
        <v>118</v>
      </c>
      <c r="C100" s="243" t="e">
        <f>INDEX('файл остатки'!$A$5:$CX$265,MATCH($C$1,'файл остатки'!$A$5:$A$228,0),MATCH(B100,'файл остатки'!$A$5:$CX$5,0))</f>
        <v>#N/A</v>
      </c>
      <c r="D100" s="247"/>
      <c r="E100" s="216"/>
      <c r="F100" s="207" t="s">
        <v>210</v>
      </c>
      <c r="G100" s="233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2" t="e">
        <f>INDEX('файл остатки'!$A$5:$CX$265,MATCH($H$1,'файл остатки'!$A$5:$A$228,0),MATCH($B100,'файл остатки'!$A$5:$CX$5,0))</f>
        <v>#N/A</v>
      </c>
      <c r="I100" s="240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7"/>
      <c r="K100" s="216"/>
      <c r="L100" s="207" t="s">
        <v>210</v>
      </c>
      <c r="M100" s="233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2" t="e">
        <f>INDEX('файл остатки'!$A$5:$CX$265,MATCH($H$1,'файл остатки'!$A$5:$A$228,0),MATCH($B100,'файл остатки'!$A$5:$CX$5,0))</f>
        <v>#N/A</v>
      </c>
      <c r="O100" s="240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7"/>
      <c r="Q100" s="216"/>
      <c r="R100" s="207" t="s">
        <v>210</v>
      </c>
      <c r="S100" s="233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2" t="e">
        <f>INDEX('файл остатки'!$A$5:$CX$265,MATCH($H$1,'файл остатки'!$A$5:$A$228,0),MATCH($B100,'файл остатки'!$A$5:$CX$5,0))</f>
        <v>#N/A</v>
      </c>
      <c r="U100" s="240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7"/>
      <c r="W100" s="216"/>
      <c r="X100" s="207" t="s">
        <v>210</v>
      </c>
      <c r="Y100" s="233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2" t="e">
        <f>INDEX('файл остатки'!$A$5:$CX$265,MATCH($H$1,'файл остатки'!$A$5:$A$228,0),MATCH($B100,'файл остатки'!$A$5:$CX$5,0))</f>
        <v>#N/A</v>
      </c>
      <c r="AA100" s="240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7"/>
      <c r="AC100" s="216">
        <v>-100</v>
      </c>
      <c r="AD100" s="207" t="s">
        <v>210</v>
      </c>
      <c r="AE100" s="233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2" t="e">
        <f>INDEX('файл остатки'!$A$5:$CX$265,MATCH($H$1,'файл остатки'!$A$5:$A$228,0),MATCH($B100,'файл остатки'!$A$5:$CX$5,0))</f>
        <v>#N/A</v>
      </c>
      <c r="AG100" s="240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7"/>
      <c r="AI100" s="216"/>
      <c r="AJ100" s="207" t="s">
        <v>210</v>
      </c>
      <c r="AK100" s="233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2" t="e">
        <f>INDEX('файл остатки'!$A$5:$CX$265,MATCH($H$1,'файл остатки'!$A$5:$A$228,0),MATCH($B100,'файл остатки'!$A$5:$CX$5,0))</f>
        <v>#N/A</v>
      </c>
      <c r="AM100" s="240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7"/>
      <c r="AO100" s="216"/>
      <c r="AP100" s="207" t="s">
        <v>210</v>
      </c>
      <c r="AQ100" s="233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2" t="e">
        <f>INDEX('файл остатки'!$A$5:$CX$265,MATCH($H$1,'файл остатки'!$A$5:$A$228,0),MATCH($B100,'файл остатки'!$A$5:$CX$5,0))</f>
        <v>#N/A</v>
      </c>
      <c r="AS100" s="240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7"/>
      <c r="AU100" s="216"/>
      <c r="AV100" s="207" t="s">
        <v>210</v>
      </c>
      <c r="AW100" s="233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2" t="e">
        <f>INDEX('файл остатки'!$A$5:$CX$265,MATCH($H$1,'файл остатки'!$A$5:$A$228,0),MATCH($B100,'файл остатки'!$A$5:$CX$5,0))</f>
        <v>#N/A</v>
      </c>
      <c r="AY100" s="240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7"/>
      <c r="BA100" s="216">
        <v>-50</v>
      </c>
      <c r="BB100" s="207" t="s">
        <v>210</v>
      </c>
      <c r="BC100" s="233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2" t="e">
        <f>INDEX('файл остатки'!$A$5:$CX$265,MATCH($H$1,'файл остатки'!$A$5:$A$228,0),MATCH($B100,'файл остатки'!$A$5:$CX$5,0))</f>
        <v>#N/A</v>
      </c>
      <c r="BE100" s="240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7"/>
      <c r="BG100" s="216"/>
      <c r="BH100" s="207" t="s">
        <v>210</v>
      </c>
      <c r="BI100" s="233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2" t="e">
        <f>INDEX('файл остатки'!$A$5:$CX$265,MATCH($H$1,'файл остатки'!$A$5:$A$228,0),MATCH($B100,'файл остатки'!$A$5:$CX$5,0))</f>
        <v>#N/A</v>
      </c>
      <c r="BK100" s="212" t="e">
        <f t="shared" si="6"/>
        <v>#N/A</v>
      </c>
      <c r="BL100" s="240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7"/>
      <c r="BN100" s="216" t="e">
        <f t="shared" si="7"/>
        <v>#N/A</v>
      </c>
      <c r="BO100" s="207" t="s">
        <v>210</v>
      </c>
      <c r="BP100" s="233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2" t="e">
        <f>INDEX('файл остатки'!$A$5:$CX$265,MATCH($H$1,'файл остатки'!$A$5:$A$228,0),MATCH($B100,'файл остатки'!$A$5:$CX$5,0))</f>
        <v>#N/A</v>
      </c>
      <c r="BR100" s="240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7"/>
      <c r="BT100" s="216" t="e">
        <f t="shared" si="8"/>
        <v>#N/A</v>
      </c>
      <c r="BU100" s="207" t="s">
        <v>210</v>
      </c>
      <c r="BV100" s="233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2" t="e">
        <f>INDEX('файл остатки'!$A$5:$CX$265,MATCH($H$1,'файл остатки'!$A$5:$A$228,0),MATCH($B100,'файл остатки'!$A$5:$CX$5,0))</f>
        <v>#N/A</v>
      </c>
      <c r="BX100" s="240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7"/>
      <c r="BZ100" s="216" t="e">
        <f t="shared" si="9"/>
        <v>#N/A</v>
      </c>
      <c r="CA100" s="207" t="s">
        <v>210</v>
      </c>
      <c r="CB100" s="233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2" t="e">
        <f>INDEX('файл остатки'!$A$5:$CX$265,MATCH($H$1,'файл остатки'!$A$5:$A$228,0),MATCH($B100,'файл остатки'!$A$5:$CX$5,0))</f>
        <v>#N/A</v>
      </c>
      <c r="CD100" s="240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7"/>
      <c r="CH100" s="216">
        <f t="shared" si="10"/>
        <v>-150</v>
      </c>
      <c r="CI100" s="207" t="s">
        <v>210</v>
      </c>
      <c r="CJ100" s="216" t="e">
        <f t="shared" si="11"/>
        <v>#N/A</v>
      </c>
      <c r="CK100" s="207" t="s">
        <v>210</v>
      </c>
      <c r="CO100" s="222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89" t="s">
        <v>20</v>
      </c>
      <c r="B101" s="201" t="s">
        <v>176</v>
      </c>
      <c r="C101" s="243">
        <f>INDEX('файл остатки'!$A$5:$CX$265,MATCH($C$1,'файл остатки'!$A$5:$A$228,0),MATCH(B101,'файл остатки'!$A$5:$CX$5,0))</f>
        <v>0</v>
      </c>
      <c r="D101" s="247"/>
      <c r="E101" s="216"/>
      <c r="F101" s="150">
        <f>-(E100+E101+E102)/'планирование суточное'!$K$138</f>
        <v>0</v>
      </c>
      <c r="G101" s="233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2">
        <f>INDEX('файл остатки'!$A$5:$CX$265,MATCH($H$1,'файл остатки'!$A$5:$A$228,0),MATCH($B101,'файл остатки'!$A$5:$CX$5,0))</f>
        <v>421.77142857142854</v>
      </c>
      <c r="I101" s="240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7"/>
      <c r="K101" s="216"/>
      <c r="L101" s="150">
        <f>-(K100+K101+K102)/'планирование суточное'!$K$138</f>
        <v>0</v>
      </c>
      <c r="M101" s="233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2">
        <f>INDEX('файл остатки'!$A$5:$CX$265,MATCH($H$1,'файл остатки'!$A$5:$A$228,0),MATCH($B101,'файл остатки'!$A$5:$CX$5,0))</f>
        <v>421.77142857142854</v>
      </c>
      <c r="O101" s="240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7"/>
      <c r="Q101" s="216"/>
      <c r="R101" s="150">
        <f>-(Q100+Q101+Q102)/'планирование суточное'!$K$138</f>
        <v>0</v>
      </c>
      <c r="S101" s="233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2">
        <f>INDEX('файл остатки'!$A$5:$CX$265,MATCH($H$1,'файл остатки'!$A$5:$A$228,0),MATCH($B101,'файл остатки'!$A$5:$CX$5,0))</f>
        <v>421.77142857142854</v>
      </c>
      <c r="U101" s="240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7"/>
      <c r="W101" s="216"/>
      <c r="X101" s="150">
        <f>-(W100+W101+W102)/'планирование суточное'!$K$138</f>
        <v>0</v>
      </c>
      <c r="Y101" s="233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2">
        <f>INDEX('файл остатки'!$A$5:$CX$265,MATCH($H$1,'файл остатки'!$A$5:$A$228,0),MATCH($B101,'файл остатки'!$A$5:$CX$5,0))</f>
        <v>421.77142857142854</v>
      </c>
      <c r="AA101" s="240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7"/>
      <c r="AC101" s="216">
        <v>-100</v>
      </c>
      <c r="AD101" s="150">
        <f>-(AC100+AC101+AC102)/'планирование суточное'!$K$138</f>
        <v>925.92592592592587</v>
      </c>
      <c r="AE101" s="233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2">
        <f>INDEX('файл остатки'!$A$5:$CX$265,MATCH($H$1,'файл остатки'!$A$5:$A$228,0),MATCH($B101,'файл остатки'!$A$5:$CX$5,0))</f>
        <v>421.77142857142854</v>
      </c>
      <c r="AG101" s="240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7"/>
      <c r="AI101" s="216"/>
      <c r="AJ101" s="150">
        <f>-(AI100+AI101+AI102)/'планирование суточное'!$K$138</f>
        <v>0</v>
      </c>
      <c r="AK101" s="233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2">
        <f>INDEX('файл остатки'!$A$5:$CX$265,MATCH($H$1,'файл остатки'!$A$5:$A$228,0),MATCH($B101,'файл остатки'!$A$5:$CX$5,0))</f>
        <v>421.77142857142854</v>
      </c>
      <c r="AM101" s="240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7"/>
      <c r="AO101" s="216"/>
      <c r="AP101" s="150">
        <f>-(AO100+AO101+AO102)/'планирование суточное'!$K$138</f>
        <v>0</v>
      </c>
      <c r="AQ101" s="233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2">
        <f>INDEX('файл остатки'!$A$5:$CX$265,MATCH($H$1,'файл остатки'!$A$5:$A$228,0),MATCH($B101,'файл остатки'!$A$5:$CX$5,0))</f>
        <v>421.77142857142854</v>
      </c>
      <c r="AS101" s="240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7"/>
      <c r="AU101" s="216"/>
      <c r="AV101" s="150">
        <f>-(AU100+AU101+AU102)/'планирование суточное'!$K$138</f>
        <v>0</v>
      </c>
      <c r="AW101" s="233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2">
        <f>INDEX('файл остатки'!$A$5:$CX$265,MATCH($H$1,'файл остатки'!$A$5:$A$228,0),MATCH($B101,'файл остатки'!$A$5:$CX$5,0))</f>
        <v>421.77142857142854</v>
      </c>
      <c r="AY101" s="240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7"/>
      <c r="BA101" s="216">
        <v>-50</v>
      </c>
      <c r="BB101" s="150">
        <f>-(BA100+BA101+BA102)/'планирование суточное'!$K$138</f>
        <v>740.74074074074065</v>
      </c>
      <c r="BC101" s="233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2">
        <f>INDEX('файл остатки'!$A$5:$CX$265,MATCH($H$1,'файл остатки'!$A$5:$A$228,0),MATCH($B101,'файл остатки'!$A$5:$CX$5,0))</f>
        <v>421.77142857142854</v>
      </c>
      <c r="BE101" s="240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7"/>
      <c r="BG101" s="216"/>
      <c r="BH101" s="150">
        <f>-(BG100+BG101+BG102)/'планирование суточное'!$K$138</f>
        <v>0</v>
      </c>
      <c r="BI101" s="233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2">
        <f>INDEX('файл остатки'!$A$5:$CX$265,MATCH($H$1,'файл остатки'!$A$5:$A$228,0),MATCH($B101,'файл остатки'!$A$5:$CX$5,0))</f>
        <v>421.77142857142854</v>
      </c>
      <c r="BK101" s="212" t="e">
        <f t="shared" si="6"/>
        <v>#N/A</v>
      </c>
      <c r="BL101" s="240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7"/>
      <c r="BN101" s="216">
        <f t="shared" si="7"/>
        <v>-586.95000000000016</v>
      </c>
      <c r="BO101" s="150" t="e">
        <f>-(BN100+BN101+BN102)/'планирование суточное'!$K$138</f>
        <v>#N/A</v>
      </c>
      <c r="BP101" s="233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586.95000000000016</v>
      </c>
      <c r="BQ101" s="212">
        <f>INDEX('файл остатки'!$A$5:$CX$265,MATCH($H$1,'файл остатки'!$A$5:$A$228,0),MATCH($B101,'файл остатки'!$A$5:$CX$5,0))</f>
        <v>421.77142857142854</v>
      </c>
      <c r="BR101" s="240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7"/>
      <c r="BT101" s="216">
        <f t="shared" si="8"/>
        <v>-5402.95</v>
      </c>
      <c r="BU101" s="150" t="e">
        <f>-(BT100+BT101+BT102)/'планирование суточное'!$K$138</f>
        <v>#N/A</v>
      </c>
      <c r="BV101" s="233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5402.95</v>
      </c>
      <c r="BW101" s="212">
        <f>INDEX('файл остатки'!$A$5:$CX$265,MATCH($H$1,'файл остатки'!$A$5:$A$228,0),MATCH($B101,'файл остатки'!$A$5:$CX$5,0))</f>
        <v>421.77142857142854</v>
      </c>
      <c r="BX101" s="240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7"/>
      <c r="BZ101" s="216">
        <f t="shared" si="9"/>
        <v>-536.95000000000016</v>
      </c>
      <c r="CA101" s="150" t="e">
        <f>-(BZ100+BZ101+BZ102)/'планирование суточное'!$K$138</f>
        <v>#N/A</v>
      </c>
      <c r="CB101" s="233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536.95000000000016</v>
      </c>
      <c r="CC101" s="212">
        <f>INDEX('файл остатки'!$A$5:$CX$265,MATCH($H$1,'файл остатки'!$A$5:$A$228,0),MATCH($B101,'файл остатки'!$A$5:$CX$5,0))</f>
        <v>421.77142857142854</v>
      </c>
      <c r="CD101" s="240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7"/>
      <c r="CH101" s="216">
        <f t="shared" si="10"/>
        <v>-150</v>
      </c>
      <c r="CI101" s="150">
        <f>-(CH100+CH101+CH102)/'планирование суточное'!$K$138</f>
        <v>1666.6666666666665</v>
      </c>
      <c r="CJ101" s="216" t="e">
        <f t="shared" si="11"/>
        <v>#N/A</v>
      </c>
      <c r="CK101" s="150" t="e">
        <f>-(CJ100+CJ101+CJ102)/'планирование суточное'!$K$138</f>
        <v>#N/A</v>
      </c>
      <c r="CO101" s="222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89" t="s">
        <v>19</v>
      </c>
      <c r="B102" s="201" t="s">
        <v>119</v>
      </c>
      <c r="C102" s="243" t="e">
        <f>INDEX('файл остатки'!$A$5:$CX$265,MATCH($C$1,'файл остатки'!$A$5:$A$228,0),MATCH(B102,'файл остатки'!$A$5:$CX$5,0))</f>
        <v>#N/A</v>
      </c>
      <c r="D102" s="247"/>
      <c r="E102" s="216"/>
      <c r="F102" s="207" t="s">
        <v>211</v>
      </c>
      <c r="G102" s="233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2" t="e">
        <f>INDEX('файл остатки'!$A$5:$CX$265,MATCH($H$1,'файл остатки'!$A$5:$A$228,0),MATCH($B102,'файл остатки'!$A$5:$CX$5,0))</f>
        <v>#N/A</v>
      </c>
      <c r="I102" s="240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7"/>
      <c r="K102" s="216"/>
      <c r="L102" s="207" t="s">
        <v>211</v>
      </c>
      <c r="M102" s="233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2" t="e">
        <f>INDEX('файл остатки'!$A$5:$CX$265,MATCH($H$1,'файл остатки'!$A$5:$A$228,0),MATCH($B102,'файл остатки'!$A$5:$CX$5,0))</f>
        <v>#N/A</v>
      </c>
      <c r="O102" s="240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7"/>
      <c r="Q102" s="216"/>
      <c r="R102" s="207" t="s">
        <v>211</v>
      </c>
      <c r="S102" s="233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2" t="e">
        <f>INDEX('файл остатки'!$A$5:$CX$265,MATCH($H$1,'файл остатки'!$A$5:$A$228,0),MATCH($B102,'файл остатки'!$A$5:$CX$5,0))</f>
        <v>#N/A</v>
      </c>
      <c r="U102" s="240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7"/>
      <c r="W102" s="216"/>
      <c r="X102" s="207" t="s">
        <v>211</v>
      </c>
      <c r="Y102" s="233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2" t="e">
        <f>INDEX('файл остатки'!$A$5:$CX$265,MATCH($H$1,'файл остатки'!$A$5:$A$228,0),MATCH($B102,'файл остатки'!$A$5:$CX$5,0))</f>
        <v>#N/A</v>
      </c>
      <c r="AA102" s="240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7"/>
      <c r="AC102" s="216">
        <v>-300</v>
      </c>
      <c r="AD102" s="207" t="s">
        <v>211</v>
      </c>
      <c r="AE102" s="233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2" t="e">
        <f>INDEX('файл остатки'!$A$5:$CX$265,MATCH($H$1,'файл остатки'!$A$5:$A$228,0),MATCH($B102,'файл остатки'!$A$5:$CX$5,0))</f>
        <v>#N/A</v>
      </c>
      <c r="AG102" s="240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7"/>
      <c r="AI102" s="216"/>
      <c r="AJ102" s="207" t="s">
        <v>211</v>
      </c>
      <c r="AK102" s="233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2" t="e">
        <f>INDEX('файл остатки'!$A$5:$CX$265,MATCH($H$1,'файл остатки'!$A$5:$A$228,0),MATCH($B102,'файл остатки'!$A$5:$CX$5,0))</f>
        <v>#N/A</v>
      </c>
      <c r="AM102" s="240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7"/>
      <c r="AO102" s="216"/>
      <c r="AP102" s="207" t="s">
        <v>211</v>
      </c>
      <c r="AQ102" s="233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2" t="e">
        <f>INDEX('файл остатки'!$A$5:$CX$265,MATCH($H$1,'файл остатки'!$A$5:$A$228,0),MATCH($B102,'файл остатки'!$A$5:$CX$5,0))</f>
        <v>#N/A</v>
      </c>
      <c r="AS102" s="240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7"/>
      <c r="AU102" s="216"/>
      <c r="AV102" s="207" t="s">
        <v>211</v>
      </c>
      <c r="AW102" s="233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2" t="e">
        <f>INDEX('файл остатки'!$A$5:$CX$265,MATCH($H$1,'файл остатки'!$A$5:$A$228,0),MATCH($B102,'файл остатки'!$A$5:$CX$5,0))</f>
        <v>#N/A</v>
      </c>
      <c r="AY102" s="240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7"/>
      <c r="BA102" s="216">
        <v>-300</v>
      </c>
      <c r="BB102" s="207" t="s">
        <v>211</v>
      </c>
      <c r="BC102" s="233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2" t="e">
        <f>INDEX('файл остатки'!$A$5:$CX$265,MATCH($H$1,'файл остатки'!$A$5:$A$228,0),MATCH($B102,'файл остатки'!$A$5:$CX$5,0))</f>
        <v>#N/A</v>
      </c>
      <c r="BE102" s="240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7"/>
      <c r="BG102" s="216"/>
      <c r="BH102" s="207" t="s">
        <v>211</v>
      </c>
      <c r="BI102" s="233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2" t="e">
        <f>INDEX('файл остатки'!$A$5:$CX$265,MATCH($H$1,'файл остатки'!$A$5:$A$228,0),MATCH($B102,'файл остатки'!$A$5:$CX$5,0))</f>
        <v>#N/A</v>
      </c>
      <c r="BK102" s="212" t="e">
        <f t="shared" si="6"/>
        <v>#N/A</v>
      </c>
      <c r="BL102" s="240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7"/>
      <c r="BN102" s="216" t="e">
        <f t="shared" si="7"/>
        <v>#N/A</v>
      </c>
      <c r="BO102" s="207" t="s">
        <v>211</v>
      </c>
      <c r="BP102" s="233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2" t="e">
        <f>INDEX('файл остатки'!$A$5:$CX$265,MATCH($H$1,'файл остатки'!$A$5:$A$228,0),MATCH($B102,'файл остатки'!$A$5:$CX$5,0))</f>
        <v>#N/A</v>
      </c>
      <c r="BR102" s="240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7"/>
      <c r="BT102" s="216" t="e">
        <f t="shared" si="8"/>
        <v>#N/A</v>
      </c>
      <c r="BU102" s="207" t="s">
        <v>211</v>
      </c>
      <c r="BV102" s="233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2" t="e">
        <f>INDEX('файл остатки'!$A$5:$CX$265,MATCH($H$1,'файл остатки'!$A$5:$A$228,0),MATCH($B102,'файл остатки'!$A$5:$CX$5,0))</f>
        <v>#N/A</v>
      </c>
      <c r="BX102" s="240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7"/>
      <c r="BZ102" s="216" t="e">
        <f t="shared" si="9"/>
        <v>#N/A</v>
      </c>
      <c r="CA102" s="207" t="s">
        <v>211</v>
      </c>
      <c r="CB102" s="233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2" t="e">
        <f>INDEX('файл остатки'!$A$5:$CX$265,MATCH($H$1,'файл остатки'!$A$5:$A$228,0),MATCH($B102,'файл остатки'!$A$5:$CX$5,0))</f>
        <v>#N/A</v>
      </c>
      <c r="CD102" s="240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7"/>
      <c r="CH102" s="216">
        <f t="shared" si="10"/>
        <v>-600</v>
      </c>
      <c r="CI102" s="207" t="s">
        <v>211</v>
      </c>
      <c r="CJ102" s="216" t="e">
        <f t="shared" si="11"/>
        <v>#N/A</v>
      </c>
      <c r="CK102" s="207" t="s">
        <v>211</v>
      </c>
      <c r="CO102" s="222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89" t="s">
        <v>19</v>
      </c>
      <c r="B103" s="201" t="s">
        <v>120</v>
      </c>
      <c r="C103" s="243" t="e">
        <f>INDEX('файл остатки'!$A$5:$CX$265,MATCH($C$1,'файл остатки'!$A$5:$A$228,0),MATCH(B103,'файл остатки'!$A$5:$CX$5,0))</f>
        <v>#N/A</v>
      </c>
      <c r="D103" s="247"/>
      <c r="E103" s="216"/>
      <c r="F103" s="150">
        <f>-(E103)/'планирование суточное'!$K$146</f>
        <v>0</v>
      </c>
      <c r="G103" s="233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2" t="e">
        <f>INDEX('файл остатки'!$A$5:$CX$265,MATCH($H$1,'файл остатки'!$A$5:$A$228,0),MATCH($B103,'файл остатки'!$A$5:$CX$5,0))</f>
        <v>#N/A</v>
      </c>
      <c r="I103" s="240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7"/>
      <c r="K103" s="216"/>
      <c r="L103" s="150">
        <f>-(K103)/'планирование суточное'!$K$146</f>
        <v>0</v>
      </c>
      <c r="M103" s="233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2" t="e">
        <f>INDEX('файл остатки'!$A$5:$CX$265,MATCH($H$1,'файл остатки'!$A$5:$A$228,0),MATCH($B103,'файл остатки'!$A$5:$CX$5,0))</f>
        <v>#N/A</v>
      </c>
      <c r="O103" s="240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7"/>
      <c r="Q103" s="216"/>
      <c r="R103" s="150">
        <f>-(Q103)/'планирование суточное'!$K$146</f>
        <v>0</v>
      </c>
      <c r="S103" s="233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2" t="e">
        <f>INDEX('файл остатки'!$A$5:$CX$265,MATCH($H$1,'файл остатки'!$A$5:$A$228,0),MATCH($B103,'файл остатки'!$A$5:$CX$5,0))</f>
        <v>#N/A</v>
      </c>
      <c r="U103" s="240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7"/>
      <c r="W103" s="216"/>
      <c r="X103" s="150">
        <f>-(W103)/'планирование суточное'!$K$146</f>
        <v>0</v>
      </c>
      <c r="Y103" s="233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2" t="e">
        <f>INDEX('файл остатки'!$A$5:$CX$265,MATCH($H$1,'файл остатки'!$A$5:$A$228,0),MATCH($B103,'файл остатки'!$A$5:$CX$5,0))</f>
        <v>#N/A</v>
      </c>
      <c r="AA103" s="240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7"/>
      <c r="AC103" s="216"/>
      <c r="AD103" s="150">
        <f>-(AC103)/'планирование суточное'!$K$146</f>
        <v>0</v>
      </c>
      <c r="AE103" s="233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2" t="e">
        <f>INDEX('файл остатки'!$A$5:$CX$265,MATCH($H$1,'файл остатки'!$A$5:$A$228,0),MATCH($B103,'файл остатки'!$A$5:$CX$5,0))</f>
        <v>#N/A</v>
      </c>
      <c r="AG103" s="240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7"/>
      <c r="AI103" s="216"/>
      <c r="AJ103" s="150">
        <f>-(AI103)/'планирование суточное'!$K$146</f>
        <v>0</v>
      </c>
      <c r="AK103" s="233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2" t="e">
        <f>INDEX('файл остатки'!$A$5:$CX$265,MATCH($H$1,'файл остатки'!$A$5:$A$228,0),MATCH($B103,'файл остатки'!$A$5:$CX$5,0))</f>
        <v>#N/A</v>
      </c>
      <c r="AM103" s="240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7"/>
      <c r="AO103" s="216"/>
      <c r="AP103" s="150">
        <f>-(AO103)/'планирование суточное'!$K$146</f>
        <v>0</v>
      </c>
      <c r="AQ103" s="233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2" t="e">
        <f>INDEX('файл остатки'!$A$5:$CX$265,MATCH($H$1,'файл остатки'!$A$5:$A$228,0),MATCH($B103,'файл остатки'!$A$5:$CX$5,0))</f>
        <v>#N/A</v>
      </c>
      <c r="AS103" s="240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7"/>
      <c r="AU103" s="216"/>
      <c r="AV103" s="150">
        <f>-(AU103)/'планирование суточное'!$K$146</f>
        <v>0</v>
      </c>
      <c r="AW103" s="233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2" t="e">
        <f>INDEX('файл остатки'!$A$5:$CX$265,MATCH($H$1,'файл остатки'!$A$5:$A$228,0),MATCH($B103,'файл остатки'!$A$5:$CX$5,0))</f>
        <v>#N/A</v>
      </c>
      <c r="AY103" s="240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7"/>
      <c r="BA103" s="216">
        <v>-300</v>
      </c>
      <c r="BB103" s="150">
        <f>-(BA103)/'планирование суточное'!$K$146</f>
        <v>652.17391304347825</v>
      </c>
      <c r="BC103" s="233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2" t="e">
        <f>INDEX('файл остатки'!$A$5:$CX$265,MATCH($H$1,'файл остатки'!$A$5:$A$228,0),MATCH($B103,'файл остатки'!$A$5:$CX$5,0))</f>
        <v>#N/A</v>
      </c>
      <c r="BE103" s="240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7"/>
      <c r="BG103" s="216"/>
      <c r="BH103" s="150">
        <f>-(BG103)/'планирование суточное'!$K$146</f>
        <v>0</v>
      </c>
      <c r="BI103" s="233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2" t="e">
        <f>INDEX('файл остатки'!$A$5:$CX$265,MATCH($H$1,'файл остатки'!$A$5:$A$228,0),MATCH($B103,'файл остатки'!$A$5:$CX$5,0))</f>
        <v>#N/A</v>
      </c>
      <c r="BK103" s="212" t="e">
        <f t="shared" si="6"/>
        <v>#N/A</v>
      </c>
      <c r="BL103" s="240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7"/>
      <c r="BN103" s="216" t="e">
        <f t="shared" si="7"/>
        <v>#N/A</v>
      </c>
      <c r="BO103" s="150" t="e">
        <f>-(BN103)/'планирование суточное'!$K$146</f>
        <v>#N/A</v>
      </c>
      <c r="BP103" s="233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2" t="e">
        <f>INDEX('файл остатки'!$A$5:$CX$265,MATCH($H$1,'файл остатки'!$A$5:$A$228,0),MATCH($B103,'файл остатки'!$A$5:$CX$5,0))</f>
        <v>#N/A</v>
      </c>
      <c r="BR103" s="240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7"/>
      <c r="BT103" s="216" t="e">
        <f t="shared" si="8"/>
        <v>#N/A</v>
      </c>
      <c r="BU103" s="150" t="e">
        <f>-(BT103)/'планирование суточное'!$K$146</f>
        <v>#N/A</v>
      </c>
      <c r="BV103" s="233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2" t="e">
        <f>INDEX('файл остатки'!$A$5:$CX$265,MATCH($H$1,'файл остатки'!$A$5:$A$228,0),MATCH($B103,'файл остатки'!$A$5:$CX$5,0))</f>
        <v>#N/A</v>
      </c>
      <c r="BX103" s="240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7"/>
      <c r="BZ103" s="216" t="e">
        <f t="shared" si="9"/>
        <v>#N/A</v>
      </c>
      <c r="CA103" s="150" t="e">
        <f>-(BZ103)/'планирование суточное'!$K$146</f>
        <v>#N/A</v>
      </c>
      <c r="CB103" s="233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2" t="e">
        <f>INDEX('файл остатки'!$A$5:$CX$265,MATCH($H$1,'файл остатки'!$A$5:$A$228,0),MATCH($B103,'файл остатки'!$A$5:$CX$5,0))</f>
        <v>#N/A</v>
      </c>
      <c r="CD103" s="240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7"/>
      <c r="CH103" s="216">
        <f t="shared" si="10"/>
        <v>-300</v>
      </c>
      <c r="CI103" s="150">
        <f>-(CH103)/'планирование суточное'!$K$146</f>
        <v>652.17391304347825</v>
      </c>
      <c r="CJ103" s="216" t="e">
        <f t="shared" si="11"/>
        <v>#N/A</v>
      </c>
      <c r="CK103" s="150" t="e">
        <f>-(CJ103)/'планирование суточное'!$K$146</f>
        <v>#N/A</v>
      </c>
      <c r="CO103" s="222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89" t="s">
        <v>19</v>
      </c>
      <c r="B104" s="201" t="s">
        <v>135</v>
      </c>
      <c r="C104" s="243" t="e">
        <f>INDEX('файл остатки'!$A$5:$CX$265,MATCH($C$1,'файл остатки'!$A$5:$A$228,0),MATCH(B104,'файл остатки'!$A$5:$CX$5,0))</f>
        <v>#N/A</v>
      </c>
      <c r="D104" s="247"/>
      <c r="E104" s="216"/>
      <c r="F104" s="207" t="s">
        <v>212</v>
      </c>
      <c r="G104" s="233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2" t="e">
        <f>INDEX('файл остатки'!$A$5:$CX$265,MATCH($H$1,'файл остатки'!$A$5:$A$228,0),MATCH($B104,'файл остатки'!$A$5:$CX$5,0))</f>
        <v>#N/A</v>
      </c>
      <c r="I104" s="240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7"/>
      <c r="K104" s="216"/>
      <c r="L104" s="207" t="s">
        <v>212</v>
      </c>
      <c r="M104" s="233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2" t="e">
        <f>INDEX('файл остатки'!$A$5:$CX$265,MATCH($H$1,'файл остатки'!$A$5:$A$228,0),MATCH($B104,'файл остатки'!$A$5:$CX$5,0))</f>
        <v>#N/A</v>
      </c>
      <c r="O104" s="240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7"/>
      <c r="Q104" s="216"/>
      <c r="R104" s="207" t="s">
        <v>212</v>
      </c>
      <c r="S104" s="233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2" t="e">
        <f>INDEX('файл остатки'!$A$5:$CX$265,MATCH($H$1,'файл остатки'!$A$5:$A$228,0),MATCH($B104,'файл остатки'!$A$5:$CX$5,0))</f>
        <v>#N/A</v>
      </c>
      <c r="U104" s="240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7"/>
      <c r="W104" s="216"/>
      <c r="X104" s="207" t="s">
        <v>212</v>
      </c>
      <c r="Y104" s="233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2" t="e">
        <f>INDEX('файл остатки'!$A$5:$CX$265,MATCH($H$1,'файл остатки'!$A$5:$A$228,0),MATCH($B104,'файл остатки'!$A$5:$CX$5,0))</f>
        <v>#N/A</v>
      </c>
      <c r="AA104" s="240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7"/>
      <c r="AC104" s="216"/>
      <c r="AD104" s="207" t="s">
        <v>212</v>
      </c>
      <c r="AE104" s="233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2" t="e">
        <f>INDEX('файл остатки'!$A$5:$CX$265,MATCH($H$1,'файл остатки'!$A$5:$A$228,0),MATCH($B104,'файл остатки'!$A$5:$CX$5,0))</f>
        <v>#N/A</v>
      </c>
      <c r="AG104" s="240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7"/>
      <c r="AI104" s="216"/>
      <c r="AJ104" s="207" t="s">
        <v>212</v>
      </c>
      <c r="AK104" s="233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2" t="e">
        <f>INDEX('файл остатки'!$A$5:$CX$265,MATCH($H$1,'файл остатки'!$A$5:$A$228,0),MATCH($B104,'файл остатки'!$A$5:$CX$5,0))</f>
        <v>#N/A</v>
      </c>
      <c r="AM104" s="240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7"/>
      <c r="AO104" s="216"/>
      <c r="AP104" s="207" t="s">
        <v>212</v>
      </c>
      <c r="AQ104" s="233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2" t="e">
        <f>INDEX('файл остатки'!$A$5:$CX$265,MATCH($H$1,'файл остатки'!$A$5:$A$228,0),MATCH($B104,'файл остатки'!$A$5:$CX$5,0))</f>
        <v>#N/A</v>
      </c>
      <c r="AS104" s="240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7"/>
      <c r="AU104" s="216"/>
      <c r="AV104" s="207" t="s">
        <v>212</v>
      </c>
      <c r="AW104" s="233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2" t="e">
        <f>INDEX('файл остатки'!$A$5:$CX$265,MATCH($H$1,'файл остатки'!$A$5:$A$228,0),MATCH($B104,'файл остатки'!$A$5:$CX$5,0))</f>
        <v>#N/A</v>
      </c>
      <c r="AY104" s="240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7"/>
      <c r="BA104" s="216">
        <v>-300</v>
      </c>
      <c r="BB104" s="207" t="s">
        <v>212</v>
      </c>
      <c r="BC104" s="233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2" t="e">
        <f>INDEX('файл остатки'!$A$5:$CX$265,MATCH($H$1,'файл остатки'!$A$5:$A$228,0),MATCH($B104,'файл остатки'!$A$5:$CX$5,0))</f>
        <v>#N/A</v>
      </c>
      <c r="BE104" s="240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7"/>
      <c r="BG104" s="216"/>
      <c r="BH104" s="207" t="s">
        <v>212</v>
      </c>
      <c r="BI104" s="233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2" t="e">
        <f>INDEX('файл остатки'!$A$5:$CX$265,MATCH($H$1,'файл остатки'!$A$5:$A$228,0),MATCH($B104,'файл остатки'!$A$5:$CX$5,0))</f>
        <v>#N/A</v>
      </c>
      <c r="BK104" s="212" t="e">
        <f t="shared" si="6"/>
        <v>#N/A</v>
      </c>
      <c r="BL104" s="240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7"/>
      <c r="BN104" s="216" t="e">
        <f t="shared" si="7"/>
        <v>#N/A</v>
      </c>
      <c r="BO104" s="207" t="s">
        <v>212</v>
      </c>
      <c r="BP104" s="233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2" t="e">
        <f>INDEX('файл остатки'!$A$5:$CX$265,MATCH($H$1,'файл остатки'!$A$5:$A$228,0),MATCH($B104,'файл остатки'!$A$5:$CX$5,0))</f>
        <v>#N/A</v>
      </c>
      <c r="BR104" s="240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7"/>
      <c r="BT104" s="216" t="e">
        <f t="shared" si="8"/>
        <v>#N/A</v>
      </c>
      <c r="BU104" s="207" t="s">
        <v>212</v>
      </c>
      <c r="BV104" s="233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2" t="e">
        <f>INDEX('файл остатки'!$A$5:$CX$265,MATCH($H$1,'файл остатки'!$A$5:$A$228,0),MATCH($B104,'файл остатки'!$A$5:$CX$5,0))</f>
        <v>#N/A</v>
      </c>
      <c r="BX104" s="240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7"/>
      <c r="BZ104" s="216" t="e">
        <f t="shared" si="9"/>
        <v>#N/A</v>
      </c>
      <c r="CA104" s="207" t="s">
        <v>212</v>
      </c>
      <c r="CB104" s="233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2" t="e">
        <f>INDEX('файл остатки'!$A$5:$CX$265,MATCH($H$1,'файл остатки'!$A$5:$A$228,0),MATCH($B104,'файл остатки'!$A$5:$CX$5,0))</f>
        <v>#N/A</v>
      </c>
      <c r="CD104" s="240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7"/>
      <c r="CH104" s="216">
        <f t="shared" si="10"/>
        <v>-300</v>
      </c>
      <c r="CI104" s="207" t="s">
        <v>212</v>
      </c>
      <c r="CJ104" s="216" t="e">
        <f t="shared" si="11"/>
        <v>#N/A</v>
      </c>
      <c r="CK104" s="207" t="s">
        <v>212</v>
      </c>
      <c r="CO104" s="222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89"/>
      <c r="B105" s="201"/>
      <c r="C105" s="243"/>
      <c r="D105" s="247"/>
      <c r="E105" s="216">
        <v>0</v>
      </c>
      <c r="F105" s="150">
        <f>-E104/'планирование суточное'!$K$149</f>
        <v>0</v>
      </c>
      <c r="G105" s="233"/>
      <c r="H105" s="212"/>
      <c r="I105" s="240"/>
      <c r="J105" s="217"/>
      <c r="K105" s="216"/>
      <c r="L105" s="150">
        <f>-K104/'планирование суточное'!$K$149</f>
        <v>0</v>
      </c>
      <c r="M105" s="233"/>
      <c r="N105" s="212"/>
      <c r="O105" s="240"/>
      <c r="P105" s="217"/>
      <c r="Q105" s="216">
        <v>0</v>
      </c>
      <c r="R105" s="150">
        <f>-Q104/'планирование суточное'!$K$149</f>
        <v>0</v>
      </c>
      <c r="S105" s="233"/>
      <c r="T105" s="212"/>
      <c r="U105" s="240"/>
      <c r="V105" s="217"/>
      <c r="W105" s="216"/>
      <c r="X105" s="150">
        <f>-W104/'планирование суточное'!$K$149</f>
        <v>0</v>
      </c>
      <c r="Y105" s="233"/>
      <c r="Z105" s="212"/>
      <c r="AA105" s="240"/>
      <c r="AB105" s="217"/>
      <c r="AC105" s="216"/>
      <c r="AD105" s="150">
        <f>-AC104/'планирование суточное'!$K$149</f>
        <v>0</v>
      </c>
      <c r="AE105" s="233"/>
      <c r="AF105" s="212"/>
      <c r="AG105" s="240"/>
      <c r="AH105" s="217"/>
      <c r="AI105" s="216"/>
      <c r="AJ105" s="150">
        <f>-AI104/'планирование суточное'!$K$149</f>
        <v>0</v>
      </c>
      <c r="AK105" s="233"/>
      <c r="AL105" s="212"/>
      <c r="AM105" s="240"/>
      <c r="AN105" s="217"/>
      <c r="AO105" s="216"/>
      <c r="AP105" s="150">
        <f>-AO104/'планирование суточное'!$K$149</f>
        <v>0</v>
      </c>
      <c r="AQ105" s="233"/>
      <c r="AR105" s="212"/>
      <c r="AS105" s="240"/>
      <c r="AT105" s="217"/>
      <c r="AU105" s="216"/>
      <c r="AV105" s="150">
        <f>-AU104/'планирование суточное'!$K$149</f>
        <v>0</v>
      </c>
      <c r="AW105" s="233"/>
      <c r="AX105" s="212"/>
      <c r="AY105" s="240"/>
      <c r="AZ105" s="217"/>
      <c r="BA105" s="216"/>
      <c r="BB105" s="150">
        <f>-BA104/'планирование суточное'!$K$149</f>
        <v>652.17391304347825</v>
      </c>
      <c r="BC105" s="233"/>
      <c r="BD105" s="212"/>
      <c r="BE105" s="240"/>
      <c r="BF105" s="217"/>
      <c r="BG105" s="216"/>
      <c r="BH105" s="150">
        <f>-BG104/'планирование суточное'!$K$149</f>
        <v>0</v>
      </c>
      <c r="BI105" s="233"/>
      <c r="BJ105" s="212"/>
      <c r="BK105" s="212"/>
      <c r="BL105" s="240"/>
      <c r="BM105" s="217"/>
      <c r="BN105" s="216"/>
      <c r="BO105" s="150" t="e">
        <f>-BN104/'планирование суточное'!$K$149</f>
        <v>#N/A</v>
      </c>
      <c r="BP105" s="233"/>
      <c r="BQ105" s="212"/>
      <c r="BR105" s="240"/>
      <c r="BS105" s="217"/>
      <c r="BT105" s="216"/>
      <c r="BU105" s="150" t="e">
        <f>-BT104/'планирование суточное'!$K$149</f>
        <v>#N/A</v>
      </c>
      <c r="BV105" s="233"/>
      <c r="BW105" s="212"/>
      <c r="BX105" s="240"/>
      <c r="BY105" s="217"/>
      <c r="BZ105" s="216"/>
      <c r="CA105" s="150" t="e">
        <f>-BZ104/'планирование суточное'!$K$149</f>
        <v>#N/A</v>
      </c>
      <c r="CB105" s="233"/>
      <c r="CC105" s="212"/>
      <c r="CD105" s="240"/>
      <c r="CE105" s="217"/>
      <c r="CH105" s="216"/>
      <c r="CI105" s="150">
        <f>-CH104/'планирование суточное'!$K$149</f>
        <v>652.17391304347825</v>
      </c>
      <c r="CJ105" s="216"/>
      <c r="CK105" s="150" t="e">
        <f>-CJ104/'планирование суточное'!$K$149</f>
        <v>#N/A</v>
      </c>
      <c r="CO105" s="222"/>
    </row>
    <row r="106" spans="1:93" s="211" customFormat="1" ht="24" customHeight="1">
      <c r="C106" s="214"/>
      <c r="D106" s="208"/>
      <c r="E106" s="214"/>
      <c r="F106" s="249"/>
      <c r="G106" s="207"/>
      <c r="H106" s="207"/>
      <c r="I106" s="207"/>
      <c r="J106" s="215"/>
      <c r="K106" s="214"/>
      <c r="L106" s="249"/>
      <c r="M106" s="207"/>
      <c r="N106" s="207"/>
      <c r="O106" s="207"/>
      <c r="P106" s="215"/>
      <c r="Q106" s="214"/>
      <c r="R106" s="249"/>
      <c r="S106" s="207"/>
      <c r="T106" s="207"/>
      <c r="U106" s="207"/>
      <c r="V106" s="215"/>
      <c r="W106" s="214"/>
      <c r="X106" s="249"/>
      <c r="Y106" s="207"/>
      <c r="Z106" s="207"/>
      <c r="AA106" s="207"/>
      <c r="AB106" s="215"/>
      <c r="AC106" s="214"/>
      <c r="AD106" s="249"/>
      <c r="AE106" s="207"/>
      <c r="AF106" s="207"/>
      <c r="AG106" s="207"/>
      <c r="AH106" s="215"/>
      <c r="AI106" s="214"/>
      <c r="AJ106" s="249"/>
      <c r="AK106" s="207"/>
      <c r="AL106" s="207"/>
      <c r="AM106" s="207"/>
      <c r="AN106" s="215"/>
      <c r="AO106" s="214"/>
      <c r="AP106" s="249"/>
      <c r="AQ106" s="207"/>
      <c r="AR106" s="207"/>
      <c r="AS106" s="207"/>
      <c r="AT106" s="215"/>
      <c r="AU106" s="214"/>
      <c r="AV106" s="249"/>
      <c r="AW106" s="207"/>
      <c r="AX106" s="207"/>
      <c r="AY106" s="207"/>
      <c r="AZ106" s="215"/>
      <c r="BA106" s="214"/>
      <c r="BB106" s="249"/>
      <c r="BC106" s="207"/>
      <c r="BD106" s="207"/>
      <c r="BE106" s="207"/>
      <c r="BF106" s="215"/>
      <c r="BG106" s="214"/>
      <c r="BH106" s="249"/>
      <c r="BI106" s="207"/>
      <c r="BJ106" s="207"/>
      <c r="BK106" s="207"/>
      <c r="BL106" s="207"/>
      <c r="BM106" s="215"/>
      <c r="BN106" s="214"/>
      <c r="BO106" s="249"/>
      <c r="BP106" s="207"/>
      <c r="BQ106" s="207"/>
      <c r="BR106" s="207"/>
      <c r="BS106" s="215"/>
      <c r="BT106" s="214"/>
      <c r="BU106" s="249"/>
      <c r="BV106" s="207"/>
      <c r="BW106" s="207"/>
      <c r="BX106" s="207"/>
      <c r="BY106" s="215"/>
      <c r="BZ106" s="214"/>
      <c r="CA106" s="249"/>
      <c r="CB106" s="207"/>
      <c r="CC106" s="207"/>
      <c r="CD106" s="207"/>
      <c r="CE106" s="215"/>
      <c r="CH106" s="216"/>
      <c r="CI106" s="249"/>
      <c r="CJ106" s="216"/>
      <c r="CK106" s="249"/>
      <c r="CO106" s="222"/>
    </row>
    <row r="107" spans="1:93" ht="24" customHeight="1">
      <c r="A107" s="188" t="s">
        <v>85</v>
      </c>
      <c r="B107" s="200" t="s">
        <v>18</v>
      </c>
      <c r="C107" s="243" t="e">
        <f>INDEX('файл остатки'!$A$5:$CX$265,MATCH($C$1,'файл остатки'!$A$5:$A$228,0),MATCH(B107,'файл остатки'!$A$5:$CX$5,0))</f>
        <v>#N/A</v>
      </c>
      <c r="D107" s="247"/>
      <c r="E107" s="216">
        <v>-1800</v>
      </c>
      <c r="F107" s="207" t="s">
        <v>213</v>
      </c>
      <c r="G107" s="233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2" t="e">
        <f>INDEX('файл остатки'!$A$5:$CX$265,MATCH($H$1,'файл остатки'!$A$5:$A$228,0),MATCH($B107,'файл остатки'!$A$5:$CX$5,0))</f>
        <v>#N/A</v>
      </c>
      <c r="I107" s="240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7"/>
      <c r="K107" s="216"/>
      <c r="L107" s="207" t="s">
        <v>213</v>
      </c>
      <c r="M107" s="233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2" t="e">
        <f>INDEX('файл остатки'!$A$5:$CX$265,MATCH($H$1,'файл остатки'!$A$5:$A$228,0),MATCH($B107,'файл остатки'!$A$5:$CX$5,0))</f>
        <v>#N/A</v>
      </c>
      <c r="O107" s="240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7"/>
      <c r="Q107" s="216">
        <v>-1800</v>
      </c>
      <c r="R107" s="207" t="s">
        <v>213</v>
      </c>
      <c r="S107" s="233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2" t="e">
        <f>INDEX('файл остатки'!$A$5:$CX$265,MATCH($H$1,'файл остатки'!$A$5:$A$228,0),MATCH($B107,'файл остатки'!$A$5:$CX$5,0))</f>
        <v>#N/A</v>
      </c>
      <c r="U107" s="240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7"/>
      <c r="W107" s="216">
        <v>-1800</v>
      </c>
      <c r="X107" s="207" t="s">
        <v>213</v>
      </c>
      <c r="Y107" s="233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2" t="e">
        <f>INDEX('файл остатки'!$A$5:$CX$265,MATCH($H$1,'файл остатки'!$A$5:$A$228,0),MATCH($B107,'файл остатки'!$A$5:$CX$5,0))</f>
        <v>#N/A</v>
      </c>
      <c r="AA107" s="240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7"/>
      <c r="AC107" s="216"/>
      <c r="AD107" s="207" t="s">
        <v>213</v>
      </c>
      <c r="AE107" s="233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2" t="e">
        <f>INDEX('файл остатки'!$A$5:$CX$265,MATCH($H$1,'файл остатки'!$A$5:$A$228,0),MATCH($B107,'файл остатки'!$A$5:$CX$5,0))</f>
        <v>#N/A</v>
      </c>
      <c r="AG107" s="240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7"/>
      <c r="AI107" s="216"/>
      <c r="AJ107" s="207" t="s">
        <v>213</v>
      </c>
      <c r="AK107" s="233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2" t="e">
        <f>INDEX('файл остатки'!$A$5:$CX$265,MATCH($H$1,'файл остатки'!$A$5:$A$228,0),MATCH($B107,'файл остатки'!$A$5:$CX$5,0))</f>
        <v>#N/A</v>
      </c>
      <c r="AM107" s="240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7"/>
      <c r="AO107" s="216">
        <v>-900</v>
      </c>
      <c r="AP107" s="207" t="s">
        <v>213</v>
      </c>
      <c r="AQ107" s="233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2" t="e">
        <f>INDEX('файл остатки'!$A$5:$CX$265,MATCH($H$1,'файл остатки'!$A$5:$A$228,0),MATCH($B107,'файл остатки'!$A$5:$CX$5,0))</f>
        <v>#N/A</v>
      </c>
      <c r="AS107" s="240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7"/>
      <c r="AU107" s="216">
        <v>-450</v>
      </c>
      <c r="AV107" s="207" t="s">
        <v>213</v>
      </c>
      <c r="AW107" s="233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2" t="e">
        <f>INDEX('файл остатки'!$A$5:$CX$265,MATCH($H$1,'файл остатки'!$A$5:$A$228,0),MATCH($B107,'файл остатки'!$A$5:$CX$5,0))</f>
        <v>#N/A</v>
      </c>
      <c r="AY107" s="240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7"/>
      <c r="BA107" s="216"/>
      <c r="BB107" s="207" t="s">
        <v>213</v>
      </c>
      <c r="BC107" s="233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2" t="e">
        <f>INDEX('файл остатки'!$A$5:$CX$265,MATCH($H$1,'файл остатки'!$A$5:$A$228,0),MATCH($B107,'файл остатки'!$A$5:$CX$5,0))</f>
        <v>#N/A</v>
      </c>
      <c r="BE107" s="240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7"/>
      <c r="BG107" s="216"/>
      <c r="BH107" s="207" t="s">
        <v>213</v>
      </c>
      <c r="BI107" s="233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2" t="e">
        <f>INDEX('файл остатки'!$A$5:$CX$265,MATCH($H$1,'файл остатки'!$A$5:$A$228,0),MATCH($B107,'файл остатки'!$A$5:$CX$5,0))</f>
        <v>#N/A</v>
      </c>
      <c r="BK107" s="212" t="e">
        <f t="shared" si="6"/>
        <v>#N/A</v>
      </c>
      <c r="BL107" s="240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7"/>
      <c r="BN107" s="216" t="e">
        <f t="shared" si="7"/>
        <v>#N/A</v>
      </c>
      <c r="BO107" s="207" t="s">
        <v>213</v>
      </c>
      <c r="BP107" s="233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2" t="e">
        <f>INDEX('файл остатки'!$A$5:$CX$265,MATCH($H$1,'файл остатки'!$A$5:$A$228,0),MATCH($B107,'файл остатки'!$A$5:$CX$5,0))</f>
        <v>#N/A</v>
      </c>
      <c r="BR107" s="240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7"/>
      <c r="BT107" s="216" t="e">
        <f t="shared" si="8"/>
        <v>#N/A</v>
      </c>
      <c r="BU107" s="207" t="s">
        <v>213</v>
      </c>
      <c r="BV107" s="233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2" t="e">
        <f>INDEX('файл остатки'!$A$5:$CX$265,MATCH($H$1,'файл остатки'!$A$5:$A$228,0),MATCH($B107,'файл остатки'!$A$5:$CX$5,0))</f>
        <v>#N/A</v>
      </c>
      <c r="BX107" s="240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7"/>
      <c r="BZ107" s="216" t="e">
        <f t="shared" si="9"/>
        <v>#N/A</v>
      </c>
      <c r="CA107" s="207" t="s">
        <v>213</v>
      </c>
      <c r="CB107" s="233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2" t="e">
        <f>INDEX('файл остатки'!$A$5:$CX$265,MATCH($H$1,'файл остатки'!$A$5:$A$228,0),MATCH($B107,'файл остатки'!$A$5:$CX$5,0))</f>
        <v>#N/A</v>
      </c>
      <c r="CD107" s="240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7"/>
      <c r="CH107" s="216">
        <f t="shared" si="10"/>
        <v>-6750</v>
      </c>
      <c r="CI107" s="207" t="s">
        <v>213</v>
      </c>
      <c r="CJ107" s="216" t="e">
        <f t="shared" si="11"/>
        <v>#N/A</v>
      </c>
      <c r="CK107" s="207" t="s">
        <v>213</v>
      </c>
      <c r="CO107" s="222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8" t="s">
        <v>20</v>
      </c>
      <c r="B108" s="200" t="s">
        <v>91</v>
      </c>
      <c r="C108" s="243" t="e">
        <f>INDEX('файл остатки'!$A$5:$CX$265,MATCH($C$1,'файл остатки'!$A$5:$A$228,0),MATCH(B108,'файл остатки'!$A$5:$CX$5,0))</f>
        <v>#N/A</v>
      </c>
      <c r="D108" s="247"/>
      <c r="E108" s="216"/>
      <c r="F108" s="150">
        <f>-(E107+E108+E109+E110+E111+E112+E113)/'планирование суточное'!$K$153</f>
        <v>6</v>
      </c>
      <c r="G108" s="233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2" t="e">
        <f>INDEX('файл остатки'!$A$5:$CX$265,MATCH($H$1,'файл остатки'!$A$5:$A$228,0),MATCH($B108,'файл остатки'!$A$5:$CX$5,0))</f>
        <v>#N/A</v>
      </c>
      <c r="I108" s="240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7"/>
      <c r="K108" s="216"/>
      <c r="L108" s="150">
        <f>-(K107+K108+K109+K110+K111+K112+K113)/'планирование суточное'!$K$153</f>
        <v>0</v>
      </c>
      <c r="M108" s="233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2" t="e">
        <f>INDEX('файл остатки'!$A$5:$CX$265,MATCH($H$1,'файл остатки'!$A$5:$A$228,0),MATCH($B108,'файл остатки'!$A$5:$CX$5,0))</f>
        <v>#N/A</v>
      </c>
      <c r="O108" s="240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7"/>
      <c r="Q108" s="216">
        <v>-900</v>
      </c>
      <c r="R108" s="150">
        <f>-(Q107+Q108+Q109+Q110+Q111+Q112+Q113)/'планирование суточное'!$K$153</f>
        <v>6</v>
      </c>
      <c r="S108" s="233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2" t="e">
        <f>INDEX('файл остатки'!$A$5:$CX$265,MATCH($H$1,'файл остатки'!$A$5:$A$228,0),MATCH($B108,'файл остатки'!$A$5:$CX$5,0))</f>
        <v>#N/A</v>
      </c>
      <c r="U108" s="240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7"/>
      <c r="W108" s="216">
        <v>-900</v>
      </c>
      <c r="X108" s="150">
        <f>-(W107+W108+W109+W110+W111+W112+W113)/'планирование суточное'!$K$153</f>
        <v>6</v>
      </c>
      <c r="Y108" s="233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2" t="e">
        <f>INDEX('файл остатки'!$A$5:$CX$265,MATCH($H$1,'файл остатки'!$A$5:$A$228,0),MATCH($B108,'файл остатки'!$A$5:$CX$5,0))</f>
        <v>#N/A</v>
      </c>
      <c r="AA108" s="240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7"/>
      <c r="AC108" s="216"/>
      <c r="AD108" s="150">
        <f>-(AC107+AC108+AC109+AC110+AC111+AC112+AC113)/'планирование суточное'!$K$153</f>
        <v>0</v>
      </c>
      <c r="AE108" s="233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2" t="e">
        <f>INDEX('файл остатки'!$A$5:$CX$265,MATCH($H$1,'файл остатки'!$A$5:$A$228,0),MATCH($B108,'файл остатки'!$A$5:$CX$5,0))</f>
        <v>#N/A</v>
      </c>
      <c r="AG108" s="240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7"/>
      <c r="AI108" s="216"/>
      <c r="AJ108" s="150">
        <f>-(AI107+AI108+AI109+AI110+AI111+AI112+AI113)/'планирование суточное'!$K$153</f>
        <v>0</v>
      </c>
      <c r="AK108" s="233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2" t="e">
        <f>INDEX('файл остатки'!$A$5:$CX$265,MATCH($H$1,'файл остатки'!$A$5:$A$228,0),MATCH($B108,'файл остатки'!$A$5:$CX$5,0))</f>
        <v>#N/A</v>
      </c>
      <c r="AM108" s="240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7"/>
      <c r="AO108" s="216"/>
      <c r="AP108" s="150">
        <f>-(AO107+AO108+AO109+AO110+AO111+AO112+AO113)/'планирование суточное'!$K$153</f>
        <v>6</v>
      </c>
      <c r="AQ108" s="233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2" t="e">
        <f>INDEX('файл остатки'!$A$5:$CX$265,MATCH($H$1,'файл остатки'!$A$5:$A$228,0),MATCH($B108,'файл остатки'!$A$5:$CX$5,0))</f>
        <v>#N/A</v>
      </c>
      <c r="AS108" s="240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7"/>
      <c r="AU108" s="216">
        <v>-900</v>
      </c>
      <c r="AV108" s="150">
        <f>-(AU107+AU108+AU109+AU110+AU111+AU112+AU113)/'планирование суточное'!$K$153</f>
        <v>6</v>
      </c>
      <c r="AW108" s="233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2" t="e">
        <f>INDEX('файл остатки'!$A$5:$CX$265,MATCH($H$1,'файл остатки'!$A$5:$A$228,0),MATCH($B108,'файл остатки'!$A$5:$CX$5,0))</f>
        <v>#N/A</v>
      </c>
      <c r="AY108" s="240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7"/>
      <c r="BA108" s="216"/>
      <c r="BB108" s="150">
        <f>-(BA107+BA108+BA109+BA110+BA111+BA112+BA113)/'планирование суточное'!$K$153</f>
        <v>0</v>
      </c>
      <c r="BC108" s="233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2" t="e">
        <f>INDEX('файл остатки'!$A$5:$CX$265,MATCH($H$1,'файл остатки'!$A$5:$A$228,0),MATCH($B108,'файл остатки'!$A$5:$CX$5,0))</f>
        <v>#N/A</v>
      </c>
      <c r="BE108" s="240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7"/>
      <c r="BG108" s="216"/>
      <c r="BH108" s="150">
        <f>-(BG107+BG108+BG109+BG110+BG111+BG112+BG113)/'планирование суточное'!$K$153</f>
        <v>0</v>
      </c>
      <c r="BI108" s="233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2" t="e">
        <f>INDEX('файл остатки'!$A$5:$CX$265,MATCH($H$1,'файл остатки'!$A$5:$A$228,0),MATCH($B108,'файл остатки'!$A$5:$CX$5,0))</f>
        <v>#N/A</v>
      </c>
      <c r="BK108" s="212" t="e">
        <f t="shared" si="6"/>
        <v>#N/A</v>
      </c>
      <c r="BL108" s="240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7"/>
      <c r="BN108" s="216" t="e">
        <f t="shared" si="7"/>
        <v>#N/A</v>
      </c>
      <c r="BO108" s="150" t="e">
        <f>-(BN107+BN108+BN109+BN110+BN111+BN112+BN113)/'планирование суточное'!$K$153</f>
        <v>#N/A</v>
      </c>
      <c r="BP108" s="233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2" t="e">
        <f>INDEX('файл остатки'!$A$5:$CX$265,MATCH($H$1,'файл остатки'!$A$5:$A$228,0),MATCH($B108,'файл остатки'!$A$5:$CX$5,0))</f>
        <v>#N/A</v>
      </c>
      <c r="BR108" s="240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7"/>
      <c r="BT108" s="216" t="e">
        <f t="shared" si="8"/>
        <v>#N/A</v>
      </c>
      <c r="BU108" s="150" t="e">
        <f>-(BT107+BT108+BT109+BT110+BT111+BT112+BT113)/'планирование суточное'!$K$153</f>
        <v>#N/A</v>
      </c>
      <c r="BV108" s="233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2" t="e">
        <f>INDEX('файл остатки'!$A$5:$CX$265,MATCH($H$1,'файл остатки'!$A$5:$A$228,0),MATCH($B108,'файл остатки'!$A$5:$CX$5,0))</f>
        <v>#N/A</v>
      </c>
      <c r="BX108" s="240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7"/>
      <c r="BZ108" s="216" t="e">
        <f t="shared" si="9"/>
        <v>#N/A</v>
      </c>
      <c r="CA108" s="150" t="e">
        <f>-(BZ107+BZ108+BZ109+BZ110+BZ111+BZ112+BZ113)/'планирование суточное'!$K$153</f>
        <v>#N/A</v>
      </c>
      <c r="CB108" s="233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2" t="e">
        <f>INDEX('файл остатки'!$A$5:$CX$265,MATCH($H$1,'файл остатки'!$A$5:$A$228,0),MATCH($B108,'файл остатки'!$A$5:$CX$5,0))</f>
        <v>#N/A</v>
      </c>
      <c r="CD108" s="240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7"/>
      <c r="CH108" s="216">
        <f t="shared" si="10"/>
        <v>-2700</v>
      </c>
      <c r="CI108" s="150">
        <f>-(CH107+CH108+CH109+CH110+CH111+CH112+CH113)/'планирование суточное'!$K$153</f>
        <v>30</v>
      </c>
      <c r="CJ108" s="216" t="e">
        <f t="shared" si="11"/>
        <v>#N/A</v>
      </c>
      <c r="CK108" s="150" t="e">
        <f>-(CJ107+CJ108+CJ109+CJ110+CJ111+CJ112+CJ113)/'планирование суточное'!$K$153</f>
        <v>#N/A</v>
      </c>
      <c r="CO108" s="222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8" t="s">
        <v>20</v>
      </c>
      <c r="B109" s="200" t="s">
        <v>92</v>
      </c>
      <c r="C109" s="243" t="e">
        <f>INDEX('файл остатки'!$A$5:$CX$265,MATCH($C$1,'файл остатки'!$A$5:$A$228,0),MATCH(B109,'файл остатки'!$A$5:$CX$5,0))</f>
        <v>#N/A</v>
      </c>
      <c r="D109" s="247"/>
      <c r="E109" s="216">
        <v>-450</v>
      </c>
      <c r="F109" s="207"/>
      <c r="G109" s="233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2" t="e">
        <f>INDEX('файл остатки'!$A$5:$CX$265,MATCH($H$1,'файл остатки'!$A$5:$A$228,0),MATCH($B109,'файл остатки'!$A$5:$CX$5,0))</f>
        <v>#N/A</v>
      </c>
      <c r="I109" s="240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7"/>
      <c r="K109" s="216"/>
      <c r="L109" s="207"/>
      <c r="M109" s="233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2" t="e">
        <f>INDEX('файл остатки'!$A$5:$CX$265,MATCH($H$1,'файл остатки'!$A$5:$A$228,0),MATCH($B109,'файл остатки'!$A$5:$CX$5,0))</f>
        <v>#N/A</v>
      </c>
      <c r="O109" s="240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7"/>
      <c r="Q109" s="216"/>
      <c r="R109" s="207"/>
      <c r="S109" s="233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2" t="e">
        <f>INDEX('файл остатки'!$A$5:$CX$265,MATCH($H$1,'файл остатки'!$A$5:$A$228,0),MATCH($B109,'файл остатки'!$A$5:$CX$5,0))</f>
        <v>#N/A</v>
      </c>
      <c r="U109" s="240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7"/>
      <c r="W109" s="216"/>
      <c r="X109" s="207"/>
      <c r="Y109" s="233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2" t="e">
        <f>INDEX('файл остатки'!$A$5:$CX$265,MATCH($H$1,'файл остатки'!$A$5:$A$228,0),MATCH($B109,'файл остатки'!$A$5:$CX$5,0))</f>
        <v>#N/A</v>
      </c>
      <c r="AA109" s="240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7"/>
      <c r="AC109" s="216"/>
      <c r="AD109" s="207"/>
      <c r="AE109" s="233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2" t="e">
        <f>INDEX('файл остатки'!$A$5:$CX$265,MATCH($H$1,'файл остатки'!$A$5:$A$228,0),MATCH($B109,'файл остатки'!$A$5:$CX$5,0))</f>
        <v>#N/A</v>
      </c>
      <c r="AG109" s="240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7"/>
      <c r="AI109" s="216"/>
      <c r="AJ109" s="207"/>
      <c r="AK109" s="233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2" t="e">
        <f>INDEX('файл остатки'!$A$5:$CX$265,MATCH($H$1,'файл остатки'!$A$5:$A$228,0),MATCH($B109,'файл остатки'!$A$5:$CX$5,0))</f>
        <v>#N/A</v>
      </c>
      <c r="AM109" s="240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7"/>
      <c r="AO109" s="216">
        <v>-900</v>
      </c>
      <c r="AP109" s="207"/>
      <c r="AQ109" s="233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2" t="e">
        <f>INDEX('файл остатки'!$A$5:$CX$265,MATCH($H$1,'файл остатки'!$A$5:$A$228,0),MATCH($B109,'файл остатки'!$A$5:$CX$5,0))</f>
        <v>#N/A</v>
      </c>
      <c r="AS109" s="240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7"/>
      <c r="AU109" s="216"/>
      <c r="AV109" s="207"/>
      <c r="AW109" s="233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2" t="e">
        <f>INDEX('файл остатки'!$A$5:$CX$265,MATCH($H$1,'файл остатки'!$A$5:$A$228,0),MATCH($B109,'файл остатки'!$A$5:$CX$5,0))</f>
        <v>#N/A</v>
      </c>
      <c r="AY109" s="240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7"/>
      <c r="BA109" s="216"/>
      <c r="BB109" s="207"/>
      <c r="BC109" s="233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2" t="e">
        <f>INDEX('файл остатки'!$A$5:$CX$265,MATCH($H$1,'файл остатки'!$A$5:$A$228,0),MATCH($B109,'файл остатки'!$A$5:$CX$5,0))</f>
        <v>#N/A</v>
      </c>
      <c r="BE109" s="240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7"/>
      <c r="BG109" s="216"/>
      <c r="BH109" s="207"/>
      <c r="BI109" s="233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2" t="e">
        <f>INDEX('файл остатки'!$A$5:$CX$265,MATCH($H$1,'файл остатки'!$A$5:$A$228,0),MATCH($B109,'файл остатки'!$A$5:$CX$5,0))</f>
        <v>#N/A</v>
      </c>
      <c r="BK109" s="212" t="e">
        <f t="shared" si="6"/>
        <v>#N/A</v>
      </c>
      <c r="BL109" s="240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7"/>
      <c r="BN109" s="216" t="e">
        <f t="shared" si="7"/>
        <v>#N/A</v>
      </c>
      <c r="BO109" s="207"/>
      <c r="BP109" s="233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2" t="e">
        <f>INDEX('файл остатки'!$A$5:$CX$265,MATCH($H$1,'файл остатки'!$A$5:$A$228,0),MATCH($B109,'файл остатки'!$A$5:$CX$5,0))</f>
        <v>#N/A</v>
      </c>
      <c r="BR109" s="240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7"/>
      <c r="BT109" s="216" t="e">
        <f t="shared" si="8"/>
        <v>#N/A</v>
      </c>
      <c r="BU109" s="207"/>
      <c r="BV109" s="233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2" t="e">
        <f>INDEX('файл остатки'!$A$5:$CX$265,MATCH($H$1,'файл остатки'!$A$5:$A$228,0),MATCH($B109,'файл остатки'!$A$5:$CX$5,0))</f>
        <v>#N/A</v>
      </c>
      <c r="BX109" s="240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7"/>
      <c r="BZ109" s="216" t="e">
        <f t="shared" si="9"/>
        <v>#N/A</v>
      </c>
      <c r="CA109" s="207"/>
      <c r="CB109" s="233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2" t="e">
        <f>INDEX('файл остатки'!$A$5:$CX$265,MATCH($H$1,'файл остатки'!$A$5:$A$228,0),MATCH($B109,'файл остатки'!$A$5:$CX$5,0))</f>
        <v>#N/A</v>
      </c>
      <c r="CD109" s="240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7"/>
      <c r="CH109" s="216">
        <f t="shared" si="10"/>
        <v>-1350</v>
      </c>
      <c r="CI109" s="207"/>
      <c r="CJ109" s="216" t="e">
        <f t="shared" si="11"/>
        <v>#N/A</v>
      </c>
      <c r="CK109" s="207"/>
      <c r="CO109" s="222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8" t="s">
        <v>81</v>
      </c>
      <c r="B110" s="200" t="s">
        <v>110</v>
      </c>
      <c r="C110" s="243" t="e">
        <f>INDEX('файл остатки'!$A$5:$CX$265,MATCH($C$1,'файл остатки'!$A$5:$A$228,0),MATCH(B110,'файл остатки'!$A$5:$CX$5,0))</f>
        <v>#N/A</v>
      </c>
      <c r="D110" s="247"/>
      <c r="E110" s="216">
        <v>-450</v>
      </c>
      <c r="F110" s="207"/>
      <c r="G110" s="233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2" t="e">
        <f>INDEX('файл остатки'!$A$5:$CX$265,MATCH($H$1,'файл остатки'!$A$5:$A$228,0),MATCH($B110,'файл остатки'!$A$5:$CX$5,0))</f>
        <v>#N/A</v>
      </c>
      <c r="I110" s="240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7"/>
      <c r="K110" s="216"/>
      <c r="L110" s="207"/>
      <c r="M110" s="233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2" t="e">
        <f>INDEX('файл остатки'!$A$5:$CX$265,MATCH($H$1,'файл остатки'!$A$5:$A$228,0),MATCH($B110,'файл остатки'!$A$5:$CX$5,0))</f>
        <v>#N/A</v>
      </c>
      <c r="O110" s="240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7"/>
      <c r="Q110" s="216"/>
      <c r="R110" s="207"/>
      <c r="S110" s="233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2" t="e">
        <f>INDEX('файл остатки'!$A$5:$CX$265,MATCH($H$1,'файл остатки'!$A$5:$A$228,0),MATCH($B110,'файл остатки'!$A$5:$CX$5,0))</f>
        <v>#N/A</v>
      </c>
      <c r="U110" s="240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7"/>
      <c r="W110" s="216"/>
      <c r="X110" s="207"/>
      <c r="Y110" s="233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2" t="e">
        <f>INDEX('файл остатки'!$A$5:$CX$265,MATCH($H$1,'файл остатки'!$A$5:$A$228,0),MATCH($B110,'файл остатки'!$A$5:$CX$5,0))</f>
        <v>#N/A</v>
      </c>
      <c r="AA110" s="240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7"/>
      <c r="AC110" s="216"/>
      <c r="AD110" s="207"/>
      <c r="AE110" s="233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2" t="e">
        <f>INDEX('файл остатки'!$A$5:$CX$265,MATCH($H$1,'файл остатки'!$A$5:$A$228,0),MATCH($B110,'файл остатки'!$A$5:$CX$5,0))</f>
        <v>#N/A</v>
      </c>
      <c r="AG110" s="240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7"/>
      <c r="AI110" s="216"/>
      <c r="AJ110" s="207"/>
      <c r="AK110" s="233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2" t="e">
        <f>INDEX('файл остатки'!$A$5:$CX$265,MATCH($H$1,'файл остатки'!$A$5:$A$228,0),MATCH($B110,'файл остатки'!$A$5:$CX$5,0))</f>
        <v>#N/A</v>
      </c>
      <c r="AM110" s="240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7"/>
      <c r="AO110" s="216">
        <v>-900</v>
      </c>
      <c r="AP110" s="207"/>
      <c r="AQ110" s="233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2" t="e">
        <f>INDEX('файл остатки'!$A$5:$CX$265,MATCH($H$1,'файл остатки'!$A$5:$A$228,0),MATCH($B110,'файл остатки'!$A$5:$CX$5,0))</f>
        <v>#N/A</v>
      </c>
      <c r="AS110" s="240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7"/>
      <c r="AU110" s="216">
        <v>-900</v>
      </c>
      <c r="AV110" s="207"/>
      <c r="AW110" s="233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2" t="e">
        <f>INDEX('файл остатки'!$A$5:$CX$265,MATCH($H$1,'файл остатки'!$A$5:$A$228,0),MATCH($B110,'файл остатки'!$A$5:$CX$5,0))</f>
        <v>#N/A</v>
      </c>
      <c r="AY110" s="240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7"/>
      <c r="BA110" s="216"/>
      <c r="BB110" s="207"/>
      <c r="BC110" s="233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2" t="e">
        <f>INDEX('файл остатки'!$A$5:$CX$265,MATCH($H$1,'файл остатки'!$A$5:$A$228,0),MATCH($B110,'файл остатки'!$A$5:$CX$5,0))</f>
        <v>#N/A</v>
      </c>
      <c r="BE110" s="240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7"/>
      <c r="BG110" s="216"/>
      <c r="BH110" s="207"/>
      <c r="BI110" s="233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2" t="e">
        <f>INDEX('файл остатки'!$A$5:$CX$265,MATCH($H$1,'файл остатки'!$A$5:$A$228,0),MATCH($B110,'файл остатки'!$A$5:$CX$5,0))</f>
        <v>#N/A</v>
      </c>
      <c r="BK110" s="212" t="e">
        <f t="shared" si="6"/>
        <v>#N/A</v>
      </c>
      <c r="BL110" s="240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7"/>
      <c r="BN110" s="216" t="e">
        <f t="shared" si="7"/>
        <v>#N/A</v>
      </c>
      <c r="BO110" s="207"/>
      <c r="BP110" s="233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2" t="e">
        <f>INDEX('файл остатки'!$A$5:$CX$265,MATCH($H$1,'файл остатки'!$A$5:$A$228,0),MATCH($B110,'файл остатки'!$A$5:$CX$5,0))</f>
        <v>#N/A</v>
      </c>
      <c r="BR110" s="240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7"/>
      <c r="BT110" s="216" t="e">
        <f t="shared" si="8"/>
        <v>#N/A</v>
      </c>
      <c r="BU110" s="207"/>
      <c r="BV110" s="233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2" t="e">
        <f>INDEX('файл остатки'!$A$5:$CX$265,MATCH($H$1,'файл остатки'!$A$5:$A$228,0),MATCH($B110,'файл остатки'!$A$5:$CX$5,0))</f>
        <v>#N/A</v>
      </c>
      <c r="BX110" s="240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7"/>
      <c r="BZ110" s="216" t="e">
        <f t="shared" si="9"/>
        <v>#N/A</v>
      </c>
      <c r="CA110" s="207"/>
      <c r="CB110" s="233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2" t="e">
        <f>INDEX('файл остатки'!$A$5:$CX$265,MATCH($H$1,'файл остатки'!$A$5:$A$228,0),MATCH($B110,'файл остатки'!$A$5:$CX$5,0))</f>
        <v>#N/A</v>
      </c>
      <c r="CD110" s="240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7"/>
      <c r="CH110" s="216">
        <f t="shared" si="10"/>
        <v>-2250</v>
      </c>
      <c r="CI110" s="207"/>
      <c r="CJ110" s="216" t="e">
        <f t="shared" si="11"/>
        <v>#N/A</v>
      </c>
      <c r="CK110" s="207"/>
      <c r="CO110" s="222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8" t="s">
        <v>88</v>
      </c>
      <c r="B111" s="200" t="s">
        <v>96</v>
      </c>
      <c r="C111" s="243" t="e">
        <f>INDEX('файл остатки'!$A$5:$CX$265,MATCH($C$1,'файл остатки'!$A$5:$A$228,0),MATCH(B111,'файл остатки'!$A$5:$CX$5,0))</f>
        <v>#N/A</v>
      </c>
      <c r="D111" s="247"/>
      <c r="E111" s="216"/>
      <c r="F111" s="207"/>
      <c r="G111" s="233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2" t="e">
        <f>INDEX('файл остатки'!$A$5:$CX$265,MATCH($H$1,'файл остатки'!$A$5:$A$228,0),MATCH($B111,'файл остатки'!$A$5:$CX$5,0))</f>
        <v>#N/A</v>
      </c>
      <c r="I111" s="240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7"/>
      <c r="K111" s="216"/>
      <c r="L111" s="207"/>
      <c r="M111" s="233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2" t="e">
        <f>INDEX('файл остатки'!$A$5:$CX$265,MATCH($H$1,'файл остатки'!$A$5:$A$228,0),MATCH($B111,'файл остатки'!$A$5:$CX$5,0))</f>
        <v>#N/A</v>
      </c>
      <c r="O111" s="240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7"/>
      <c r="Q111" s="216"/>
      <c r="R111" s="207"/>
      <c r="S111" s="233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2" t="e">
        <f>INDEX('файл остатки'!$A$5:$CX$265,MATCH($H$1,'файл остатки'!$A$5:$A$228,0),MATCH($B111,'файл остатки'!$A$5:$CX$5,0))</f>
        <v>#N/A</v>
      </c>
      <c r="U111" s="240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7"/>
      <c r="W111" s="216"/>
      <c r="X111" s="207"/>
      <c r="Y111" s="233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2" t="e">
        <f>INDEX('файл остатки'!$A$5:$CX$265,MATCH($H$1,'файл остатки'!$A$5:$A$228,0),MATCH($B111,'файл остатки'!$A$5:$CX$5,0))</f>
        <v>#N/A</v>
      </c>
      <c r="AA111" s="240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7"/>
      <c r="AC111" s="216"/>
      <c r="AD111" s="207"/>
      <c r="AE111" s="233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2" t="e">
        <f>INDEX('файл остатки'!$A$5:$CX$265,MATCH($H$1,'файл остатки'!$A$5:$A$228,0),MATCH($B111,'файл остатки'!$A$5:$CX$5,0))</f>
        <v>#N/A</v>
      </c>
      <c r="AG111" s="240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7"/>
      <c r="AI111" s="216"/>
      <c r="AJ111" s="207"/>
      <c r="AK111" s="233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2" t="e">
        <f>INDEX('файл остатки'!$A$5:$CX$265,MATCH($H$1,'файл остатки'!$A$5:$A$228,0),MATCH($B111,'файл остатки'!$A$5:$CX$5,0))</f>
        <v>#N/A</v>
      </c>
      <c r="AM111" s="240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7"/>
      <c r="AO111" s="216"/>
      <c r="AP111" s="207"/>
      <c r="AQ111" s="233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2" t="e">
        <f>INDEX('файл остатки'!$A$5:$CX$265,MATCH($H$1,'файл остатки'!$A$5:$A$228,0),MATCH($B111,'файл остатки'!$A$5:$CX$5,0))</f>
        <v>#N/A</v>
      </c>
      <c r="AS111" s="240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7"/>
      <c r="AU111" s="216"/>
      <c r="AV111" s="207"/>
      <c r="AW111" s="233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2" t="e">
        <f>INDEX('файл остатки'!$A$5:$CX$265,MATCH($H$1,'файл остатки'!$A$5:$A$228,0),MATCH($B111,'файл остатки'!$A$5:$CX$5,0))</f>
        <v>#N/A</v>
      </c>
      <c r="AY111" s="240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7"/>
      <c r="BA111" s="216"/>
      <c r="BB111" s="207"/>
      <c r="BC111" s="233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2" t="e">
        <f>INDEX('файл остатки'!$A$5:$CX$265,MATCH($H$1,'файл остатки'!$A$5:$A$228,0),MATCH($B111,'файл остатки'!$A$5:$CX$5,0))</f>
        <v>#N/A</v>
      </c>
      <c r="BE111" s="240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7"/>
      <c r="BG111" s="216"/>
      <c r="BH111" s="207"/>
      <c r="BI111" s="233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2" t="e">
        <f>INDEX('файл остатки'!$A$5:$CX$265,MATCH($H$1,'файл остатки'!$A$5:$A$228,0),MATCH($B111,'файл остатки'!$A$5:$CX$5,0))</f>
        <v>#N/A</v>
      </c>
      <c r="BK111" s="212" t="e">
        <f t="shared" si="6"/>
        <v>#N/A</v>
      </c>
      <c r="BL111" s="240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7"/>
      <c r="BN111" s="216" t="e">
        <f t="shared" si="7"/>
        <v>#N/A</v>
      </c>
      <c r="BO111" s="207"/>
      <c r="BP111" s="233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2" t="e">
        <f>INDEX('файл остатки'!$A$5:$CX$265,MATCH($H$1,'файл остатки'!$A$5:$A$228,0),MATCH($B111,'файл остатки'!$A$5:$CX$5,0))</f>
        <v>#N/A</v>
      </c>
      <c r="BR111" s="240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7"/>
      <c r="BT111" s="216" t="e">
        <f t="shared" si="8"/>
        <v>#N/A</v>
      </c>
      <c r="BU111" s="207"/>
      <c r="BV111" s="233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2" t="e">
        <f>INDEX('файл остатки'!$A$5:$CX$265,MATCH($H$1,'файл остатки'!$A$5:$A$228,0),MATCH($B111,'файл остатки'!$A$5:$CX$5,0))</f>
        <v>#N/A</v>
      </c>
      <c r="BX111" s="240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7"/>
      <c r="BZ111" s="216" t="e">
        <f t="shared" si="9"/>
        <v>#N/A</v>
      </c>
      <c r="CA111" s="207"/>
      <c r="CB111" s="233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2" t="e">
        <f>INDEX('файл остатки'!$A$5:$CX$265,MATCH($H$1,'файл остатки'!$A$5:$A$228,0),MATCH($B111,'файл остатки'!$A$5:$CX$5,0))</f>
        <v>#N/A</v>
      </c>
      <c r="CD111" s="240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7"/>
      <c r="CH111" s="216">
        <f t="shared" si="10"/>
        <v>0</v>
      </c>
      <c r="CI111" s="207"/>
      <c r="CJ111" s="216" t="e">
        <f t="shared" si="11"/>
        <v>#N/A</v>
      </c>
      <c r="CK111" s="207"/>
      <c r="CO111" s="222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8" t="s">
        <v>85</v>
      </c>
      <c r="B112" s="200" t="s">
        <v>109</v>
      </c>
      <c r="C112" s="243" t="e">
        <f>INDEX('файл остатки'!$A$5:$CX$265,MATCH($C$1,'файл остатки'!$A$5:$A$228,0),MATCH(B112,'файл остатки'!$A$5:$CX$5,0))</f>
        <v>#N/A</v>
      </c>
      <c r="D112" s="247"/>
      <c r="E112" s="216"/>
      <c r="F112" s="207"/>
      <c r="G112" s="233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2" t="e">
        <f>INDEX('файл остатки'!$A$5:$CX$265,MATCH($H$1,'файл остатки'!$A$5:$A$228,0),MATCH($B112,'файл остатки'!$A$5:$CX$5,0))</f>
        <v>#N/A</v>
      </c>
      <c r="I112" s="240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7"/>
      <c r="K112" s="216"/>
      <c r="L112" s="207"/>
      <c r="M112" s="233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2" t="e">
        <f>INDEX('файл остатки'!$A$5:$CX$265,MATCH($H$1,'файл остатки'!$A$5:$A$228,0),MATCH($B112,'файл остатки'!$A$5:$CX$5,0))</f>
        <v>#N/A</v>
      </c>
      <c r="O112" s="240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7"/>
      <c r="Q112" s="216"/>
      <c r="R112" s="207"/>
      <c r="S112" s="233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2" t="e">
        <f>INDEX('файл остатки'!$A$5:$CX$265,MATCH($H$1,'файл остатки'!$A$5:$A$228,0),MATCH($B112,'файл остатки'!$A$5:$CX$5,0))</f>
        <v>#N/A</v>
      </c>
      <c r="U112" s="240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7"/>
      <c r="W112" s="216"/>
      <c r="X112" s="207"/>
      <c r="Y112" s="233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2" t="e">
        <f>INDEX('файл остатки'!$A$5:$CX$265,MATCH($H$1,'файл остатки'!$A$5:$A$228,0),MATCH($B112,'файл остатки'!$A$5:$CX$5,0))</f>
        <v>#N/A</v>
      </c>
      <c r="AA112" s="240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7"/>
      <c r="AC112" s="216"/>
      <c r="AD112" s="207"/>
      <c r="AE112" s="233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2" t="e">
        <f>INDEX('файл остатки'!$A$5:$CX$265,MATCH($H$1,'файл остатки'!$A$5:$A$228,0),MATCH($B112,'файл остатки'!$A$5:$CX$5,0))</f>
        <v>#N/A</v>
      </c>
      <c r="AG112" s="240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7"/>
      <c r="AI112" s="216"/>
      <c r="AJ112" s="207"/>
      <c r="AK112" s="233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2" t="e">
        <f>INDEX('файл остатки'!$A$5:$CX$265,MATCH($H$1,'файл остатки'!$A$5:$A$228,0),MATCH($B112,'файл остатки'!$A$5:$CX$5,0))</f>
        <v>#N/A</v>
      </c>
      <c r="AM112" s="240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7"/>
      <c r="AO112" s="216"/>
      <c r="AP112" s="207"/>
      <c r="AQ112" s="233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2" t="e">
        <f>INDEX('файл остатки'!$A$5:$CX$265,MATCH($H$1,'файл остатки'!$A$5:$A$228,0),MATCH($B112,'файл остатки'!$A$5:$CX$5,0))</f>
        <v>#N/A</v>
      </c>
      <c r="AS112" s="240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7"/>
      <c r="AU112" s="216">
        <v>-450</v>
      </c>
      <c r="AV112" s="207"/>
      <c r="AW112" s="233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2" t="e">
        <f>INDEX('файл остатки'!$A$5:$CX$265,MATCH($H$1,'файл остатки'!$A$5:$A$228,0),MATCH($B112,'файл остатки'!$A$5:$CX$5,0))</f>
        <v>#N/A</v>
      </c>
      <c r="AY112" s="240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7"/>
      <c r="BA112" s="216"/>
      <c r="BB112" s="207"/>
      <c r="BC112" s="233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2" t="e">
        <f>INDEX('файл остатки'!$A$5:$CX$265,MATCH($H$1,'файл остатки'!$A$5:$A$228,0),MATCH($B112,'файл остатки'!$A$5:$CX$5,0))</f>
        <v>#N/A</v>
      </c>
      <c r="BE112" s="240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7"/>
      <c r="BG112" s="216"/>
      <c r="BH112" s="207"/>
      <c r="BI112" s="233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2" t="e">
        <f>INDEX('файл остатки'!$A$5:$CX$265,MATCH($H$1,'файл остатки'!$A$5:$A$228,0),MATCH($B112,'файл остатки'!$A$5:$CX$5,0))</f>
        <v>#N/A</v>
      </c>
      <c r="BK112" s="212" t="e">
        <f t="shared" si="6"/>
        <v>#N/A</v>
      </c>
      <c r="BL112" s="240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7"/>
      <c r="BN112" s="216" t="e">
        <f t="shared" si="7"/>
        <v>#N/A</v>
      </c>
      <c r="BO112" s="207"/>
      <c r="BP112" s="233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2" t="e">
        <f>INDEX('файл остатки'!$A$5:$CX$265,MATCH($H$1,'файл остатки'!$A$5:$A$228,0),MATCH($B112,'файл остатки'!$A$5:$CX$5,0))</f>
        <v>#N/A</v>
      </c>
      <c r="BR112" s="240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7"/>
      <c r="BT112" s="216" t="e">
        <f t="shared" si="8"/>
        <v>#N/A</v>
      </c>
      <c r="BU112" s="207"/>
      <c r="BV112" s="233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2" t="e">
        <f>INDEX('файл остатки'!$A$5:$CX$265,MATCH($H$1,'файл остатки'!$A$5:$A$228,0),MATCH($B112,'файл остатки'!$A$5:$CX$5,0))</f>
        <v>#N/A</v>
      </c>
      <c r="BX112" s="240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7"/>
      <c r="BZ112" s="216" t="e">
        <f t="shared" si="9"/>
        <v>#N/A</v>
      </c>
      <c r="CA112" s="207"/>
      <c r="CB112" s="233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2" t="e">
        <f>INDEX('файл остатки'!$A$5:$CX$265,MATCH($H$1,'файл остатки'!$A$5:$A$228,0),MATCH($B112,'файл остатки'!$A$5:$CX$5,0))</f>
        <v>#N/A</v>
      </c>
      <c r="CD112" s="240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7"/>
      <c r="CH112" s="216">
        <f t="shared" si="10"/>
        <v>-450</v>
      </c>
      <c r="CI112" s="207"/>
      <c r="CJ112" s="216" t="e">
        <f t="shared" si="11"/>
        <v>#N/A</v>
      </c>
      <c r="CK112" s="207"/>
      <c r="CO112" s="222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8" t="s">
        <v>85</v>
      </c>
      <c r="B113" s="200" t="s">
        <v>134</v>
      </c>
      <c r="C113" s="243" t="e">
        <f>INDEX('файл остатки'!$A$5:$CX$265,MATCH($C$1,'файл остатки'!$A$5:$A$228,0),MATCH(B113,'файл остатки'!$A$5:$CX$5,0))</f>
        <v>#N/A</v>
      </c>
      <c r="D113" s="247"/>
      <c r="E113" s="216"/>
      <c r="F113" s="207"/>
      <c r="G113" s="233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2" t="e">
        <f>INDEX('файл остатки'!$A$5:$CX$265,MATCH($H$1,'файл остатки'!$A$5:$A$228,0),MATCH($B113,'файл остатки'!$A$5:$CX$5,0))</f>
        <v>#N/A</v>
      </c>
      <c r="I113" s="240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7"/>
      <c r="K113" s="216"/>
      <c r="L113" s="207"/>
      <c r="M113" s="233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2" t="e">
        <f>INDEX('файл остатки'!$A$5:$CX$265,MATCH($H$1,'файл остатки'!$A$5:$A$228,0),MATCH($B113,'файл остатки'!$A$5:$CX$5,0))</f>
        <v>#N/A</v>
      </c>
      <c r="O113" s="240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7"/>
      <c r="Q113" s="216"/>
      <c r="R113" s="207"/>
      <c r="S113" s="233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2" t="e">
        <f>INDEX('файл остатки'!$A$5:$CX$265,MATCH($H$1,'файл остатки'!$A$5:$A$228,0),MATCH($B113,'файл остатки'!$A$5:$CX$5,0))</f>
        <v>#N/A</v>
      </c>
      <c r="U113" s="240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7"/>
      <c r="W113" s="216"/>
      <c r="X113" s="207"/>
      <c r="Y113" s="233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2" t="e">
        <f>INDEX('файл остатки'!$A$5:$CX$265,MATCH($H$1,'файл остатки'!$A$5:$A$228,0),MATCH($B113,'файл остатки'!$A$5:$CX$5,0))</f>
        <v>#N/A</v>
      </c>
      <c r="AA113" s="240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7"/>
      <c r="AC113" s="216"/>
      <c r="AD113" s="207"/>
      <c r="AE113" s="233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2" t="e">
        <f>INDEX('файл остатки'!$A$5:$CX$265,MATCH($H$1,'файл остатки'!$A$5:$A$228,0),MATCH($B113,'файл остатки'!$A$5:$CX$5,0))</f>
        <v>#N/A</v>
      </c>
      <c r="AG113" s="240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7"/>
      <c r="AI113" s="216"/>
      <c r="AJ113" s="207"/>
      <c r="AK113" s="233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2" t="e">
        <f>INDEX('файл остатки'!$A$5:$CX$265,MATCH($H$1,'файл остатки'!$A$5:$A$228,0),MATCH($B113,'файл остатки'!$A$5:$CX$5,0))</f>
        <v>#N/A</v>
      </c>
      <c r="AM113" s="240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7"/>
      <c r="AO113" s="216"/>
      <c r="AP113" s="207"/>
      <c r="AQ113" s="233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2" t="e">
        <f>INDEX('файл остатки'!$A$5:$CX$265,MATCH($H$1,'файл остатки'!$A$5:$A$228,0),MATCH($B113,'файл остатки'!$A$5:$CX$5,0))</f>
        <v>#N/A</v>
      </c>
      <c r="AS113" s="240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7"/>
      <c r="AU113" s="216"/>
      <c r="AV113" s="207"/>
      <c r="AW113" s="233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2" t="e">
        <f>INDEX('файл остатки'!$A$5:$CX$265,MATCH($H$1,'файл остатки'!$A$5:$A$228,0),MATCH($B113,'файл остатки'!$A$5:$CX$5,0))</f>
        <v>#N/A</v>
      </c>
      <c r="AY113" s="240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7"/>
      <c r="BA113" s="216"/>
      <c r="BB113" s="207"/>
      <c r="BC113" s="233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2" t="e">
        <f>INDEX('файл остатки'!$A$5:$CX$265,MATCH($H$1,'файл остатки'!$A$5:$A$228,0),MATCH($B113,'файл остатки'!$A$5:$CX$5,0))</f>
        <v>#N/A</v>
      </c>
      <c r="BE113" s="240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7"/>
      <c r="BG113" s="216"/>
      <c r="BH113" s="207"/>
      <c r="BI113" s="233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2" t="e">
        <f>INDEX('файл остатки'!$A$5:$CX$265,MATCH($H$1,'файл остатки'!$A$5:$A$228,0),MATCH($B113,'файл остатки'!$A$5:$CX$5,0))</f>
        <v>#N/A</v>
      </c>
      <c r="BK113" s="212" t="e">
        <f t="shared" si="6"/>
        <v>#N/A</v>
      </c>
      <c r="BL113" s="240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7"/>
      <c r="BN113" s="216" t="e">
        <f t="shared" si="7"/>
        <v>#N/A</v>
      </c>
      <c r="BO113" s="207"/>
      <c r="BP113" s="233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2" t="e">
        <f>INDEX('файл остатки'!$A$5:$CX$265,MATCH($H$1,'файл остатки'!$A$5:$A$228,0),MATCH($B113,'файл остатки'!$A$5:$CX$5,0))</f>
        <v>#N/A</v>
      </c>
      <c r="BR113" s="240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7"/>
      <c r="BT113" s="216" t="e">
        <f t="shared" si="8"/>
        <v>#N/A</v>
      </c>
      <c r="BU113" s="207"/>
      <c r="BV113" s="233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2" t="e">
        <f>INDEX('файл остатки'!$A$5:$CX$265,MATCH($H$1,'файл остатки'!$A$5:$A$228,0),MATCH($B113,'файл остатки'!$A$5:$CX$5,0))</f>
        <v>#N/A</v>
      </c>
      <c r="BX113" s="240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7"/>
      <c r="BZ113" s="216" t="e">
        <f t="shared" si="9"/>
        <v>#N/A</v>
      </c>
      <c r="CA113" s="207"/>
      <c r="CB113" s="233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2" t="e">
        <f>INDEX('файл остатки'!$A$5:$CX$265,MATCH($H$1,'файл остатки'!$A$5:$A$228,0),MATCH($B113,'файл остатки'!$A$5:$CX$5,0))</f>
        <v>#N/A</v>
      </c>
      <c r="CD113" s="240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7"/>
      <c r="CH113" s="216">
        <f t="shared" si="10"/>
        <v>0</v>
      </c>
      <c r="CI113" s="207"/>
      <c r="CJ113" s="216" t="e">
        <f t="shared" si="11"/>
        <v>#N/A</v>
      </c>
      <c r="CK113" s="207"/>
      <c r="CO113" s="222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8"/>
      <c r="B114" s="200"/>
      <c r="C114" s="243"/>
      <c r="D114" s="247"/>
      <c r="E114" s="216"/>
      <c r="F114" s="207"/>
      <c r="G114" s="233"/>
      <c r="H114" s="212"/>
      <c r="I114" s="240"/>
      <c r="J114" s="217"/>
      <c r="K114" s="216"/>
      <c r="L114" s="207"/>
      <c r="M114" s="233"/>
      <c r="N114" s="212"/>
      <c r="O114" s="240"/>
      <c r="P114" s="217"/>
      <c r="Q114" s="216"/>
      <c r="R114" s="207"/>
      <c r="S114" s="233"/>
      <c r="T114" s="212"/>
      <c r="U114" s="240"/>
      <c r="V114" s="217"/>
      <c r="W114" s="216"/>
      <c r="X114" s="207"/>
      <c r="Y114" s="233"/>
      <c r="Z114" s="212"/>
      <c r="AA114" s="240"/>
      <c r="AB114" s="217"/>
      <c r="AC114" s="216"/>
      <c r="AD114" s="207"/>
      <c r="AE114" s="233"/>
      <c r="AF114" s="212"/>
      <c r="AG114" s="240"/>
      <c r="AH114" s="217"/>
      <c r="AI114" s="216"/>
      <c r="AJ114" s="207"/>
      <c r="AK114" s="233"/>
      <c r="AL114" s="212"/>
      <c r="AM114" s="240"/>
      <c r="AN114" s="217"/>
      <c r="AO114" s="216"/>
      <c r="AP114" s="207"/>
      <c r="AQ114" s="233"/>
      <c r="AR114" s="212"/>
      <c r="AS114" s="240"/>
      <c r="AT114" s="217"/>
      <c r="AU114" s="216"/>
      <c r="AV114" s="207"/>
      <c r="AW114" s="233"/>
      <c r="AX114" s="212"/>
      <c r="AY114" s="240"/>
      <c r="AZ114" s="217"/>
      <c r="BA114" s="216"/>
      <c r="BB114" s="207"/>
      <c r="BC114" s="233"/>
      <c r="BD114" s="212"/>
      <c r="BE114" s="240"/>
      <c r="BF114" s="217"/>
      <c r="BG114" s="216"/>
      <c r="BH114" s="207"/>
      <c r="BI114" s="233"/>
      <c r="BJ114" s="212"/>
      <c r="BK114" s="212"/>
      <c r="BL114" s="240"/>
      <c r="BM114" s="217"/>
      <c r="BN114" s="216"/>
      <c r="BO114" s="207"/>
      <c r="BP114" s="233"/>
      <c r="BQ114" s="212"/>
      <c r="BR114" s="240"/>
      <c r="BS114" s="217"/>
      <c r="BT114" s="216"/>
      <c r="BU114" s="207"/>
      <c r="BV114" s="233"/>
      <c r="BW114" s="212"/>
      <c r="BX114" s="240"/>
      <c r="BY114" s="217"/>
      <c r="BZ114" s="216"/>
      <c r="CA114" s="207"/>
      <c r="CB114" s="233"/>
      <c r="CC114" s="212"/>
      <c r="CD114" s="240"/>
      <c r="CE114" s="217"/>
      <c r="CH114" s="216"/>
      <c r="CI114" s="207"/>
      <c r="CJ114" s="216"/>
      <c r="CK114" s="207"/>
      <c r="CO114" s="222"/>
    </row>
    <row r="115" spans="1:93" s="211" customFormat="1" ht="26.25" customHeight="1">
      <c r="C115" s="214"/>
      <c r="D115" s="208"/>
      <c r="E115" s="214"/>
      <c r="F115" s="249"/>
      <c r="G115" s="207"/>
      <c r="H115" s="207"/>
      <c r="I115" s="207"/>
      <c r="J115" s="215"/>
      <c r="K115" s="214"/>
      <c r="L115" s="249"/>
      <c r="M115" s="207"/>
      <c r="N115" s="207"/>
      <c r="O115" s="207"/>
      <c r="P115" s="215"/>
      <c r="Q115" s="214"/>
      <c r="R115" s="249"/>
      <c r="S115" s="207"/>
      <c r="T115" s="207"/>
      <c r="U115" s="207"/>
      <c r="V115" s="215"/>
      <c r="W115" s="214"/>
      <c r="X115" s="249"/>
      <c r="Y115" s="207"/>
      <c r="Z115" s="207"/>
      <c r="AA115" s="207"/>
      <c r="AB115" s="215"/>
      <c r="AC115" s="214"/>
      <c r="AD115" s="249"/>
      <c r="AE115" s="207"/>
      <c r="AF115" s="207"/>
      <c r="AG115" s="207"/>
      <c r="AH115" s="215"/>
      <c r="AI115" s="214"/>
      <c r="AJ115" s="249"/>
      <c r="AK115" s="207"/>
      <c r="AL115" s="207"/>
      <c r="AM115" s="207"/>
      <c r="AN115" s="215"/>
      <c r="AO115" s="214"/>
      <c r="AP115" s="249"/>
      <c r="AQ115" s="207"/>
      <c r="AR115" s="207"/>
      <c r="AS115" s="207"/>
      <c r="AT115" s="215"/>
      <c r="AU115" s="214"/>
      <c r="AV115" s="249"/>
      <c r="AW115" s="207"/>
      <c r="AX115" s="207"/>
      <c r="AY115" s="207"/>
      <c r="AZ115" s="215"/>
      <c r="BA115" s="214"/>
      <c r="BB115" s="249"/>
      <c r="BC115" s="207"/>
      <c r="BD115" s="207"/>
      <c r="BE115" s="207"/>
      <c r="BF115" s="215"/>
      <c r="BG115" s="214"/>
      <c r="BH115" s="249"/>
      <c r="BI115" s="207"/>
      <c r="BJ115" s="207"/>
      <c r="BK115" s="207"/>
      <c r="BL115" s="207"/>
      <c r="BM115" s="215"/>
      <c r="BN115" s="214"/>
      <c r="BO115" s="249"/>
      <c r="BP115" s="207"/>
      <c r="BQ115" s="207"/>
      <c r="BR115" s="207"/>
      <c r="BS115" s="215"/>
      <c r="BT115" s="214"/>
      <c r="BU115" s="249"/>
      <c r="BV115" s="207"/>
      <c r="BW115" s="207"/>
      <c r="BX115" s="207"/>
      <c r="BY115" s="215"/>
      <c r="BZ115" s="214"/>
      <c r="CA115" s="249"/>
      <c r="CB115" s="207"/>
      <c r="CC115" s="207"/>
      <c r="CD115" s="207"/>
      <c r="CE115" s="215"/>
      <c r="CH115" s="216"/>
      <c r="CI115" s="249"/>
      <c r="CJ115" s="216"/>
      <c r="CK115" s="249"/>
      <c r="CO115" s="222"/>
    </row>
    <row r="116" spans="1:93" ht="24" customHeight="1">
      <c r="A116" s="169" t="s">
        <v>75</v>
      </c>
      <c r="B116" s="153" t="s">
        <v>104</v>
      </c>
      <c r="C116" s="243" t="e">
        <f>INDEX('файл остатки'!$A$5:$CX$265,MATCH($C$1,'файл остатки'!$A$5:$A$228,0),MATCH(B116,'файл остатки'!$A$5:$CX$5,0))</f>
        <v>#N/A</v>
      </c>
      <c r="D116" s="247"/>
      <c r="E116" s="216"/>
      <c r="F116" s="207"/>
      <c r="G116" s="233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2" t="e">
        <f>INDEX('файл остатки'!$A$5:$CX$265,MATCH($H$1,'файл остатки'!$A$5:$A$228,0),MATCH($B116,'файл остатки'!$A$5:$CX$5,0))</f>
        <v>#N/A</v>
      </c>
      <c r="I116" s="240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7"/>
      <c r="K116" s="216">
        <v>-500</v>
      </c>
      <c r="L116" s="207"/>
      <c r="M116" s="233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2" t="e">
        <f>INDEX('файл остатки'!$A$5:$CX$265,MATCH($H$1,'файл остатки'!$A$5:$A$228,0),MATCH($B116,'файл остатки'!$A$5:$CX$5,0))</f>
        <v>#N/A</v>
      </c>
      <c r="O116" s="240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7"/>
      <c r="Q116" s="216"/>
      <c r="R116" s="207"/>
      <c r="S116" s="233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2" t="e">
        <f>INDEX('файл остатки'!$A$5:$CX$265,MATCH($H$1,'файл остатки'!$A$5:$A$228,0),MATCH($B116,'файл остатки'!$A$5:$CX$5,0))</f>
        <v>#N/A</v>
      </c>
      <c r="U116" s="240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7"/>
      <c r="W116" s="216"/>
      <c r="X116" s="207"/>
      <c r="Y116" s="233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2" t="e">
        <f>INDEX('файл остатки'!$A$5:$CX$265,MATCH($H$1,'файл остатки'!$A$5:$A$228,0),MATCH($B116,'файл остатки'!$A$5:$CX$5,0))</f>
        <v>#N/A</v>
      </c>
      <c r="AA116" s="240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7"/>
      <c r="AC116" s="216"/>
      <c r="AD116" s="207"/>
      <c r="AE116" s="233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2" t="e">
        <f>INDEX('файл остатки'!$A$5:$CX$265,MATCH($H$1,'файл остатки'!$A$5:$A$228,0),MATCH($B116,'файл остатки'!$A$5:$CX$5,0))</f>
        <v>#N/A</v>
      </c>
      <c r="AG116" s="240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7"/>
      <c r="AI116" s="216"/>
      <c r="AJ116" s="207"/>
      <c r="AK116" s="233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2" t="e">
        <f>INDEX('файл остатки'!$A$5:$CX$265,MATCH($H$1,'файл остатки'!$A$5:$A$228,0),MATCH($B116,'файл остатки'!$A$5:$CX$5,0))</f>
        <v>#N/A</v>
      </c>
      <c r="AM116" s="240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7"/>
      <c r="AO116" s="216"/>
      <c r="AP116" s="207"/>
      <c r="AQ116" s="233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2" t="e">
        <f>INDEX('файл остатки'!$A$5:$CX$265,MATCH($H$1,'файл остатки'!$A$5:$A$228,0),MATCH($B116,'файл остатки'!$A$5:$CX$5,0))</f>
        <v>#N/A</v>
      </c>
      <c r="AS116" s="240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7"/>
      <c r="AU116" s="216"/>
      <c r="AV116" s="207"/>
      <c r="AW116" s="233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2" t="e">
        <f>INDEX('файл остатки'!$A$5:$CX$265,MATCH($H$1,'файл остатки'!$A$5:$A$228,0),MATCH($B116,'файл остатки'!$A$5:$CX$5,0))</f>
        <v>#N/A</v>
      </c>
      <c r="AY116" s="240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7"/>
      <c r="BA116" s="216"/>
      <c r="BB116" s="207"/>
      <c r="BC116" s="233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2" t="e">
        <f>INDEX('файл остатки'!$A$5:$CX$265,MATCH($H$1,'файл остатки'!$A$5:$A$228,0),MATCH($B116,'файл остатки'!$A$5:$CX$5,0))</f>
        <v>#N/A</v>
      </c>
      <c r="BE116" s="240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7"/>
      <c r="BG116" s="216">
        <v>-500</v>
      </c>
      <c r="BH116" s="207"/>
      <c r="BI116" s="233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2" t="e">
        <f>INDEX('файл остатки'!$A$5:$CX$265,MATCH($H$1,'файл остатки'!$A$5:$A$228,0),MATCH($B116,'файл остатки'!$A$5:$CX$5,0))</f>
        <v>#N/A</v>
      </c>
      <c r="BK116" s="212" t="e">
        <f t="shared" si="6"/>
        <v>#N/A</v>
      </c>
      <c r="BL116" s="240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7"/>
      <c r="BN116" s="216" t="e">
        <f t="shared" si="7"/>
        <v>#N/A</v>
      </c>
      <c r="BO116" s="207"/>
      <c r="BP116" s="233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2" t="e">
        <f>INDEX('файл остатки'!$A$5:$CX$265,MATCH($H$1,'файл остатки'!$A$5:$A$228,0),MATCH($B116,'файл остатки'!$A$5:$CX$5,0))</f>
        <v>#N/A</v>
      </c>
      <c r="BR116" s="240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7"/>
      <c r="BT116" s="216" t="e">
        <f t="shared" si="8"/>
        <v>#N/A</v>
      </c>
      <c r="BU116" s="207"/>
      <c r="BV116" s="233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2" t="e">
        <f>INDEX('файл остатки'!$A$5:$CX$265,MATCH($H$1,'файл остатки'!$A$5:$A$228,0),MATCH($B116,'файл остатки'!$A$5:$CX$5,0))</f>
        <v>#N/A</v>
      </c>
      <c r="BX116" s="240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7"/>
      <c r="BZ116" s="216" t="e">
        <f t="shared" si="9"/>
        <v>#N/A</v>
      </c>
      <c r="CA116" s="207"/>
      <c r="CB116" s="233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2" t="e">
        <f>INDEX('файл остатки'!$A$5:$CX$265,MATCH($H$1,'файл остатки'!$A$5:$A$228,0),MATCH($B116,'файл остатки'!$A$5:$CX$5,0))</f>
        <v>#N/A</v>
      </c>
      <c r="CD116" s="240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7"/>
      <c r="CH116" s="216">
        <f t="shared" si="10"/>
        <v>-1000</v>
      </c>
      <c r="CI116" s="207"/>
      <c r="CJ116" s="216" t="e">
        <f t="shared" si="11"/>
        <v>#N/A</v>
      </c>
      <c r="CK116" s="207"/>
      <c r="CO116" s="222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3" t="e">
        <f>INDEX('файл остатки'!$A$5:$CX$265,MATCH($C$1,'файл остатки'!$A$5:$A$228,0),MATCH(B117,'файл остатки'!$A$5:$CX$5,0))</f>
        <v>#N/A</v>
      </c>
      <c r="D117" s="247"/>
      <c r="E117" s="216"/>
      <c r="F117" s="207"/>
      <c r="G117" s="233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2" t="e">
        <f>INDEX('файл остатки'!$A$5:$CX$265,MATCH($H$1,'файл остатки'!$A$5:$A$228,0),MATCH($B117,'файл остатки'!$A$5:$CX$5,0))</f>
        <v>#N/A</v>
      </c>
      <c r="I117" s="240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7"/>
      <c r="K117" s="216"/>
      <c r="L117" s="207"/>
      <c r="M117" s="233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2" t="e">
        <f>INDEX('файл остатки'!$A$5:$CX$265,MATCH($H$1,'файл остатки'!$A$5:$A$228,0),MATCH($B117,'файл остатки'!$A$5:$CX$5,0))</f>
        <v>#N/A</v>
      </c>
      <c r="O117" s="240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7"/>
      <c r="Q117" s="216"/>
      <c r="R117" s="207"/>
      <c r="S117" s="233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2" t="e">
        <f>INDEX('файл остатки'!$A$5:$CX$265,MATCH($H$1,'файл остатки'!$A$5:$A$228,0),MATCH($B117,'файл остатки'!$A$5:$CX$5,0))</f>
        <v>#N/A</v>
      </c>
      <c r="U117" s="240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7"/>
      <c r="W117" s="216"/>
      <c r="X117" s="207"/>
      <c r="Y117" s="233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2" t="e">
        <f>INDEX('файл остатки'!$A$5:$CX$265,MATCH($H$1,'файл остатки'!$A$5:$A$228,0),MATCH($B117,'файл остатки'!$A$5:$CX$5,0))</f>
        <v>#N/A</v>
      </c>
      <c r="AA117" s="240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7"/>
      <c r="AC117" s="216"/>
      <c r="AD117" s="207"/>
      <c r="AE117" s="233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2" t="e">
        <f>INDEX('файл остатки'!$A$5:$CX$265,MATCH($H$1,'файл остатки'!$A$5:$A$228,0),MATCH($B117,'файл остатки'!$A$5:$CX$5,0))</f>
        <v>#N/A</v>
      </c>
      <c r="AG117" s="240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7"/>
      <c r="AI117" s="216"/>
      <c r="AJ117" s="207"/>
      <c r="AK117" s="233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2" t="e">
        <f>INDEX('файл остатки'!$A$5:$CX$265,MATCH($H$1,'файл остатки'!$A$5:$A$228,0),MATCH($B117,'файл остатки'!$A$5:$CX$5,0))</f>
        <v>#N/A</v>
      </c>
      <c r="AM117" s="240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7"/>
      <c r="AO117" s="216"/>
      <c r="AP117" s="207"/>
      <c r="AQ117" s="233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2" t="e">
        <f>INDEX('файл остатки'!$A$5:$CX$265,MATCH($H$1,'файл остатки'!$A$5:$A$228,0),MATCH($B117,'файл остатки'!$A$5:$CX$5,0))</f>
        <v>#N/A</v>
      </c>
      <c r="AS117" s="240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7"/>
      <c r="AU117" s="216"/>
      <c r="AV117" s="207"/>
      <c r="AW117" s="233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2" t="e">
        <f>INDEX('файл остатки'!$A$5:$CX$265,MATCH($H$1,'файл остатки'!$A$5:$A$228,0),MATCH($B117,'файл остатки'!$A$5:$CX$5,0))</f>
        <v>#N/A</v>
      </c>
      <c r="AY117" s="240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7"/>
      <c r="BA117" s="216"/>
      <c r="BB117" s="207"/>
      <c r="BC117" s="233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2" t="e">
        <f>INDEX('файл остатки'!$A$5:$CX$265,MATCH($H$1,'файл остатки'!$A$5:$A$228,0),MATCH($B117,'файл остатки'!$A$5:$CX$5,0))</f>
        <v>#N/A</v>
      </c>
      <c r="BE117" s="240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7"/>
      <c r="BG117" s="216">
        <v>-500</v>
      </c>
      <c r="BH117" s="207"/>
      <c r="BI117" s="233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2" t="e">
        <f>INDEX('файл остатки'!$A$5:$CX$265,MATCH($H$1,'файл остатки'!$A$5:$A$228,0),MATCH($B117,'файл остатки'!$A$5:$CX$5,0))</f>
        <v>#N/A</v>
      </c>
      <c r="BK117" s="212" t="e">
        <f t="shared" si="6"/>
        <v>#N/A</v>
      </c>
      <c r="BL117" s="240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7"/>
      <c r="BN117" s="216" t="e">
        <f t="shared" si="7"/>
        <v>#N/A</v>
      </c>
      <c r="BO117" s="207"/>
      <c r="BP117" s="233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2" t="e">
        <f>INDEX('файл остатки'!$A$5:$CX$265,MATCH($H$1,'файл остатки'!$A$5:$A$228,0),MATCH($B117,'файл остатки'!$A$5:$CX$5,0))</f>
        <v>#N/A</v>
      </c>
      <c r="BR117" s="240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7"/>
      <c r="BT117" s="216" t="e">
        <f t="shared" si="8"/>
        <v>#N/A</v>
      </c>
      <c r="BU117" s="207"/>
      <c r="BV117" s="233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2" t="e">
        <f>INDEX('файл остатки'!$A$5:$CX$265,MATCH($H$1,'файл остатки'!$A$5:$A$228,0),MATCH($B117,'файл остатки'!$A$5:$CX$5,0))</f>
        <v>#N/A</v>
      </c>
      <c r="BX117" s="240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7"/>
      <c r="BZ117" s="216" t="e">
        <f t="shared" si="9"/>
        <v>#N/A</v>
      </c>
      <c r="CA117" s="207"/>
      <c r="CB117" s="233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2" t="e">
        <f>INDEX('файл остатки'!$A$5:$CX$265,MATCH($H$1,'файл остатки'!$A$5:$A$228,0),MATCH($B117,'файл остатки'!$A$5:$CX$5,0))</f>
        <v>#N/A</v>
      </c>
      <c r="CD117" s="240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7"/>
      <c r="CH117" s="216">
        <f t="shared" si="10"/>
        <v>-500</v>
      </c>
      <c r="CI117" s="207"/>
      <c r="CJ117" s="216" t="e">
        <f t="shared" si="11"/>
        <v>#N/A</v>
      </c>
      <c r="CK117" s="207"/>
      <c r="CO117" s="222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3" t="e">
        <f>INDEX('файл остатки'!$A$5:$CX$265,MATCH($C$1,'файл остатки'!$A$5:$A$228,0),MATCH(B118,'файл остатки'!$A$5:$CX$5,0))</f>
        <v>#N/A</v>
      </c>
      <c r="D118" s="247"/>
      <c r="E118" s="216"/>
      <c r="F118" s="207"/>
      <c r="G118" s="233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2" t="e">
        <f>INDEX('файл остатки'!$A$5:$CX$265,MATCH($H$1,'файл остатки'!$A$5:$A$228,0),MATCH($B118,'файл остатки'!$A$5:$CX$5,0))</f>
        <v>#N/A</v>
      </c>
      <c r="I118" s="240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7"/>
      <c r="K118" s="216"/>
      <c r="L118" s="207"/>
      <c r="M118" s="233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2" t="e">
        <f>INDEX('файл остатки'!$A$5:$CX$265,MATCH($H$1,'файл остатки'!$A$5:$A$228,0),MATCH($B118,'файл остатки'!$A$5:$CX$5,0))</f>
        <v>#N/A</v>
      </c>
      <c r="O118" s="240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7"/>
      <c r="Q118" s="216"/>
      <c r="R118" s="207"/>
      <c r="S118" s="233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2" t="e">
        <f>INDEX('файл остатки'!$A$5:$CX$265,MATCH($H$1,'файл остатки'!$A$5:$A$228,0),MATCH($B118,'файл остатки'!$A$5:$CX$5,0))</f>
        <v>#N/A</v>
      </c>
      <c r="U118" s="240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7"/>
      <c r="W118" s="216"/>
      <c r="X118" s="207"/>
      <c r="Y118" s="233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2" t="e">
        <f>INDEX('файл остатки'!$A$5:$CX$265,MATCH($H$1,'файл остатки'!$A$5:$A$228,0),MATCH($B118,'файл остатки'!$A$5:$CX$5,0))</f>
        <v>#N/A</v>
      </c>
      <c r="AA118" s="240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7"/>
      <c r="AC118" s="216"/>
      <c r="AD118" s="207"/>
      <c r="AE118" s="233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2" t="e">
        <f>INDEX('файл остатки'!$A$5:$CX$265,MATCH($H$1,'файл остатки'!$A$5:$A$228,0),MATCH($B118,'файл остатки'!$A$5:$CX$5,0))</f>
        <v>#N/A</v>
      </c>
      <c r="AG118" s="240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7"/>
      <c r="AI118" s="216"/>
      <c r="AJ118" s="207"/>
      <c r="AK118" s="233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2" t="e">
        <f>INDEX('файл остатки'!$A$5:$CX$265,MATCH($H$1,'файл остатки'!$A$5:$A$228,0),MATCH($B118,'файл остатки'!$A$5:$CX$5,0))</f>
        <v>#N/A</v>
      </c>
      <c r="AM118" s="240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7"/>
      <c r="AO118" s="216"/>
      <c r="AP118" s="207"/>
      <c r="AQ118" s="233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2" t="e">
        <f>INDEX('файл остатки'!$A$5:$CX$265,MATCH($H$1,'файл остатки'!$A$5:$A$228,0),MATCH($B118,'файл остатки'!$A$5:$CX$5,0))</f>
        <v>#N/A</v>
      </c>
      <c r="AS118" s="240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7"/>
      <c r="AU118" s="216"/>
      <c r="AV118" s="207"/>
      <c r="AW118" s="233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2" t="e">
        <f>INDEX('файл остатки'!$A$5:$CX$265,MATCH($H$1,'файл остатки'!$A$5:$A$228,0),MATCH($B118,'файл остатки'!$A$5:$CX$5,0))</f>
        <v>#N/A</v>
      </c>
      <c r="AY118" s="240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7"/>
      <c r="BA118" s="216"/>
      <c r="BB118" s="207"/>
      <c r="BC118" s="233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2" t="e">
        <f>INDEX('файл остатки'!$A$5:$CX$265,MATCH($H$1,'файл остатки'!$A$5:$A$228,0),MATCH($B118,'файл остатки'!$A$5:$CX$5,0))</f>
        <v>#N/A</v>
      </c>
      <c r="BE118" s="240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7"/>
      <c r="BG118" s="216"/>
      <c r="BH118" s="207"/>
      <c r="BI118" s="233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2" t="e">
        <f>INDEX('файл остатки'!$A$5:$CX$265,MATCH($H$1,'файл остатки'!$A$5:$A$228,0),MATCH($B118,'файл остатки'!$A$5:$CX$5,0))</f>
        <v>#N/A</v>
      </c>
      <c r="BK118" s="212" t="e">
        <f t="shared" si="6"/>
        <v>#N/A</v>
      </c>
      <c r="BL118" s="240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7"/>
      <c r="BN118" s="216" t="e">
        <f t="shared" si="7"/>
        <v>#N/A</v>
      </c>
      <c r="BO118" s="207"/>
      <c r="BP118" s="233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2" t="e">
        <f>INDEX('файл остатки'!$A$5:$CX$265,MATCH($H$1,'файл остатки'!$A$5:$A$228,0),MATCH($B118,'файл остатки'!$A$5:$CX$5,0))</f>
        <v>#N/A</v>
      </c>
      <c r="BR118" s="240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7"/>
      <c r="BT118" s="216" t="e">
        <f t="shared" si="8"/>
        <v>#N/A</v>
      </c>
      <c r="BU118" s="207"/>
      <c r="BV118" s="233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2" t="e">
        <f>INDEX('файл остатки'!$A$5:$CX$265,MATCH($H$1,'файл остатки'!$A$5:$A$228,0),MATCH($B118,'файл остатки'!$A$5:$CX$5,0))</f>
        <v>#N/A</v>
      </c>
      <c r="BX118" s="240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7"/>
      <c r="BZ118" s="216" t="e">
        <f t="shared" si="9"/>
        <v>#N/A</v>
      </c>
      <c r="CA118" s="207"/>
      <c r="CB118" s="233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2" t="e">
        <f>INDEX('файл остатки'!$A$5:$CX$265,MATCH($H$1,'файл остатки'!$A$5:$A$228,0),MATCH($B118,'файл остатки'!$A$5:$CX$5,0))</f>
        <v>#N/A</v>
      </c>
      <c r="CD118" s="240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7"/>
      <c r="CH118" s="216">
        <f t="shared" si="10"/>
        <v>0</v>
      </c>
      <c r="CI118" s="207"/>
      <c r="CJ118" s="216" t="e">
        <f t="shared" si="11"/>
        <v>#N/A</v>
      </c>
      <c r="CK118" s="207"/>
      <c r="CO118" s="222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3" t="e">
        <f>INDEX('файл остатки'!$A$5:$CX$265,MATCH($C$1,'файл остатки'!$A$5:$A$228,0),MATCH(B119,'файл остатки'!$A$5:$CX$5,0))</f>
        <v>#N/A</v>
      </c>
      <c r="D119" s="247"/>
      <c r="E119" s="216"/>
      <c r="F119" s="207"/>
      <c r="G119" s="233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2" t="e">
        <f>INDEX('файл остатки'!$A$5:$CX$265,MATCH($H$1,'файл остатки'!$A$5:$A$228,0),MATCH($B119,'файл остатки'!$A$5:$CX$5,0))</f>
        <v>#N/A</v>
      </c>
      <c r="I119" s="240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7"/>
      <c r="K119" s="216"/>
      <c r="L119" s="207"/>
      <c r="M119" s="233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2" t="e">
        <f>INDEX('файл остатки'!$A$5:$CX$265,MATCH($H$1,'файл остатки'!$A$5:$A$228,0),MATCH($B119,'файл остатки'!$A$5:$CX$5,0))</f>
        <v>#N/A</v>
      </c>
      <c r="O119" s="240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7"/>
      <c r="Q119" s="216"/>
      <c r="R119" s="207"/>
      <c r="S119" s="233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2" t="e">
        <f>INDEX('файл остатки'!$A$5:$CX$265,MATCH($H$1,'файл остатки'!$A$5:$A$228,0),MATCH($B119,'файл остатки'!$A$5:$CX$5,0))</f>
        <v>#N/A</v>
      </c>
      <c r="U119" s="240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7"/>
      <c r="W119" s="216"/>
      <c r="X119" s="207"/>
      <c r="Y119" s="233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2" t="e">
        <f>INDEX('файл остатки'!$A$5:$CX$265,MATCH($H$1,'файл остатки'!$A$5:$A$228,0),MATCH($B119,'файл остатки'!$A$5:$CX$5,0))</f>
        <v>#N/A</v>
      </c>
      <c r="AA119" s="240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7"/>
      <c r="AC119" s="216"/>
      <c r="AD119" s="207"/>
      <c r="AE119" s="233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2" t="e">
        <f>INDEX('файл остатки'!$A$5:$CX$265,MATCH($H$1,'файл остатки'!$A$5:$A$228,0),MATCH($B119,'файл остатки'!$A$5:$CX$5,0))</f>
        <v>#N/A</v>
      </c>
      <c r="AG119" s="240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7"/>
      <c r="AI119" s="216"/>
      <c r="AJ119" s="207"/>
      <c r="AK119" s="233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2" t="e">
        <f>INDEX('файл остатки'!$A$5:$CX$265,MATCH($H$1,'файл остатки'!$A$5:$A$228,0),MATCH($B119,'файл остатки'!$A$5:$CX$5,0))</f>
        <v>#N/A</v>
      </c>
      <c r="AM119" s="240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7"/>
      <c r="AO119" s="216"/>
      <c r="AP119" s="207"/>
      <c r="AQ119" s="233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2" t="e">
        <f>INDEX('файл остатки'!$A$5:$CX$265,MATCH($H$1,'файл остатки'!$A$5:$A$228,0),MATCH($B119,'файл остатки'!$A$5:$CX$5,0))</f>
        <v>#N/A</v>
      </c>
      <c r="AS119" s="240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7"/>
      <c r="AU119" s="216"/>
      <c r="AV119" s="207"/>
      <c r="AW119" s="233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2" t="e">
        <f>INDEX('файл остатки'!$A$5:$CX$265,MATCH($H$1,'файл остатки'!$A$5:$A$228,0),MATCH($B119,'файл остатки'!$A$5:$CX$5,0))</f>
        <v>#N/A</v>
      </c>
      <c r="AY119" s="240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7"/>
      <c r="BA119" s="216"/>
      <c r="BB119" s="207"/>
      <c r="BC119" s="233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2" t="e">
        <f>INDEX('файл остатки'!$A$5:$CX$265,MATCH($H$1,'файл остатки'!$A$5:$A$228,0),MATCH($B119,'файл остатки'!$A$5:$CX$5,0))</f>
        <v>#N/A</v>
      </c>
      <c r="BE119" s="240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7"/>
      <c r="BG119" s="216"/>
      <c r="BH119" s="207"/>
      <c r="BI119" s="233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2" t="e">
        <f>INDEX('файл остатки'!$A$5:$CX$265,MATCH($H$1,'файл остатки'!$A$5:$A$228,0),MATCH($B119,'файл остатки'!$A$5:$CX$5,0))</f>
        <v>#N/A</v>
      </c>
      <c r="BK119" s="212" t="e">
        <f t="shared" si="6"/>
        <v>#N/A</v>
      </c>
      <c r="BL119" s="240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7"/>
      <c r="BN119" s="216" t="e">
        <f t="shared" si="7"/>
        <v>#N/A</v>
      </c>
      <c r="BO119" s="207"/>
      <c r="BP119" s="233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2" t="e">
        <f>INDEX('файл остатки'!$A$5:$CX$265,MATCH($H$1,'файл остатки'!$A$5:$A$228,0),MATCH($B119,'файл остатки'!$A$5:$CX$5,0))</f>
        <v>#N/A</v>
      </c>
      <c r="BR119" s="240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7"/>
      <c r="BT119" s="216" t="e">
        <f t="shared" si="8"/>
        <v>#N/A</v>
      </c>
      <c r="BU119" s="207"/>
      <c r="BV119" s="233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2" t="e">
        <f>INDEX('файл остатки'!$A$5:$CX$265,MATCH($H$1,'файл остатки'!$A$5:$A$228,0),MATCH($B119,'файл остатки'!$A$5:$CX$5,0))</f>
        <v>#N/A</v>
      </c>
      <c r="BX119" s="240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7"/>
      <c r="BZ119" s="216" t="e">
        <f t="shared" si="9"/>
        <v>#N/A</v>
      </c>
      <c r="CA119" s="207"/>
      <c r="CB119" s="233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2" t="e">
        <f>INDEX('файл остатки'!$A$5:$CX$265,MATCH($H$1,'файл остатки'!$A$5:$A$228,0),MATCH($B119,'файл остатки'!$A$5:$CX$5,0))</f>
        <v>#N/A</v>
      </c>
      <c r="CD119" s="240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7"/>
      <c r="CH119" s="216">
        <f t="shared" si="10"/>
        <v>0</v>
      </c>
      <c r="CI119" s="207"/>
      <c r="CJ119" s="216" t="e">
        <f t="shared" si="11"/>
        <v>#N/A</v>
      </c>
      <c r="CK119" s="207"/>
      <c r="CO119" s="222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3" t="e">
        <f>INDEX('файл остатки'!$A$5:$CX$265,MATCH($C$1,'файл остатки'!$A$5:$A$228,0),MATCH(B120,'файл остатки'!$A$5:$CX$5,0))</f>
        <v>#N/A</v>
      </c>
      <c r="D120" s="247"/>
      <c r="E120" s="216"/>
      <c r="F120" s="207"/>
      <c r="G120" s="233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2" t="e">
        <f>INDEX('файл остатки'!$A$5:$CX$265,MATCH($H$1,'файл остатки'!$A$5:$A$228,0),MATCH($B120,'файл остатки'!$A$5:$CX$5,0))</f>
        <v>#N/A</v>
      </c>
      <c r="I120" s="240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7"/>
      <c r="K120" s="216"/>
      <c r="L120" s="207"/>
      <c r="M120" s="233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2" t="e">
        <f>INDEX('файл остатки'!$A$5:$CX$265,MATCH($H$1,'файл остатки'!$A$5:$A$228,0),MATCH($B120,'файл остатки'!$A$5:$CX$5,0))</f>
        <v>#N/A</v>
      </c>
      <c r="O120" s="240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7"/>
      <c r="Q120" s="216"/>
      <c r="R120" s="207"/>
      <c r="S120" s="233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2" t="e">
        <f>INDEX('файл остатки'!$A$5:$CX$265,MATCH($H$1,'файл остатки'!$A$5:$A$228,0),MATCH($B120,'файл остатки'!$A$5:$CX$5,0))</f>
        <v>#N/A</v>
      </c>
      <c r="U120" s="240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7"/>
      <c r="W120" s="216"/>
      <c r="X120" s="207"/>
      <c r="Y120" s="233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2" t="e">
        <f>INDEX('файл остатки'!$A$5:$CX$265,MATCH($H$1,'файл остатки'!$A$5:$A$228,0),MATCH($B120,'файл остатки'!$A$5:$CX$5,0))</f>
        <v>#N/A</v>
      </c>
      <c r="AA120" s="240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7"/>
      <c r="AC120" s="216"/>
      <c r="AD120" s="207"/>
      <c r="AE120" s="233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2" t="e">
        <f>INDEX('файл остатки'!$A$5:$CX$265,MATCH($H$1,'файл остатки'!$A$5:$A$228,0),MATCH($B120,'файл остатки'!$A$5:$CX$5,0))</f>
        <v>#N/A</v>
      </c>
      <c r="AG120" s="240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7"/>
      <c r="AI120" s="216"/>
      <c r="AJ120" s="207"/>
      <c r="AK120" s="233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2" t="e">
        <f>INDEX('файл остатки'!$A$5:$CX$265,MATCH($H$1,'файл остатки'!$A$5:$A$228,0),MATCH($B120,'файл остатки'!$A$5:$CX$5,0))</f>
        <v>#N/A</v>
      </c>
      <c r="AM120" s="240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7"/>
      <c r="AO120" s="216"/>
      <c r="AP120" s="207"/>
      <c r="AQ120" s="233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2" t="e">
        <f>INDEX('файл остатки'!$A$5:$CX$265,MATCH($H$1,'файл остатки'!$A$5:$A$228,0),MATCH($B120,'файл остатки'!$A$5:$CX$5,0))</f>
        <v>#N/A</v>
      </c>
      <c r="AS120" s="240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7"/>
      <c r="AU120" s="216"/>
      <c r="AV120" s="207"/>
      <c r="AW120" s="233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2" t="e">
        <f>INDEX('файл остатки'!$A$5:$CX$265,MATCH($H$1,'файл остатки'!$A$5:$A$228,0),MATCH($B120,'файл остатки'!$A$5:$CX$5,0))</f>
        <v>#N/A</v>
      </c>
      <c r="AY120" s="240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7"/>
      <c r="BA120" s="216"/>
      <c r="BB120" s="207"/>
      <c r="BC120" s="233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2" t="e">
        <f>INDEX('файл остатки'!$A$5:$CX$265,MATCH($H$1,'файл остатки'!$A$5:$A$228,0),MATCH($B120,'файл остатки'!$A$5:$CX$5,0))</f>
        <v>#N/A</v>
      </c>
      <c r="BE120" s="240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7"/>
      <c r="BG120" s="216"/>
      <c r="BH120" s="207"/>
      <c r="BI120" s="233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2" t="e">
        <f>INDEX('файл остатки'!$A$5:$CX$265,MATCH($H$1,'файл остатки'!$A$5:$A$228,0),MATCH($B120,'файл остатки'!$A$5:$CX$5,0))</f>
        <v>#N/A</v>
      </c>
      <c r="BK120" s="212" t="e">
        <f t="shared" si="6"/>
        <v>#N/A</v>
      </c>
      <c r="BL120" s="240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7"/>
      <c r="BN120" s="216" t="e">
        <f t="shared" si="7"/>
        <v>#N/A</v>
      </c>
      <c r="BO120" s="207"/>
      <c r="BP120" s="233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2" t="e">
        <f>INDEX('файл остатки'!$A$5:$CX$265,MATCH($H$1,'файл остатки'!$A$5:$A$228,0),MATCH($B120,'файл остатки'!$A$5:$CX$5,0))</f>
        <v>#N/A</v>
      </c>
      <c r="BR120" s="240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7"/>
      <c r="BT120" s="216" t="e">
        <f t="shared" si="8"/>
        <v>#N/A</v>
      </c>
      <c r="BU120" s="207"/>
      <c r="BV120" s="233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2" t="e">
        <f>INDEX('файл остатки'!$A$5:$CX$265,MATCH($H$1,'файл остатки'!$A$5:$A$228,0),MATCH($B120,'файл остатки'!$A$5:$CX$5,0))</f>
        <v>#N/A</v>
      </c>
      <c r="BX120" s="240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7"/>
      <c r="BZ120" s="216" t="e">
        <f t="shared" si="9"/>
        <v>#N/A</v>
      </c>
      <c r="CA120" s="207"/>
      <c r="CB120" s="233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2" t="e">
        <f>INDEX('файл остатки'!$A$5:$CX$265,MATCH($H$1,'файл остатки'!$A$5:$A$228,0),MATCH($B120,'файл остатки'!$A$5:$CX$5,0))</f>
        <v>#N/A</v>
      </c>
      <c r="CD120" s="240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7"/>
      <c r="CH120" s="216">
        <f t="shared" si="10"/>
        <v>0</v>
      </c>
      <c r="CI120" s="207"/>
      <c r="CJ120" s="216" t="e">
        <f t="shared" si="11"/>
        <v>#N/A</v>
      </c>
      <c r="CK120" s="207"/>
      <c r="CO120" s="222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3" t="e">
        <f>INDEX('файл остатки'!$A$5:$CX$265,MATCH($C$1,'файл остатки'!$A$5:$A$228,0),MATCH(B121,'файл остатки'!$A$5:$CX$5,0))</f>
        <v>#N/A</v>
      </c>
      <c r="D121" s="247"/>
      <c r="E121" s="216"/>
      <c r="F121" s="207"/>
      <c r="G121" s="233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2" t="e">
        <f>INDEX('файл остатки'!$A$5:$CX$265,MATCH($H$1,'файл остатки'!$A$5:$A$228,0),MATCH($B121,'файл остатки'!$A$5:$CX$5,0))</f>
        <v>#N/A</v>
      </c>
      <c r="I121" s="240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7"/>
      <c r="K121" s="216"/>
      <c r="L121" s="207"/>
      <c r="M121" s="233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2" t="e">
        <f>INDEX('файл остатки'!$A$5:$CX$265,MATCH($H$1,'файл остатки'!$A$5:$A$228,0),MATCH($B121,'файл остатки'!$A$5:$CX$5,0))</f>
        <v>#N/A</v>
      </c>
      <c r="O121" s="240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7"/>
      <c r="Q121" s="216"/>
      <c r="R121" s="207"/>
      <c r="S121" s="233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2" t="e">
        <f>INDEX('файл остатки'!$A$5:$CX$265,MATCH($H$1,'файл остатки'!$A$5:$A$228,0),MATCH($B121,'файл остатки'!$A$5:$CX$5,0))</f>
        <v>#N/A</v>
      </c>
      <c r="U121" s="240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7"/>
      <c r="W121" s="216"/>
      <c r="X121" s="207"/>
      <c r="Y121" s="233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2" t="e">
        <f>INDEX('файл остатки'!$A$5:$CX$265,MATCH($H$1,'файл остатки'!$A$5:$A$228,0),MATCH($B121,'файл остатки'!$A$5:$CX$5,0))</f>
        <v>#N/A</v>
      </c>
      <c r="AA121" s="240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7"/>
      <c r="AC121" s="216"/>
      <c r="AD121" s="207"/>
      <c r="AE121" s="233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2" t="e">
        <f>INDEX('файл остатки'!$A$5:$CX$265,MATCH($H$1,'файл остатки'!$A$5:$A$228,0),MATCH($B121,'файл остатки'!$A$5:$CX$5,0))</f>
        <v>#N/A</v>
      </c>
      <c r="AG121" s="240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7"/>
      <c r="AI121" s="216"/>
      <c r="AJ121" s="207"/>
      <c r="AK121" s="233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2" t="e">
        <f>INDEX('файл остатки'!$A$5:$CX$265,MATCH($H$1,'файл остатки'!$A$5:$A$228,0),MATCH($B121,'файл остатки'!$A$5:$CX$5,0))</f>
        <v>#N/A</v>
      </c>
      <c r="AM121" s="240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7"/>
      <c r="AO121" s="216"/>
      <c r="AP121" s="207"/>
      <c r="AQ121" s="233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2" t="e">
        <f>INDEX('файл остатки'!$A$5:$CX$265,MATCH($H$1,'файл остатки'!$A$5:$A$228,0),MATCH($B121,'файл остатки'!$A$5:$CX$5,0))</f>
        <v>#N/A</v>
      </c>
      <c r="AS121" s="240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7"/>
      <c r="AU121" s="216"/>
      <c r="AV121" s="207"/>
      <c r="AW121" s="233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2" t="e">
        <f>INDEX('файл остатки'!$A$5:$CX$265,MATCH($H$1,'файл остатки'!$A$5:$A$228,0),MATCH($B121,'файл остатки'!$A$5:$CX$5,0))</f>
        <v>#N/A</v>
      </c>
      <c r="AY121" s="240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7"/>
      <c r="BA121" s="216"/>
      <c r="BB121" s="207"/>
      <c r="BC121" s="233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2" t="e">
        <f>INDEX('файл остатки'!$A$5:$CX$265,MATCH($H$1,'файл остатки'!$A$5:$A$228,0),MATCH($B121,'файл остатки'!$A$5:$CX$5,0))</f>
        <v>#N/A</v>
      </c>
      <c r="BE121" s="240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7"/>
      <c r="BG121" s="216"/>
      <c r="BH121" s="207"/>
      <c r="BI121" s="233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2" t="e">
        <f>INDEX('файл остатки'!$A$5:$CX$265,MATCH($H$1,'файл остатки'!$A$5:$A$228,0),MATCH($B121,'файл остатки'!$A$5:$CX$5,0))</f>
        <v>#N/A</v>
      </c>
      <c r="BK121" s="212" t="e">
        <f t="shared" si="6"/>
        <v>#N/A</v>
      </c>
      <c r="BL121" s="240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7"/>
      <c r="BN121" s="216" t="e">
        <f t="shared" si="7"/>
        <v>#N/A</v>
      </c>
      <c r="BO121" s="207"/>
      <c r="BP121" s="233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2" t="e">
        <f>INDEX('файл остатки'!$A$5:$CX$265,MATCH($H$1,'файл остатки'!$A$5:$A$228,0),MATCH($B121,'файл остатки'!$A$5:$CX$5,0))</f>
        <v>#N/A</v>
      </c>
      <c r="BR121" s="240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7"/>
      <c r="BT121" s="216" t="e">
        <f t="shared" si="8"/>
        <v>#N/A</v>
      </c>
      <c r="BU121" s="207"/>
      <c r="BV121" s="233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2" t="e">
        <f>INDEX('файл остатки'!$A$5:$CX$265,MATCH($H$1,'файл остатки'!$A$5:$A$228,0),MATCH($B121,'файл остатки'!$A$5:$CX$5,0))</f>
        <v>#N/A</v>
      </c>
      <c r="BX121" s="240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7"/>
      <c r="BZ121" s="216" t="e">
        <f t="shared" si="9"/>
        <v>#N/A</v>
      </c>
      <c r="CA121" s="207"/>
      <c r="CB121" s="233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2" t="e">
        <f>INDEX('файл остатки'!$A$5:$CX$265,MATCH($H$1,'файл остатки'!$A$5:$A$228,0),MATCH($B121,'файл остатки'!$A$5:$CX$5,0))</f>
        <v>#N/A</v>
      </c>
      <c r="CD121" s="240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7"/>
      <c r="CH121" s="216">
        <f t="shared" si="10"/>
        <v>0</v>
      </c>
      <c r="CI121" s="207"/>
      <c r="CJ121" s="216" t="e">
        <f t="shared" si="11"/>
        <v>#N/A</v>
      </c>
      <c r="CK121" s="207"/>
      <c r="CO121" s="222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2" t="s">
        <v>257</v>
      </c>
      <c r="C122" s="244"/>
      <c r="D122" s="248"/>
      <c r="E122" s="218"/>
      <c r="F122" s="252"/>
      <c r="G122" s="253"/>
      <c r="H122" s="254"/>
      <c r="I122" s="240"/>
      <c r="J122" s="245"/>
      <c r="K122" s="218"/>
      <c r="L122" s="252"/>
      <c r="M122" s="253"/>
      <c r="N122" s="254"/>
      <c r="O122" s="240"/>
      <c r="P122" s="245"/>
      <c r="Q122" s="218"/>
      <c r="R122" s="252"/>
      <c r="S122" s="253"/>
      <c r="T122" s="254"/>
      <c r="U122" s="240"/>
      <c r="V122" s="245"/>
      <c r="W122" s="218"/>
      <c r="X122" s="252"/>
      <c r="Y122" s="253"/>
      <c r="Z122" s="254"/>
      <c r="AA122" s="240"/>
      <c r="AB122" s="245"/>
      <c r="AC122" s="218"/>
      <c r="AD122" s="252"/>
      <c r="AE122" s="253"/>
      <c r="AF122" s="254"/>
      <c r="AG122" s="240"/>
      <c r="AH122" s="245"/>
      <c r="AI122" s="218"/>
      <c r="AJ122" s="252"/>
      <c r="AK122" s="253"/>
      <c r="AL122" s="254"/>
      <c r="AM122" s="240"/>
      <c r="AN122" s="245"/>
      <c r="AO122" s="218"/>
      <c r="AP122" s="252"/>
      <c r="AQ122" s="253"/>
      <c r="AR122" s="254"/>
      <c r="AS122" s="240"/>
      <c r="AT122" s="245"/>
      <c r="AU122" s="218"/>
      <c r="AV122" s="252"/>
      <c r="AW122" s="253"/>
      <c r="AX122" s="254"/>
      <c r="AY122" s="240"/>
      <c r="AZ122" s="245"/>
      <c r="BA122" s="218"/>
      <c r="BB122" s="252"/>
      <c r="BC122" s="253"/>
      <c r="BD122" s="254"/>
      <c r="BE122" s="240"/>
      <c r="BF122" s="245"/>
      <c r="BG122" s="218"/>
      <c r="BH122" s="252"/>
      <c r="BI122" s="253"/>
      <c r="BJ122" s="254"/>
      <c r="BK122" s="254"/>
      <c r="BL122" s="240"/>
      <c r="BM122" s="245"/>
      <c r="BN122" s="218"/>
      <c r="BO122" s="252"/>
      <c r="BP122" s="253"/>
      <c r="BQ122" s="254"/>
      <c r="BR122" s="240"/>
      <c r="BS122" s="245"/>
      <c r="BT122" s="218"/>
      <c r="BU122" s="252"/>
      <c r="BV122" s="253"/>
      <c r="BW122" s="254"/>
      <c r="BX122" s="240"/>
      <c r="BY122" s="245"/>
      <c r="BZ122" s="218"/>
      <c r="CA122" s="252"/>
      <c r="CB122" s="253"/>
      <c r="CC122" s="254"/>
      <c r="CD122" s="240"/>
      <c r="CE122" s="245"/>
      <c r="CH122" s="218"/>
      <c r="CI122" s="252"/>
      <c r="CJ122" s="216">
        <f t="shared" si="11"/>
        <v>0</v>
      </c>
      <c r="CK122" s="252"/>
      <c r="CO122" s="222"/>
    </row>
    <row r="124" spans="1:93" ht="22.5" customHeight="1">
      <c r="C124" s="2537">
        <f>E3</f>
        <v>43329</v>
      </c>
      <c r="D124" s="2538"/>
      <c r="E124" s="2538"/>
      <c r="F124" s="2538"/>
      <c r="G124" s="2538"/>
      <c r="H124" s="2538"/>
      <c r="I124" s="2538"/>
      <c r="J124" s="2538"/>
      <c r="K124" s="2537">
        <f>C124+1</f>
        <v>43330</v>
      </c>
      <c r="L124" s="2538"/>
      <c r="M124" s="2538"/>
      <c r="N124" s="2538"/>
      <c r="O124" s="2538"/>
      <c r="P124" s="2538"/>
      <c r="Q124" s="2537">
        <f>K124+1</f>
        <v>43331</v>
      </c>
      <c r="R124" s="2538"/>
      <c r="S124" s="2538"/>
      <c r="T124" s="2538"/>
      <c r="U124" s="2538"/>
      <c r="V124" s="2538"/>
      <c r="W124" s="2537">
        <f>Q124+1</f>
        <v>43332</v>
      </c>
      <c r="X124" s="2538"/>
      <c r="Y124" s="2538"/>
      <c r="Z124" s="2538"/>
      <c r="AA124" s="2538"/>
      <c r="AB124" s="2538"/>
      <c r="AC124" s="2537">
        <f>W124+1</f>
        <v>43333</v>
      </c>
      <c r="AD124" s="2538"/>
      <c r="AE124" s="2538"/>
      <c r="AF124" s="2538"/>
      <c r="AG124" s="2538"/>
      <c r="AH124" s="2538"/>
      <c r="AI124" s="2537">
        <f>AC124+1</f>
        <v>43334</v>
      </c>
      <c r="AJ124" s="2538"/>
      <c r="AK124" s="2538"/>
      <c r="AL124" s="2538"/>
      <c r="AM124" s="2538"/>
      <c r="AN124" s="2538"/>
      <c r="AO124" s="2537">
        <f>AI124+1</f>
        <v>43335</v>
      </c>
      <c r="AP124" s="2538"/>
      <c r="AQ124" s="2538"/>
      <c r="AR124" s="2538"/>
      <c r="AS124" s="2538"/>
      <c r="AT124" s="2538"/>
      <c r="AU124" s="2537">
        <f>AO124+1</f>
        <v>43336</v>
      </c>
      <c r="AV124" s="2538"/>
      <c r="AW124" s="2538"/>
      <c r="AX124" s="2538"/>
      <c r="AY124" s="2538"/>
      <c r="AZ124" s="2538"/>
      <c r="BA124" s="2537">
        <f>AU124+1</f>
        <v>43337</v>
      </c>
      <c r="BB124" s="2538"/>
      <c r="BC124" s="2538"/>
      <c r="BD124" s="2538"/>
      <c r="BE124" s="2538"/>
      <c r="BF124" s="2538"/>
      <c r="BG124" s="2537">
        <f>BA124+1</f>
        <v>43338</v>
      </c>
      <c r="BH124" s="2538"/>
      <c r="BI124" s="2538"/>
      <c r="BJ124" s="2538"/>
      <c r="BK124" s="2538"/>
      <c r="BL124" s="2538"/>
      <c r="BM124" s="2538"/>
      <c r="BN124" s="2549"/>
      <c r="BO124" s="2550"/>
      <c r="BP124" s="2550"/>
      <c r="BQ124" s="2550"/>
      <c r="BR124" s="2550"/>
      <c r="BS124" s="2550"/>
      <c r="BT124" s="2537"/>
      <c r="BU124" s="2538"/>
      <c r="BV124" s="2538"/>
      <c r="BW124" s="2538"/>
      <c r="BX124" s="2538"/>
      <c r="BY124" s="2538"/>
      <c r="BZ124" s="2537"/>
      <c r="CA124" s="2538"/>
      <c r="CB124" s="2538"/>
      <c r="CC124" s="2538"/>
      <c r="CD124" s="2538"/>
      <c r="CE124" s="2538"/>
      <c r="CH124" s="2537"/>
      <c r="CI124" s="2538"/>
      <c r="CJ124" s="2537"/>
      <c r="CK124" s="2538"/>
    </row>
    <row r="125" spans="1:93" ht="40.5" customHeight="1">
      <c r="A125" s="2514" t="s">
        <v>240</v>
      </c>
      <c r="B125" s="2514"/>
      <c r="C125" s="2531">
        <v>104</v>
      </c>
      <c r="D125" s="2532"/>
      <c r="E125" s="2532"/>
      <c r="F125" s="2532"/>
      <c r="G125" s="2532"/>
      <c r="H125" s="2532"/>
      <c r="I125" s="2532"/>
      <c r="J125" s="2533"/>
      <c r="K125" s="2531">
        <v>104</v>
      </c>
      <c r="L125" s="2532"/>
      <c r="M125" s="2532"/>
      <c r="N125" s="2532"/>
      <c r="O125" s="2532"/>
      <c r="P125" s="2533"/>
      <c r="Q125" s="2531">
        <v>104</v>
      </c>
      <c r="R125" s="2532"/>
      <c r="S125" s="2532"/>
      <c r="T125" s="2532"/>
      <c r="U125" s="2532"/>
      <c r="V125" s="2533"/>
      <c r="W125" s="2531">
        <v>104</v>
      </c>
      <c r="X125" s="2532"/>
      <c r="Y125" s="2532"/>
      <c r="Z125" s="2532"/>
      <c r="AA125" s="2532"/>
      <c r="AB125" s="2533"/>
      <c r="AC125" s="2539">
        <v>82</v>
      </c>
      <c r="AD125" s="2540"/>
      <c r="AE125" s="2540"/>
      <c r="AF125" s="2540"/>
      <c r="AG125" s="2540"/>
      <c r="AH125" s="2541"/>
      <c r="AI125" s="2531">
        <v>104</v>
      </c>
      <c r="AJ125" s="2532"/>
      <c r="AK125" s="2532"/>
      <c r="AL125" s="2532"/>
      <c r="AM125" s="2532"/>
      <c r="AN125" s="2533"/>
      <c r="AO125" s="2539">
        <v>82</v>
      </c>
      <c r="AP125" s="2540"/>
      <c r="AQ125" s="2540"/>
      <c r="AR125" s="2540"/>
      <c r="AS125" s="2540"/>
      <c r="AT125" s="2541"/>
      <c r="AU125" s="2539">
        <v>82</v>
      </c>
      <c r="AV125" s="2540"/>
      <c r="AW125" s="2540"/>
      <c r="AX125" s="2540"/>
      <c r="AY125" s="2540"/>
      <c r="AZ125" s="2541"/>
      <c r="BA125" s="2531">
        <v>83</v>
      </c>
      <c r="BB125" s="2532"/>
      <c r="BC125" s="2532"/>
      <c r="BD125" s="2532"/>
      <c r="BE125" s="2532"/>
      <c r="BF125" s="2533"/>
      <c r="BG125" s="2542">
        <v>83</v>
      </c>
      <c r="BH125" s="2542"/>
      <c r="BI125" s="2542"/>
      <c r="BJ125" s="2542"/>
      <c r="BK125" s="2542"/>
      <c r="BL125" s="2542"/>
      <c r="BM125" s="2542"/>
      <c r="BN125" s="2551"/>
      <c r="BO125" s="2551"/>
      <c r="BP125" s="2551"/>
      <c r="BQ125" s="2551"/>
      <c r="BR125" s="2551"/>
      <c r="BS125" s="2551"/>
      <c r="BV125" s="211"/>
      <c r="BW125" s="211"/>
      <c r="BX125" s="211"/>
      <c r="BY125" s="211"/>
      <c r="CB125" s="211"/>
      <c r="CC125" s="211"/>
      <c r="CD125" s="211"/>
      <c r="CE125" s="211"/>
    </row>
    <row r="126" spans="1:93" ht="23.85" customHeight="1">
      <c r="A126" s="2515" t="s">
        <v>228</v>
      </c>
      <c r="B126" s="2515"/>
      <c r="C126" s="2534"/>
      <c r="D126" s="2535"/>
      <c r="E126" s="2535"/>
      <c r="F126" s="2535"/>
      <c r="G126" s="2535"/>
      <c r="H126" s="2535"/>
      <c r="I126" s="2535"/>
      <c r="J126" s="2536"/>
      <c r="K126" s="2534"/>
      <c r="L126" s="2535"/>
      <c r="M126" s="2535"/>
      <c r="N126" s="2535"/>
      <c r="O126" s="2535"/>
      <c r="P126" s="2536"/>
      <c r="Q126" s="2534"/>
      <c r="R126" s="2535"/>
      <c r="S126" s="2535"/>
      <c r="T126" s="2535"/>
      <c r="U126" s="2535"/>
      <c r="V126" s="2536"/>
      <c r="W126" s="2534"/>
      <c r="X126" s="2535"/>
      <c r="Y126" s="2535"/>
      <c r="Z126" s="2535"/>
      <c r="AA126" s="2535"/>
      <c r="AB126" s="2536"/>
      <c r="AC126" s="2534"/>
      <c r="AD126" s="2535"/>
      <c r="AE126" s="2535"/>
      <c r="AF126" s="2535"/>
      <c r="AG126" s="2535"/>
      <c r="AH126" s="2536"/>
      <c r="AI126" s="2534"/>
      <c r="AJ126" s="2535"/>
      <c r="AK126" s="2535"/>
      <c r="AL126" s="2535"/>
      <c r="AM126" s="2535"/>
      <c r="AN126" s="2536"/>
      <c r="AO126" s="2534"/>
      <c r="AP126" s="2535"/>
      <c r="AQ126" s="2535"/>
      <c r="AR126" s="2535"/>
      <c r="AS126" s="2535"/>
      <c r="AT126" s="2536"/>
      <c r="AU126" s="2534"/>
      <c r="AV126" s="2535"/>
      <c r="AW126" s="2535"/>
      <c r="AX126" s="2535"/>
      <c r="AY126" s="2535"/>
      <c r="AZ126" s="2536"/>
      <c r="BA126" s="2534"/>
      <c r="BB126" s="2535"/>
      <c r="BC126" s="2535"/>
      <c r="BD126" s="2535"/>
      <c r="BE126" s="2535"/>
      <c r="BF126" s="2536"/>
      <c r="BG126" s="2543"/>
      <c r="BH126" s="2543"/>
      <c r="BI126" s="2543"/>
      <c r="BJ126" s="2543"/>
      <c r="BK126" s="2543"/>
      <c r="BL126" s="2543"/>
      <c r="BM126" s="2543"/>
      <c r="BN126" s="2551"/>
      <c r="BO126" s="2551"/>
      <c r="BP126" s="2551"/>
      <c r="BQ126" s="2551"/>
      <c r="BR126" s="2551"/>
      <c r="BS126" s="2551"/>
      <c r="BV126" s="211"/>
      <c r="BW126" s="211"/>
      <c r="BX126" s="211"/>
      <c r="BY126" s="211"/>
      <c r="CB126" s="211"/>
      <c r="CC126" s="211"/>
      <c r="CD126" s="211"/>
      <c r="CE126" s="211"/>
    </row>
    <row r="127" spans="1:93" ht="23.25" customHeight="1">
      <c r="A127" s="2516" t="s">
        <v>229</v>
      </c>
      <c r="B127" s="2516"/>
      <c r="C127" s="2528">
        <v>64</v>
      </c>
      <c r="D127" s="2529"/>
      <c r="E127" s="2529"/>
      <c r="F127" s="2529"/>
      <c r="G127" s="2529"/>
      <c r="H127" s="2529"/>
      <c r="I127" s="2529"/>
      <c r="J127" s="2530"/>
      <c r="K127" s="2528">
        <f>C127+C125-Жиробаланс!F126/1000</f>
        <v>79.997262173520824</v>
      </c>
      <c r="L127" s="2529"/>
      <c r="M127" s="2529"/>
      <c r="N127" s="2529"/>
      <c r="O127" s="2529"/>
      <c r="P127" s="2530"/>
      <c r="Q127" s="2528">
        <v>92</v>
      </c>
      <c r="R127" s="2529"/>
      <c r="S127" s="2529"/>
      <c r="T127" s="2529"/>
      <c r="U127" s="2529"/>
      <c r="V127" s="2530"/>
      <c r="W127" s="2528">
        <f>Q127+Q125-Жиробаланс!L126/1000</f>
        <v>110.67320597261991</v>
      </c>
      <c r="X127" s="2529"/>
      <c r="Y127" s="2529"/>
      <c r="Z127" s="2529"/>
      <c r="AA127" s="2529"/>
      <c r="AB127" s="2530"/>
      <c r="AC127" s="2528">
        <f>W127+W125-Жиробаланс!O126/1000</f>
        <v>123.19170143410278</v>
      </c>
      <c r="AD127" s="2529"/>
      <c r="AE127" s="2529"/>
      <c r="AF127" s="2529"/>
      <c r="AG127" s="2529"/>
      <c r="AH127" s="2530"/>
      <c r="AI127" s="2528">
        <f>AC127+AC125-Жиробаланс!R126/1000</f>
        <v>119.38100306743101</v>
      </c>
      <c r="AJ127" s="2529"/>
      <c r="AK127" s="2529"/>
      <c r="AL127" s="2529"/>
      <c r="AM127" s="2529"/>
      <c r="AN127" s="2530"/>
      <c r="AO127" s="2528">
        <f>AI127+AI125-Жиробаланс!U126/1000</f>
        <v>133.89236527606556</v>
      </c>
      <c r="AP127" s="2529"/>
      <c r="AQ127" s="2529"/>
      <c r="AR127" s="2529"/>
      <c r="AS127" s="2529"/>
      <c r="AT127" s="2530"/>
      <c r="AU127" s="2528">
        <f>AO127+AO125-Жиробаланс!X126/1000</f>
        <v>109.43377009761846</v>
      </c>
      <c r="AV127" s="2529"/>
      <c r="AW127" s="2529"/>
      <c r="AX127" s="2529"/>
      <c r="AY127" s="2529"/>
      <c r="AZ127" s="2530"/>
      <c r="BA127" s="2528">
        <f>AU127+AU125-Жиробаланс!AA126/1000</f>
        <v>109.86222143817091</v>
      </c>
      <c r="BB127" s="2529"/>
      <c r="BC127" s="2529"/>
      <c r="BD127" s="2529"/>
      <c r="BE127" s="2529"/>
      <c r="BF127" s="2530"/>
      <c r="BG127" s="2544">
        <f>BA127+BA125-Жиробаланс!AD126/1000</f>
        <v>63.485349682637576</v>
      </c>
      <c r="BH127" s="2544"/>
      <c r="BI127" s="2544"/>
      <c r="BJ127" s="2544"/>
      <c r="BK127" s="2544"/>
      <c r="BL127" s="2544"/>
      <c r="BM127" s="2544"/>
      <c r="BN127" s="2548"/>
      <c r="BO127" s="2548"/>
      <c r="BP127" s="2548"/>
      <c r="BQ127" s="2548"/>
      <c r="BR127" s="2548"/>
      <c r="BS127" s="2548"/>
      <c r="BV127" s="211"/>
      <c r="BW127" s="211"/>
      <c r="BX127" s="211"/>
      <c r="BY127" s="211"/>
      <c r="CB127" s="211"/>
      <c r="CC127" s="211"/>
      <c r="CD127" s="211"/>
      <c r="CE127" s="211"/>
    </row>
    <row r="128" spans="1:93" ht="23.25" customHeight="1">
      <c r="A128" s="2516" t="s">
        <v>230</v>
      </c>
      <c r="B128" s="2516"/>
      <c r="C128" s="2528">
        <v>10</v>
      </c>
      <c r="D128" s="2529"/>
      <c r="E128" s="2529"/>
      <c r="F128" s="2529"/>
      <c r="G128" s="2529"/>
      <c r="H128" s="2529"/>
      <c r="I128" s="2529"/>
      <c r="J128" s="2530"/>
      <c r="K128" s="2528">
        <f>C128-Жиробаланс!G126/1000</f>
        <v>1.9876613842430846</v>
      </c>
      <c r="L128" s="2529"/>
      <c r="M128" s="2529"/>
      <c r="N128" s="2529"/>
      <c r="O128" s="2529"/>
      <c r="P128" s="2530"/>
      <c r="Q128" s="2528">
        <v>25</v>
      </c>
      <c r="R128" s="2529"/>
      <c r="S128" s="2529"/>
      <c r="T128" s="2529"/>
      <c r="U128" s="2529"/>
      <c r="V128" s="2530"/>
      <c r="W128" s="2528">
        <f>Q128-Q126-Жиробаланс!M126/1000</f>
        <v>38.863547755878386</v>
      </c>
      <c r="X128" s="2529"/>
      <c r="Y128" s="2529"/>
      <c r="Z128" s="2529"/>
      <c r="AA128" s="2529"/>
      <c r="AB128" s="2530"/>
      <c r="AC128" s="2528">
        <f>W128-W126-Жиробаланс!P126/1000</f>
        <v>33.086390853900092</v>
      </c>
      <c r="AD128" s="2529"/>
      <c r="AE128" s="2529"/>
      <c r="AF128" s="2529"/>
      <c r="AG128" s="2529"/>
      <c r="AH128" s="2530"/>
      <c r="AI128" s="2528">
        <f>AC128-AC126-Жиробаланс!S126/1000</f>
        <v>24.17269497466684</v>
      </c>
      <c r="AJ128" s="2529"/>
      <c r="AK128" s="2529"/>
      <c r="AL128" s="2529"/>
      <c r="AM128" s="2529"/>
      <c r="AN128" s="2530"/>
      <c r="AO128" s="2528">
        <f>AI128-AI126-Жиробаланс!V126/1000</f>
        <v>17.879981333867178</v>
      </c>
      <c r="AP128" s="2529"/>
      <c r="AQ128" s="2529"/>
      <c r="AR128" s="2529"/>
      <c r="AS128" s="2529"/>
      <c r="AT128" s="2530"/>
      <c r="AU128" s="2528">
        <f>AO128-AO126-Жиробаланс!Y126/1000</f>
        <v>19.119473990526071</v>
      </c>
      <c r="AV128" s="2529"/>
      <c r="AW128" s="2529"/>
      <c r="AX128" s="2529"/>
      <c r="AY128" s="2529"/>
      <c r="AZ128" s="2530"/>
      <c r="BA128" s="2528">
        <f>AU128-AU126-Жиробаланс!AB126/1000</f>
        <v>13.927654439640534</v>
      </c>
      <c r="BB128" s="2529"/>
      <c r="BC128" s="2529"/>
      <c r="BD128" s="2529"/>
      <c r="BE128" s="2529"/>
      <c r="BF128" s="2530"/>
      <c r="BG128" s="2544">
        <f>BA128-BA126-Жиробаланс!AE126/1000</f>
        <v>10.504272459121355</v>
      </c>
      <c r="BH128" s="2544"/>
      <c r="BI128" s="2544"/>
      <c r="BJ128" s="2544"/>
      <c r="BK128" s="2544"/>
      <c r="BL128" s="2544"/>
      <c r="BM128" s="2544"/>
      <c r="BN128" s="2548"/>
      <c r="BO128" s="2548"/>
      <c r="BP128" s="2548"/>
      <c r="BQ128" s="2548"/>
      <c r="BR128" s="2548"/>
      <c r="BS128" s="2548"/>
      <c r="BV128" s="211"/>
      <c r="BW128" s="211"/>
      <c r="BX128" s="211"/>
      <c r="BY128" s="211"/>
      <c r="CB128" s="211"/>
      <c r="CC128" s="211"/>
      <c r="CD128" s="211"/>
      <c r="CE128" s="211"/>
    </row>
    <row r="129" spans="1:89" ht="23.25" customHeight="1">
      <c r="A129" s="2517" t="s">
        <v>241</v>
      </c>
      <c r="B129" s="2517"/>
      <c r="C129" s="2525">
        <f>C127+C128</f>
        <v>74</v>
      </c>
      <c r="D129" s="2526"/>
      <c r="E129" s="2526"/>
      <c r="F129" s="2526"/>
      <c r="G129" s="2526"/>
      <c r="H129" s="2526"/>
      <c r="I129" s="2526"/>
      <c r="J129" s="2527"/>
      <c r="K129" s="2525">
        <f>K127+K128</f>
        <v>81.984923557763906</v>
      </c>
      <c r="L129" s="2526"/>
      <c r="M129" s="2526"/>
      <c r="N129" s="2526"/>
      <c r="O129" s="2526"/>
      <c r="P129" s="2527"/>
      <c r="Q129" s="2525">
        <f>Q127+Q128</f>
        <v>117</v>
      </c>
      <c r="R129" s="2526"/>
      <c r="S129" s="2526"/>
      <c r="T129" s="2526"/>
      <c r="U129" s="2526"/>
      <c r="V129" s="2527"/>
      <c r="W129" s="2525">
        <f>W127+W128</f>
        <v>149.5367537284983</v>
      </c>
      <c r="X129" s="2526"/>
      <c r="Y129" s="2526"/>
      <c r="Z129" s="2526"/>
      <c r="AA129" s="2526"/>
      <c r="AB129" s="2527"/>
      <c r="AC129" s="2525">
        <f>AC127+AC128</f>
        <v>156.27809228800288</v>
      </c>
      <c r="AD129" s="2526"/>
      <c r="AE129" s="2526"/>
      <c r="AF129" s="2526"/>
      <c r="AG129" s="2526"/>
      <c r="AH129" s="2527"/>
      <c r="AI129" s="2525">
        <f>AI127+AI128</f>
        <v>143.55369804209784</v>
      </c>
      <c r="AJ129" s="2526"/>
      <c r="AK129" s="2526"/>
      <c r="AL129" s="2526"/>
      <c r="AM129" s="2526"/>
      <c r="AN129" s="2527"/>
      <c r="AO129" s="2525">
        <f>AO127+AO128</f>
        <v>151.77234660993275</v>
      </c>
      <c r="AP129" s="2526"/>
      <c r="AQ129" s="2526"/>
      <c r="AR129" s="2526"/>
      <c r="AS129" s="2526"/>
      <c r="AT129" s="2527"/>
      <c r="AU129" s="2525">
        <f>AU127+AU128</f>
        <v>128.55324408814454</v>
      </c>
      <c r="AV129" s="2526"/>
      <c r="AW129" s="2526"/>
      <c r="AX129" s="2526"/>
      <c r="AY129" s="2526"/>
      <c r="AZ129" s="2527"/>
      <c r="BA129" s="2525">
        <f>BA127+BA128</f>
        <v>123.78987587781144</v>
      </c>
      <c r="BB129" s="2526"/>
      <c r="BC129" s="2526"/>
      <c r="BD129" s="2526"/>
      <c r="BE129" s="2526"/>
      <c r="BF129" s="2527"/>
      <c r="BG129" s="2545">
        <f>BG127+BG128</f>
        <v>73.989622141758929</v>
      </c>
      <c r="BH129" s="2545"/>
      <c r="BI129" s="2545"/>
      <c r="BJ129" s="2545"/>
      <c r="BK129" s="2545"/>
      <c r="BL129" s="2545"/>
      <c r="BM129" s="2545"/>
      <c r="BN129" s="2548"/>
      <c r="BO129" s="2548"/>
      <c r="BP129" s="2548"/>
      <c r="BQ129" s="2548"/>
      <c r="BR129" s="2548"/>
      <c r="BS129" s="2548"/>
      <c r="BV129" s="211"/>
      <c r="BW129" s="211"/>
      <c r="BX129" s="211"/>
      <c r="BY129" s="211"/>
      <c r="CB129" s="211"/>
      <c r="CC129" s="211"/>
      <c r="CD129" s="211"/>
      <c r="CE129" s="211"/>
    </row>
    <row r="134" spans="1:89" ht="22.5" customHeight="1">
      <c r="C134" s="2537">
        <f>C124</f>
        <v>43329</v>
      </c>
      <c r="D134" s="2538"/>
      <c r="E134" s="2538"/>
      <c r="F134" s="2538"/>
      <c r="G134" s="2538"/>
      <c r="H134" s="2538"/>
      <c r="I134" s="2538"/>
      <c r="J134" s="2538"/>
      <c r="K134" s="2537">
        <f>C134+1</f>
        <v>43330</v>
      </c>
      <c r="L134" s="2538"/>
      <c r="M134" s="2538"/>
      <c r="N134" s="2538"/>
      <c r="O134" s="2538"/>
      <c r="P134" s="2538"/>
      <c r="Q134" s="2537">
        <f>K134+1</f>
        <v>43331</v>
      </c>
      <c r="R134" s="2538"/>
      <c r="S134" s="2538"/>
      <c r="T134" s="2538"/>
      <c r="U134" s="2538"/>
      <c r="V134" s="2538"/>
      <c r="W134" s="2537">
        <f>Q134+1</f>
        <v>43332</v>
      </c>
      <c r="X134" s="2538"/>
      <c r="Y134" s="2538"/>
      <c r="Z134" s="2538"/>
      <c r="AA134" s="2538"/>
      <c r="AB134" s="2538"/>
      <c r="AC134" s="2537">
        <f>W134+1</f>
        <v>43333</v>
      </c>
      <c r="AD134" s="2538"/>
      <c r="AE134" s="2538"/>
      <c r="AF134" s="2538"/>
      <c r="AG134" s="2538"/>
      <c r="AH134" s="2538"/>
      <c r="AI134" s="2537">
        <f>AC134+1</f>
        <v>43334</v>
      </c>
      <c r="AJ134" s="2538"/>
      <c r="AK134" s="2538"/>
      <c r="AL134" s="2538"/>
      <c r="AM134" s="2538"/>
      <c r="AN134" s="2538"/>
      <c r="AO134" s="2537">
        <f>AI134+1</f>
        <v>43335</v>
      </c>
      <c r="AP134" s="2538"/>
      <c r="AQ134" s="2538"/>
      <c r="AR134" s="2538"/>
      <c r="AS134" s="2538"/>
      <c r="AT134" s="2538"/>
      <c r="AU134" s="2537">
        <f>AO134+1</f>
        <v>43336</v>
      </c>
      <c r="AV134" s="2538"/>
      <c r="AW134" s="2538"/>
      <c r="AX134" s="2538"/>
      <c r="AY134" s="2538"/>
      <c r="AZ134" s="2538"/>
      <c r="BA134" s="2537">
        <f>AU134+1</f>
        <v>43337</v>
      </c>
      <c r="BB134" s="2538"/>
      <c r="BC134" s="2538"/>
      <c r="BD134" s="2538"/>
      <c r="BE134" s="2538"/>
      <c r="BF134" s="2538"/>
      <c r="BG134" s="2537">
        <f>BA134+1</f>
        <v>43338</v>
      </c>
      <c r="BH134" s="2538"/>
      <c r="BI134" s="2538"/>
      <c r="BJ134" s="2538"/>
      <c r="BK134" s="2538"/>
      <c r="BL134" s="2538"/>
      <c r="BM134" s="2538"/>
      <c r="BN134" s="2551"/>
      <c r="BO134" s="2551"/>
      <c r="BP134" s="2551"/>
      <c r="BQ134" s="2551"/>
      <c r="BR134" s="2551"/>
      <c r="BS134" s="2551"/>
      <c r="BT134" s="2537"/>
      <c r="BU134" s="2538"/>
      <c r="BV134" s="2538"/>
      <c r="BW134" s="2538"/>
      <c r="BX134" s="2538"/>
      <c r="BY134" s="2538"/>
      <c r="BZ134" s="2537"/>
      <c r="CA134" s="2538"/>
      <c r="CB134" s="2538"/>
      <c r="CC134" s="2538"/>
      <c r="CD134" s="2538"/>
      <c r="CE134" s="2538"/>
      <c r="CH134" s="2537"/>
      <c r="CI134" s="2538"/>
      <c r="CJ134" s="2537"/>
      <c r="CK134" s="2538"/>
    </row>
    <row r="135" spans="1:89" ht="26.25" customHeight="1">
      <c r="A135" s="2514" t="s">
        <v>271</v>
      </c>
      <c r="B135" s="2514"/>
      <c r="C135" s="2552">
        <f>(0.5*SUM(D5:D30)/400*2100+0.5*SUM(D32:D59)/330*2100)/1000-(0.5*SUM(E5:E30)/400*2100+0.5*SUM(E32:E59)/330*2100)/1000</f>
        <v>30.882727272727269</v>
      </c>
      <c r="D135" s="2553"/>
      <c r="E135" s="2553"/>
      <c r="F135" s="2553"/>
      <c r="G135" s="2553"/>
      <c r="H135" s="2553"/>
      <c r="I135" s="2553"/>
      <c r="J135" s="2554"/>
      <c r="K135" s="2552">
        <f>-(0.5*SUM(E5:E30)/400*2100+0.5*SUM(E32:E59)/330*2100+0.5*SUM(K5:K30)/400*2100+0.5*SUM(K32:K59)/330*2100)/1000</f>
        <v>55.776326136363636</v>
      </c>
      <c r="L135" s="2553"/>
      <c r="M135" s="2553"/>
      <c r="N135" s="2553"/>
      <c r="O135" s="2553"/>
      <c r="P135" s="2554"/>
      <c r="Q135" s="2552">
        <f>-(0.5*SUM(K5:K30)/400*2100+0.5*SUM(K32:K59)/330*2100+0.5*SUM(Q5:Q30)/400*2100+0.5*SUM(Q32:Q59)/330*2100)/1000</f>
        <v>47.305228409090908</v>
      </c>
      <c r="R135" s="2553"/>
      <c r="S135" s="2553"/>
      <c r="T135" s="2553"/>
      <c r="U135" s="2553"/>
      <c r="V135" s="2554"/>
      <c r="W135" s="2552">
        <f>-(0.5*SUM(Q5:Q30)/400*2100+0.5*SUM(Q32:Q59)/330*2100+0.5*SUM(W5:W30)/400*2100+0.5*SUM(W32:W59)/330*2100)/1000</f>
        <v>45.957084090909092</v>
      </c>
      <c r="X135" s="2553"/>
      <c r="Y135" s="2553"/>
      <c r="Z135" s="2553"/>
      <c r="AA135" s="2553"/>
      <c r="AB135" s="2554"/>
      <c r="AC135" s="2552">
        <f>-(0.5*SUM(W5:W30)/400*2100+0.5*SUM(W32:W59)/330*2100+0.5*SUM(AC5:AC30)/400*2100+0.5*SUM(AC32:AC59)/330*2100)/1000</f>
        <v>55.24634903514535</v>
      </c>
      <c r="AD135" s="2553"/>
      <c r="AE135" s="2553"/>
      <c r="AF135" s="2553"/>
      <c r="AG135" s="2553"/>
      <c r="AH135" s="2554"/>
      <c r="AI135" s="2552">
        <f>-(0.5*SUM(AC5:AC30)/400*2100+0.5*SUM(AC32:AC59)/330*2100+0.5*SUM(AI5:AI30)/400*2100+0.5*SUM(AI32:AI59)/330*2100)/1000</f>
        <v>55.652388807872626</v>
      </c>
      <c r="AJ135" s="2553"/>
      <c r="AK135" s="2553"/>
      <c r="AL135" s="2553"/>
      <c r="AM135" s="2553"/>
      <c r="AN135" s="2554"/>
      <c r="AO135" s="2552">
        <f>-(0.5*SUM(AI5:AI30)/400*2100+0.5*SUM(AI32:AI59)/330*2100+0.5*SUM(AO5:AO30)/400*2100+0.5*SUM(AO32:AO59)/330*2100)/1000</f>
        <v>57.106039772727271</v>
      </c>
      <c r="AP135" s="2553"/>
      <c r="AQ135" s="2553"/>
      <c r="AR135" s="2553"/>
      <c r="AS135" s="2553"/>
      <c r="AT135" s="2554"/>
      <c r="AU135" s="2552">
        <f>-(0.5*SUM(AO5:AO30)/400*2100+0.5*SUM(AO32:AO59)/330*2100+0.5*SUM(AU5:AU30)/400*2100+0.5*SUM(AU32:AU59)/330*2100)/1000</f>
        <v>56.824090909090913</v>
      </c>
      <c r="AV135" s="2553"/>
      <c r="AW135" s="2553"/>
      <c r="AX135" s="2553"/>
      <c r="AY135" s="2553"/>
      <c r="AZ135" s="2554"/>
      <c r="BA135" s="2552">
        <f>-(0.5*SUM(AU5:AU30)/400*2100+0.5*SUM(AU32:AU59)/330*2100+0.5*SUM(BA5:BA30)/400*2100+0.5*SUM(BA32:BA59)/330*2100)/1000</f>
        <v>54.957497159090906</v>
      </c>
      <c r="BB135" s="2553"/>
      <c r="BC135" s="2553"/>
      <c r="BD135" s="2553"/>
      <c r="BE135" s="2553"/>
      <c r="BF135" s="2554"/>
      <c r="BG135" s="2552"/>
      <c r="BH135" s="2553"/>
      <c r="BI135" s="2553"/>
      <c r="BJ135" s="2553"/>
      <c r="BK135" s="2553"/>
      <c r="BL135" s="2553"/>
      <c r="BM135" s="2554"/>
      <c r="BN135" s="2551"/>
      <c r="BO135" s="2551"/>
      <c r="BP135" s="2551"/>
      <c r="BQ135" s="2551"/>
      <c r="BR135" s="2551"/>
      <c r="BS135" s="2551"/>
      <c r="BV135" s="211"/>
      <c r="BW135" s="211"/>
      <c r="BX135" s="211"/>
      <c r="BY135" s="211"/>
      <c r="CB135" s="211"/>
      <c r="CC135" s="211"/>
      <c r="CD135" s="211"/>
      <c r="CE135" s="211"/>
    </row>
    <row r="136" spans="1:89" ht="26.25" customHeight="1">
      <c r="A136" s="2515" t="s">
        <v>272</v>
      </c>
      <c r="B136" s="2515"/>
      <c r="C136" s="2534"/>
      <c r="D136" s="2535"/>
      <c r="E136" s="2535"/>
      <c r="F136" s="2535"/>
      <c r="G136" s="2535"/>
      <c r="H136" s="2535"/>
      <c r="I136" s="2535"/>
      <c r="J136" s="2536"/>
      <c r="K136" s="2534"/>
      <c r="L136" s="2535"/>
      <c r="M136" s="2535"/>
      <c r="N136" s="2535"/>
      <c r="O136" s="2535"/>
      <c r="P136" s="2536"/>
      <c r="Q136" s="2534"/>
      <c r="R136" s="2535"/>
      <c r="S136" s="2535"/>
      <c r="T136" s="2535"/>
      <c r="U136" s="2535"/>
      <c r="V136" s="2536"/>
      <c r="W136" s="2534"/>
      <c r="X136" s="2535"/>
      <c r="Y136" s="2535"/>
      <c r="Z136" s="2535"/>
      <c r="AA136" s="2535"/>
      <c r="AB136" s="2536"/>
      <c r="AC136" s="2534"/>
      <c r="AD136" s="2535"/>
      <c r="AE136" s="2535"/>
      <c r="AF136" s="2535"/>
      <c r="AG136" s="2535"/>
      <c r="AH136" s="2536"/>
      <c r="AI136" s="2534"/>
      <c r="AJ136" s="2535"/>
      <c r="AK136" s="2535"/>
      <c r="AL136" s="2535"/>
      <c r="AM136" s="2535"/>
      <c r="AN136" s="2536"/>
      <c r="AO136" s="2534"/>
      <c r="AP136" s="2535"/>
      <c r="AQ136" s="2535"/>
      <c r="AR136" s="2535"/>
      <c r="AS136" s="2535"/>
      <c r="AT136" s="2536"/>
      <c r="AU136" s="2534"/>
      <c r="AV136" s="2535"/>
      <c r="AW136" s="2535"/>
      <c r="AX136" s="2535"/>
      <c r="AY136" s="2535"/>
      <c r="AZ136" s="2536"/>
      <c r="BA136" s="2534"/>
      <c r="BB136" s="2535"/>
      <c r="BC136" s="2535"/>
      <c r="BD136" s="2535"/>
      <c r="BE136" s="2535"/>
      <c r="BF136" s="2536"/>
      <c r="BG136" s="2534"/>
      <c r="BH136" s="2535"/>
      <c r="BI136" s="2535"/>
      <c r="BJ136" s="2535"/>
      <c r="BK136" s="2535"/>
      <c r="BL136" s="2535"/>
      <c r="BM136" s="2536"/>
      <c r="BN136" s="2548"/>
      <c r="BO136" s="2548"/>
      <c r="BP136" s="2548"/>
      <c r="BQ136" s="2548"/>
      <c r="BR136" s="2548"/>
      <c r="BS136" s="2548"/>
      <c r="BV136" s="211"/>
      <c r="BW136" s="211"/>
      <c r="BX136" s="211"/>
      <c r="BY136" s="211"/>
      <c r="CB136" s="211"/>
      <c r="CC136" s="211"/>
      <c r="CD136" s="211"/>
      <c r="CE136" s="211"/>
    </row>
    <row r="137" spans="1:89" ht="26.25" customHeight="1">
      <c r="A137" s="2517" t="s">
        <v>273</v>
      </c>
      <c r="B137" s="2517"/>
      <c r="C137" s="2525"/>
      <c r="D137" s="2526"/>
      <c r="E137" s="2526"/>
      <c r="F137" s="2526"/>
      <c r="G137" s="2526"/>
      <c r="H137" s="2526"/>
      <c r="I137" s="2526"/>
      <c r="J137" s="2527"/>
      <c r="K137" s="2525">
        <f>C137+C135-C136</f>
        <v>30.882727272727269</v>
      </c>
      <c r="L137" s="2526"/>
      <c r="M137" s="2526"/>
      <c r="N137" s="2526"/>
      <c r="O137" s="2526"/>
      <c r="P137" s="2527"/>
      <c r="Q137" s="2525">
        <f>K137+K135-K136</f>
        <v>86.659053409090902</v>
      </c>
      <c r="R137" s="2526"/>
      <c r="S137" s="2526"/>
      <c r="T137" s="2526"/>
      <c r="U137" s="2526"/>
      <c r="V137" s="2527"/>
      <c r="W137" s="2525">
        <f>Q137+Q135-Q136</f>
        <v>133.9642818181818</v>
      </c>
      <c r="X137" s="2526"/>
      <c r="Y137" s="2526"/>
      <c r="Z137" s="2526"/>
      <c r="AA137" s="2526"/>
      <c r="AB137" s="2527"/>
      <c r="AC137" s="2525">
        <f>W137+W135-W136</f>
        <v>179.92136590909089</v>
      </c>
      <c r="AD137" s="2526"/>
      <c r="AE137" s="2526"/>
      <c r="AF137" s="2526"/>
      <c r="AG137" s="2526"/>
      <c r="AH137" s="2527"/>
      <c r="AI137" s="2525">
        <f>AC137+AC135-AC136</f>
        <v>235.16771494423625</v>
      </c>
      <c r="AJ137" s="2526"/>
      <c r="AK137" s="2526"/>
      <c r="AL137" s="2526"/>
      <c r="AM137" s="2526"/>
      <c r="AN137" s="2527"/>
      <c r="AO137" s="2525">
        <f>AI137+AI135-AI136</f>
        <v>290.82010375210888</v>
      </c>
      <c r="AP137" s="2526"/>
      <c r="AQ137" s="2526"/>
      <c r="AR137" s="2526"/>
      <c r="AS137" s="2526"/>
      <c r="AT137" s="2527"/>
      <c r="AU137" s="2525">
        <f>AO137+AO135-AO136</f>
        <v>347.92614352483616</v>
      </c>
      <c r="AV137" s="2526"/>
      <c r="AW137" s="2526"/>
      <c r="AX137" s="2526"/>
      <c r="AY137" s="2526"/>
      <c r="AZ137" s="2527"/>
      <c r="BA137" s="2525">
        <f>AU137+AU135-AU136</f>
        <v>404.75023443392706</v>
      </c>
      <c r="BB137" s="2526"/>
      <c r="BC137" s="2526"/>
      <c r="BD137" s="2526"/>
      <c r="BE137" s="2526"/>
      <c r="BF137" s="2527"/>
      <c r="BG137" s="2525">
        <f>BA137+BA135-BA136</f>
        <v>459.70773159301797</v>
      </c>
      <c r="BH137" s="2526"/>
      <c r="BI137" s="2526"/>
      <c r="BJ137" s="2526"/>
      <c r="BK137" s="2526"/>
      <c r="BL137" s="2526"/>
      <c r="BM137" s="2527"/>
      <c r="BN137" s="2548"/>
      <c r="BO137" s="2548"/>
      <c r="BP137" s="2548"/>
      <c r="BQ137" s="2548"/>
      <c r="BR137" s="2548"/>
      <c r="BS137" s="2548"/>
      <c r="BV137" s="211"/>
      <c r="BW137" s="211"/>
      <c r="BX137" s="211"/>
      <c r="BY137" s="211"/>
      <c r="CB137" s="211"/>
      <c r="CC137" s="211"/>
      <c r="CD137" s="211"/>
      <c r="CE137" s="211"/>
    </row>
    <row r="138" spans="1:89" ht="23.4">
      <c r="BN138" s="2548"/>
      <c r="BO138" s="2548"/>
      <c r="BP138" s="2548"/>
      <c r="BQ138" s="2548"/>
      <c r="BR138" s="2548"/>
      <c r="BS138" s="2548"/>
    </row>
    <row r="139" spans="1:89" ht="23.4">
      <c r="BN139" s="2551"/>
      <c r="BO139" s="2551"/>
      <c r="BP139" s="2551"/>
      <c r="BQ139" s="2551"/>
      <c r="BR139" s="2551"/>
      <c r="BS139" s="2551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5546875" defaultRowHeight="14.4"/>
  <cols>
    <col min="1" max="1" width="10.44140625" style="209" customWidth="1"/>
    <col min="2" max="2" width="40.44140625" style="209" customWidth="1"/>
    <col min="3" max="4" width="11.5546875" style="209" customWidth="1"/>
    <col min="5" max="5" width="11.5546875" style="211" customWidth="1"/>
    <col min="6" max="6" width="18.44140625" style="209" customWidth="1"/>
    <col min="7" max="7" width="15.5546875" style="209" customWidth="1"/>
    <col min="8" max="8" width="11.5546875" style="211" customWidth="1"/>
    <col min="9" max="10" width="11.5546875" style="209" customWidth="1"/>
    <col min="11" max="11" width="11.5546875" style="211" customWidth="1"/>
    <col min="12" max="13" width="11.5546875" style="209" customWidth="1"/>
    <col min="14" max="14" width="11.5546875" style="211" customWidth="1"/>
    <col min="15" max="16" width="11.5546875" style="209" customWidth="1"/>
    <col min="17" max="17" width="11.5546875" style="211" customWidth="1"/>
    <col min="18" max="19" width="11.5546875" style="209" customWidth="1"/>
    <col min="20" max="20" width="11.5546875" style="211" customWidth="1"/>
    <col min="21" max="22" width="11.5546875" style="209" customWidth="1"/>
    <col min="23" max="23" width="11.5546875" style="211" customWidth="1"/>
    <col min="24" max="25" width="11.5546875" style="209" customWidth="1"/>
    <col min="26" max="26" width="11.5546875" style="211" customWidth="1"/>
    <col min="27" max="28" width="11.5546875" style="209" customWidth="1"/>
    <col min="29" max="29" width="11.5546875" style="211" customWidth="1"/>
    <col min="30" max="31" width="11.5546875" style="209" customWidth="1"/>
    <col min="32" max="32" width="11.5546875" style="211" customWidth="1"/>
    <col min="33" max="34" width="11.5546875" style="209" customWidth="1"/>
    <col min="35" max="35" width="11.5546875" style="211" customWidth="1"/>
    <col min="36" max="36" width="13.44140625" style="209" customWidth="1"/>
    <col min="37" max="37" width="11.5546875" style="209" customWidth="1"/>
    <col min="38" max="38" width="11.5546875" style="211" customWidth="1"/>
    <col min="39" max="39" width="13.44140625" style="209" customWidth="1"/>
    <col min="40" max="40" width="11.5546875" style="209" customWidth="1"/>
    <col min="41" max="41" width="11.5546875" style="211" customWidth="1"/>
    <col min="42" max="42" width="13.44140625" style="209" customWidth="1"/>
    <col min="43" max="43" width="11.5546875" style="209" customWidth="1"/>
    <col min="44" max="16384" width="8.5546875" style="209"/>
  </cols>
  <sheetData>
    <row r="1" spans="1:43" ht="35.1" customHeight="1">
      <c r="B1" s="235" t="s">
        <v>225</v>
      </c>
      <c r="C1" s="235"/>
    </row>
    <row r="2" spans="1:43" ht="17.25" customHeight="1">
      <c r="B2" s="158" t="s">
        <v>226</v>
      </c>
      <c r="C2" s="236">
        <v>3.8</v>
      </c>
    </row>
    <row r="3" spans="1:43" ht="17.25" customHeight="1">
      <c r="B3" s="158" t="s">
        <v>227</v>
      </c>
      <c r="C3" s="236">
        <v>3.3</v>
      </c>
      <c r="E3" s="255">
        <v>4</v>
      </c>
      <c r="H3" s="255">
        <v>10</v>
      </c>
      <c r="K3" s="255">
        <v>16</v>
      </c>
      <c r="N3" s="255">
        <v>22</v>
      </c>
      <c r="Q3" s="255">
        <v>28</v>
      </c>
      <c r="T3" s="255">
        <v>34</v>
      </c>
      <c r="W3" s="255">
        <v>40</v>
      </c>
      <c r="Z3" s="255">
        <v>46</v>
      </c>
      <c r="AC3" s="255">
        <v>52</v>
      </c>
      <c r="AF3" s="255">
        <v>58</v>
      </c>
      <c r="AI3" s="255">
        <v>65</v>
      </c>
      <c r="AL3" s="255">
        <v>71</v>
      </c>
      <c r="AO3" s="255">
        <v>77</v>
      </c>
    </row>
    <row r="4" spans="1:43" ht="17.850000000000001" customHeight="1" thickBot="1">
      <c r="B4" s="222"/>
    </row>
    <row r="5" spans="1:43" ht="24" customHeight="1">
      <c r="A5" s="2521" t="s">
        <v>74</v>
      </c>
      <c r="B5" s="2523" t="s">
        <v>180</v>
      </c>
      <c r="C5" s="237"/>
      <c r="D5" s="237"/>
      <c r="E5" s="2555">
        <f>'недельное планирование'!E3</f>
        <v>43329</v>
      </c>
      <c r="F5" s="2556"/>
      <c r="G5" s="2556"/>
      <c r="H5" s="2555">
        <f>E5+1</f>
        <v>43330</v>
      </c>
      <c r="I5" s="2556"/>
      <c r="J5" s="2556"/>
      <c r="K5" s="2555">
        <f>H5+1</f>
        <v>43331</v>
      </c>
      <c r="L5" s="2556"/>
      <c r="M5" s="2556"/>
      <c r="N5" s="2555">
        <f>K5+1</f>
        <v>43332</v>
      </c>
      <c r="O5" s="2556"/>
      <c r="P5" s="2556"/>
      <c r="Q5" s="2555">
        <f>N5+1</f>
        <v>43333</v>
      </c>
      <c r="R5" s="2556"/>
      <c r="S5" s="2556"/>
      <c r="T5" s="2555">
        <f>Q5+1</f>
        <v>43334</v>
      </c>
      <c r="U5" s="2556"/>
      <c r="V5" s="2556"/>
      <c r="W5" s="2555">
        <f>T5+1</f>
        <v>43335</v>
      </c>
      <c r="X5" s="2556"/>
      <c r="Y5" s="2556"/>
      <c r="Z5" s="2555">
        <f>W5+1</f>
        <v>43336</v>
      </c>
      <c r="AA5" s="2556"/>
      <c r="AB5" s="2556"/>
      <c r="AC5" s="2555">
        <f>Z5+1</f>
        <v>43337</v>
      </c>
      <c r="AD5" s="2556"/>
      <c r="AE5" s="2556"/>
      <c r="AF5" s="2555">
        <f>AC5+1</f>
        <v>43338</v>
      </c>
      <c r="AG5" s="2556"/>
      <c r="AH5" s="2556"/>
      <c r="AI5" s="2555" t="s">
        <v>232</v>
      </c>
      <c r="AJ5" s="2556"/>
      <c r="AK5" s="2556"/>
      <c r="AL5" s="2555" t="s">
        <v>233</v>
      </c>
      <c r="AM5" s="2556"/>
      <c r="AN5" s="2556"/>
      <c r="AO5" s="2555" t="s">
        <v>234</v>
      </c>
      <c r="AP5" s="2556"/>
      <c r="AQ5" s="2556"/>
    </row>
    <row r="6" spans="1:43" ht="24" customHeight="1">
      <c r="A6" s="2522"/>
      <c r="B6" s="2524"/>
      <c r="C6" s="238" t="s">
        <v>235</v>
      </c>
      <c r="D6" s="238" t="s">
        <v>236</v>
      </c>
      <c r="E6" s="214" t="s">
        <v>181</v>
      </c>
      <c r="F6" s="207" t="s">
        <v>223</v>
      </c>
      <c r="G6" s="207" t="s">
        <v>224</v>
      </c>
      <c r="H6" s="214" t="s">
        <v>181</v>
      </c>
      <c r="I6" s="207" t="s">
        <v>223</v>
      </c>
      <c r="J6" s="207" t="s">
        <v>224</v>
      </c>
      <c r="K6" s="214" t="s">
        <v>181</v>
      </c>
      <c r="L6" s="207" t="s">
        <v>223</v>
      </c>
      <c r="M6" s="207" t="s">
        <v>224</v>
      </c>
      <c r="N6" s="214" t="s">
        <v>181</v>
      </c>
      <c r="O6" s="207" t="s">
        <v>223</v>
      </c>
      <c r="P6" s="207" t="s">
        <v>224</v>
      </c>
      <c r="Q6" s="214" t="s">
        <v>181</v>
      </c>
      <c r="R6" s="207" t="s">
        <v>223</v>
      </c>
      <c r="S6" s="207" t="s">
        <v>224</v>
      </c>
      <c r="T6" s="214" t="s">
        <v>181</v>
      </c>
      <c r="U6" s="207" t="s">
        <v>223</v>
      </c>
      <c r="V6" s="207" t="s">
        <v>224</v>
      </c>
      <c r="W6" s="214" t="s">
        <v>181</v>
      </c>
      <c r="X6" s="207" t="s">
        <v>223</v>
      </c>
      <c r="Y6" s="207" t="s">
        <v>224</v>
      </c>
      <c r="Z6" s="214" t="s">
        <v>181</v>
      </c>
      <c r="AA6" s="207" t="s">
        <v>223</v>
      </c>
      <c r="AB6" s="207" t="s">
        <v>224</v>
      </c>
      <c r="AC6" s="214" t="s">
        <v>181</v>
      </c>
      <c r="AD6" s="207" t="s">
        <v>223</v>
      </c>
      <c r="AE6" s="207" t="s">
        <v>224</v>
      </c>
      <c r="AF6" s="214" t="s">
        <v>181</v>
      </c>
      <c r="AG6" s="207" t="s">
        <v>223</v>
      </c>
      <c r="AH6" s="207" t="s">
        <v>224</v>
      </c>
      <c r="AI6" s="214" t="s">
        <v>181</v>
      </c>
      <c r="AJ6" s="207" t="s">
        <v>223</v>
      </c>
      <c r="AK6" s="207" t="s">
        <v>224</v>
      </c>
      <c r="AL6" s="214" t="s">
        <v>181</v>
      </c>
      <c r="AM6" s="207" t="s">
        <v>223</v>
      </c>
      <c r="AN6" s="207" t="s">
        <v>224</v>
      </c>
      <c r="AO6" s="214" t="s">
        <v>181</v>
      </c>
      <c r="AP6" s="207" t="s">
        <v>223</v>
      </c>
      <c r="AQ6" s="207" t="s">
        <v>224</v>
      </c>
    </row>
    <row r="7" spans="1:43" ht="24" customHeight="1">
      <c r="A7" s="162" t="s">
        <v>19</v>
      </c>
      <c r="B7" s="231" t="s">
        <v>171</v>
      </c>
      <c r="C7" s="239">
        <v>3.6</v>
      </c>
      <c r="D7" s="239">
        <v>543</v>
      </c>
      <c r="E7" s="216">
        <f>-VLOOKUP($B7,'недельное планирование'!$B:$CA,E$3,FALSE)</f>
        <v>0</v>
      </c>
      <c r="F7" s="162">
        <f t="shared" ref="F7:F19" si="0">$D7*100/($C7+$C$3)*E7/1000*$C7/$C$2</f>
        <v>0</v>
      </c>
      <c r="G7" s="212">
        <f t="shared" ref="G7:G19" si="1">$D7*100/($C7+$C$3)*E7/1000-F7</f>
        <v>0</v>
      </c>
      <c r="H7" s="216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2">
        <f t="shared" ref="J7:J19" si="3">$D7*100/($C7+$C$3)*H7/1000-I7</f>
        <v>91.121281464530966</v>
      </c>
      <c r="K7" s="216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2">
        <f t="shared" ref="M7:M19" si="5">$D7*100/($C7+$C$3)*K7/1000-L7</f>
        <v>72.897025171624819</v>
      </c>
      <c r="N7" s="216">
        <f>-VLOOKUP($B7,'недельное планирование'!$B:$CA,N$3,FALSE)</f>
        <v>0</v>
      </c>
      <c r="O7" s="162">
        <f t="shared" ref="O7:O19" si="6">$D7*100/($C7+$C$3)*N7/1000*$C7/$C$2</f>
        <v>0</v>
      </c>
      <c r="P7" s="212">
        <f t="shared" ref="P7:P19" si="7">$D7*100/($C7+$C$3)*N7/1000-O7</f>
        <v>0</v>
      </c>
      <c r="Q7" s="216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2">
        <f t="shared" ref="S7:S19" si="9">$D7*100/($C7+$C$3)*Q7/1000-R7</f>
        <v>88.912280701754298</v>
      </c>
      <c r="T7" s="216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2">
        <f t="shared" ref="V7:V19" si="11">$D7*100/($C7+$C$3)*T7/1000-U7</f>
        <v>63.85392829900843</v>
      </c>
      <c r="W7" s="216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2">
        <f t="shared" ref="Y7:Y19" si="13">$D7*100/($C7+$C$3)*W7/1000-X7</f>
        <v>0</v>
      </c>
      <c r="Z7" s="216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2">
        <f t="shared" ref="AB7:AB19" si="15">$D7*100/($C7+$C$3)*Z7/1000-AA7</f>
        <v>0</v>
      </c>
      <c r="AC7" s="216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2">
        <f t="shared" ref="AE7:AE19" si="17">$D7*100/($C7+$C$3)*AC7/1000-AD7</f>
        <v>123.84210526315746</v>
      </c>
      <c r="AF7" s="216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2">
        <f t="shared" ref="AH7:AH19" si="19">$D7*100/($C7+$C$3)*AF7/1000-AG7</f>
        <v>0</v>
      </c>
      <c r="AI7" s="216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2" t="e">
        <f t="shared" ref="AK7:AK19" si="21">$D7*100/($C7+$C$3)*AI7/1000-AJ7</f>
        <v>#N/A</v>
      </c>
      <c r="AL7" s="216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2" t="e">
        <f t="shared" ref="AN7:AN19" si="23">$D7*100/($C7+$C$3)*AL7/1000-AM7</f>
        <v>#N/A</v>
      </c>
      <c r="AO7" s="216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2" t="e">
        <f t="shared" ref="AQ7:AQ19" si="25">$D7*100/($C7+$C$3)*AO7/1000-AP7</f>
        <v>#N/A</v>
      </c>
    </row>
    <row r="8" spans="1:43" ht="24" customHeight="1">
      <c r="A8" s="162" t="s">
        <v>19</v>
      </c>
      <c r="B8" s="231" t="s">
        <v>150</v>
      </c>
      <c r="C8" s="239">
        <v>3.6</v>
      </c>
      <c r="D8" s="239">
        <v>543</v>
      </c>
      <c r="E8" s="216">
        <f>-VLOOKUP($B8,'недельное планирование'!$B:$CA,E$3,FALSE)</f>
        <v>0</v>
      </c>
      <c r="F8" s="162">
        <f t="shared" si="0"/>
        <v>0</v>
      </c>
      <c r="G8" s="212">
        <f t="shared" si="1"/>
        <v>0</v>
      </c>
      <c r="H8" s="216">
        <f>-VLOOKUP($B8,'недельное планирование'!$B:$CA,H$3,FALSE)</f>
        <v>384</v>
      </c>
      <c r="I8" s="162">
        <f t="shared" si="2"/>
        <v>2862.8649885583523</v>
      </c>
      <c r="J8" s="212">
        <f t="shared" si="3"/>
        <v>159.04805491990828</v>
      </c>
      <c r="K8" s="216">
        <f>-VLOOKUP($B8,'недельное планирование'!$B:$CA,K$3,FALSE)</f>
        <v>0</v>
      </c>
      <c r="L8" s="162">
        <f t="shared" si="4"/>
        <v>0</v>
      </c>
      <c r="M8" s="212">
        <f t="shared" si="5"/>
        <v>0</v>
      </c>
      <c r="N8" s="216">
        <f>-VLOOKUP($B8,'недельное планирование'!$B:$CA,N$3,FALSE)</f>
        <v>0</v>
      </c>
      <c r="O8" s="162">
        <f t="shared" si="6"/>
        <v>0</v>
      </c>
      <c r="P8" s="212">
        <f t="shared" si="7"/>
        <v>0</v>
      </c>
      <c r="Q8" s="216">
        <f>-VLOOKUP($B8,'недельное планирование'!$B:$CA,Q$3,FALSE)</f>
        <v>4454</v>
      </c>
      <c r="R8" s="162">
        <f t="shared" si="8"/>
        <v>33206.251716247134</v>
      </c>
      <c r="S8" s="212">
        <f t="shared" si="9"/>
        <v>1844.7917620137305</v>
      </c>
      <c r="T8" s="216">
        <f>-VLOOKUP($B8,'недельное планирование'!$B:$CA,T$3,FALSE)</f>
        <v>132</v>
      </c>
      <c r="U8" s="162">
        <f t="shared" si="10"/>
        <v>984.10983981693346</v>
      </c>
      <c r="V8" s="212">
        <f t="shared" si="11"/>
        <v>54.672768878718557</v>
      </c>
      <c r="W8" s="216">
        <f>-VLOOKUP($B8,'недельное планирование'!$B:$CA,W$3,FALSE)</f>
        <v>0</v>
      </c>
      <c r="X8" s="162">
        <f t="shared" si="12"/>
        <v>0</v>
      </c>
      <c r="Y8" s="212">
        <f t="shared" si="13"/>
        <v>0</v>
      </c>
      <c r="Z8" s="216">
        <f>-VLOOKUP($B8,'недельное планирование'!$B:$CA,Z$3,FALSE)</f>
        <v>0</v>
      </c>
      <c r="AA8" s="162">
        <f t="shared" si="14"/>
        <v>0</v>
      </c>
      <c r="AB8" s="212">
        <f t="shared" si="15"/>
        <v>0</v>
      </c>
      <c r="AC8" s="216">
        <f>-VLOOKUP($B8,'недельное планирование'!$B:$CA,AC$3,FALSE)</f>
        <v>1679.8333333333333</v>
      </c>
      <c r="AD8" s="162">
        <f t="shared" si="16"/>
        <v>12523.79176201373</v>
      </c>
      <c r="AE8" s="212">
        <f t="shared" si="17"/>
        <v>695.76620900076159</v>
      </c>
      <c r="AF8" s="216">
        <f>-VLOOKUP($B8,'недельное планирование'!$B:$CA,AF$3,FALSE)</f>
        <v>0</v>
      </c>
      <c r="AG8" s="162">
        <f t="shared" si="18"/>
        <v>0</v>
      </c>
      <c r="AH8" s="212">
        <f t="shared" si="19"/>
        <v>0</v>
      </c>
      <c r="AI8" s="216" t="e">
        <f>-VLOOKUP($B8,'недельное планирование'!$B:$CA,AI$3,FALSE)</f>
        <v>#N/A</v>
      </c>
      <c r="AJ8" s="162" t="e">
        <f t="shared" si="20"/>
        <v>#N/A</v>
      </c>
      <c r="AK8" s="212" t="e">
        <f t="shared" si="21"/>
        <v>#N/A</v>
      </c>
      <c r="AL8" s="216" t="e">
        <f>-VLOOKUP($B8,'недельное планирование'!$B:$CA,AL$3,FALSE)</f>
        <v>#N/A</v>
      </c>
      <c r="AM8" s="162" t="e">
        <f t="shared" si="22"/>
        <v>#N/A</v>
      </c>
      <c r="AN8" s="212" t="e">
        <f t="shared" si="23"/>
        <v>#N/A</v>
      </c>
      <c r="AO8" s="216" t="e">
        <f>-VLOOKUP($B8,'недельное планирование'!$B:$CA,AO$3,FALSE)</f>
        <v>#N/A</v>
      </c>
      <c r="AP8" s="162" t="e">
        <f t="shared" si="24"/>
        <v>#N/A</v>
      </c>
      <c r="AQ8" s="212" t="e">
        <f t="shared" si="25"/>
        <v>#N/A</v>
      </c>
    </row>
    <row r="9" spans="1:43" ht="24" customHeight="1">
      <c r="A9" s="162" t="s">
        <v>20</v>
      </c>
      <c r="B9" s="231" t="s">
        <v>170</v>
      </c>
      <c r="C9" s="239">
        <v>3.3</v>
      </c>
      <c r="D9" s="239">
        <v>528</v>
      </c>
      <c r="E9" s="216">
        <f>-VLOOKUP($B9,'недельное планирование'!$B:$CA,E$3,FALSE)</f>
        <v>0</v>
      </c>
      <c r="F9" s="162">
        <f t="shared" si="0"/>
        <v>0</v>
      </c>
      <c r="G9" s="212">
        <f t="shared" si="1"/>
        <v>0</v>
      </c>
      <c r="H9" s="216">
        <f>-VLOOKUP($B9,'недельное планирование'!$B:$CA,H$3,FALSE)</f>
        <v>0</v>
      </c>
      <c r="I9" s="162">
        <f t="shared" si="2"/>
        <v>0</v>
      </c>
      <c r="J9" s="212">
        <f t="shared" si="3"/>
        <v>0</v>
      </c>
      <c r="K9" s="216">
        <f>-VLOOKUP($B9,'недельное планирование'!$B:$CA,K$3,FALSE)</f>
        <v>84</v>
      </c>
      <c r="L9" s="162">
        <f t="shared" si="4"/>
        <v>583.57894736842104</v>
      </c>
      <c r="M9" s="212">
        <f t="shared" si="5"/>
        <v>88.421052631578959</v>
      </c>
      <c r="N9" s="216">
        <f>-VLOOKUP($B9,'недельное планирование'!$B:$CA,N$3,FALSE)</f>
        <v>0</v>
      </c>
      <c r="O9" s="162">
        <f t="shared" si="6"/>
        <v>0</v>
      </c>
      <c r="P9" s="212">
        <f t="shared" si="7"/>
        <v>0</v>
      </c>
      <c r="Q9" s="216">
        <f>-VLOOKUP($B9,'недельное планирование'!$B:$CA,Q$3,FALSE)</f>
        <v>86.666666666666671</v>
      </c>
      <c r="R9" s="162">
        <f t="shared" si="8"/>
        <v>602.1052631578948</v>
      </c>
      <c r="S9" s="212">
        <f t="shared" si="9"/>
        <v>91.228070175438575</v>
      </c>
      <c r="T9" s="216">
        <f>-VLOOKUP($B9,'недельное планирование'!$B:$CA,T$3,FALSE)</f>
        <v>59</v>
      </c>
      <c r="U9" s="162">
        <f t="shared" si="10"/>
        <v>409.89473684210526</v>
      </c>
      <c r="V9" s="212">
        <f t="shared" si="11"/>
        <v>62.10526315789474</v>
      </c>
      <c r="W9" s="216">
        <f>-VLOOKUP($B9,'недельное планирование'!$B:$CA,W$3,FALSE)</f>
        <v>0</v>
      </c>
      <c r="X9" s="162">
        <f t="shared" si="12"/>
        <v>0</v>
      </c>
      <c r="Y9" s="212">
        <f t="shared" si="13"/>
        <v>0</v>
      </c>
      <c r="Z9" s="216">
        <f>-VLOOKUP($B9,'недельное планирование'!$B:$CA,Z$3,FALSE)</f>
        <v>0</v>
      </c>
      <c r="AA9" s="162">
        <f t="shared" si="14"/>
        <v>0</v>
      </c>
      <c r="AB9" s="212">
        <f t="shared" si="15"/>
        <v>0</v>
      </c>
      <c r="AC9" s="216">
        <f>-VLOOKUP($B9,'недельное планирование'!$B:$CA,AC$3,FALSE)</f>
        <v>17.999999999999986</v>
      </c>
      <c r="AD9" s="162">
        <f t="shared" si="16"/>
        <v>125.05263157894727</v>
      </c>
      <c r="AE9" s="212">
        <f t="shared" si="17"/>
        <v>18.947368421052616</v>
      </c>
      <c r="AF9" s="216">
        <f>-VLOOKUP($B9,'недельное планирование'!$B:$CA,AF$3,FALSE)</f>
        <v>0</v>
      </c>
      <c r="AG9" s="162">
        <f t="shared" si="18"/>
        <v>0</v>
      </c>
      <c r="AH9" s="212">
        <f t="shared" si="19"/>
        <v>0</v>
      </c>
      <c r="AI9" s="216" t="e">
        <f>-VLOOKUP($B9,'недельное планирование'!$B:$CA,AI$3,FALSE)</f>
        <v>#N/A</v>
      </c>
      <c r="AJ9" s="162" t="e">
        <f t="shared" si="20"/>
        <v>#N/A</v>
      </c>
      <c r="AK9" s="212" t="e">
        <f t="shared" si="21"/>
        <v>#N/A</v>
      </c>
      <c r="AL9" s="216" t="e">
        <f>-VLOOKUP($B9,'недельное планирование'!$B:$CA,AL$3,FALSE)</f>
        <v>#N/A</v>
      </c>
      <c r="AM9" s="162" t="e">
        <f t="shared" si="22"/>
        <v>#N/A</v>
      </c>
      <c r="AN9" s="212" t="e">
        <f t="shared" si="23"/>
        <v>#N/A</v>
      </c>
      <c r="AO9" s="216" t="e">
        <f>-VLOOKUP($B9,'недельное планирование'!$B:$CA,AO$3,FALSE)</f>
        <v>#N/A</v>
      </c>
      <c r="AP9" s="162" t="e">
        <f t="shared" si="24"/>
        <v>#N/A</v>
      </c>
      <c r="AQ9" s="212" t="e">
        <f t="shared" si="25"/>
        <v>#N/A</v>
      </c>
    </row>
    <row r="10" spans="1:43" ht="24" customHeight="1">
      <c r="A10" s="162" t="s">
        <v>20</v>
      </c>
      <c r="B10" s="231" t="s">
        <v>123</v>
      </c>
      <c r="C10" s="239">
        <v>3.3</v>
      </c>
      <c r="D10" s="239">
        <v>528</v>
      </c>
      <c r="E10" s="216">
        <f>-VLOOKUP($B10,'недельное планирование'!$B:$CA,E$3,FALSE)</f>
        <v>0</v>
      </c>
      <c r="F10" s="162">
        <f t="shared" si="0"/>
        <v>0</v>
      </c>
      <c r="G10" s="212">
        <f t="shared" si="1"/>
        <v>0</v>
      </c>
      <c r="H10" s="216">
        <f>-VLOOKUP($B10,'недельное планирование'!$B:$CA,H$3,FALSE)</f>
        <v>222</v>
      </c>
      <c r="I10" s="162">
        <f t="shared" si="2"/>
        <v>1542.3157894736842</v>
      </c>
      <c r="J10" s="212">
        <f t="shared" si="3"/>
        <v>233.68421052631584</v>
      </c>
      <c r="K10" s="216">
        <f>-VLOOKUP($B10,'недельное планирование'!$B:$CA,K$3,FALSE)</f>
        <v>392</v>
      </c>
      <c r="L10" s="162">
        <f t="shared" si="4"/>
        <v>2723.3684210526317</v>
      </c>
      <c r="M10" s="212">
        <f t="shared" si="5"/>
        <v>412.63157894736833</v>
      </c>
      <c r="N10" s="216">
        <f>-VLOOKUP($B10,'недельное планирование'!$B:$CA,N$3,FALSE)</f>
        <v>0</v>
      </c>
      <c r="O10" s="162">
        <f t="shared" si="6"/>
        <v>0</v>
      </c>
      <c r="P10" s="212">
        <f t="shared" si="7"/>
        <v>0</v>
      </c>
      <c r="Q10" s="216">
        <f>-VLOOKUP($B10,'недельное планирование'!$B:$CA,Q$3,FALSE)</f>
        <v>320.83333333333331</v>
      </c>
      <c r="R10" s="162">
        <f t="shared" si="8"/>
        <v>2228.947368421052</v>
      </c>
      <c r="S10" s="212">
        <f t="shared" si="9"/>
        <v>337.71929824561448</v>
      </c>
      <c r="T10" s="216">
        <f>-VLOOKUP($B10,'недельное планирование'!$B:$CA,T$3,FALSE)</f>
        <v>312.16666666666669</v>
      </c>
      <c r="U10" s="162">
        <f t="shared" si="10"/>
        <v>2168.7368421052633</v>
      </c>
      <c r="V10" s="212">
        <f t="shared" si="11"/>
        <v>328.59649122807014</v>
      </c>
      <c r="W10" s="216">
        <f>-VLOOKUP($B10,'недельное планирование'!$B:$CA,W$3,FALSE)</f>
        <v>0</v>
      </c>
      <c r="X10" s="162">
        <f t="shared" si="12"/>
        <v>0</v>
      </c>
      <c r="Y10" s="212">
        <f t="shared" si="13"/>
        <v>0</v>
      </c>
      <c r="Z10" s="216">
        <f>-VLOOKUP($B10,'недельное планирование'!$B:$CA,Z$3,FALSE)</f>
        <v>0</v>
      </c>
      <c r="AA10" s="162">
        <f t="shared" si="14"/>
        <v>0</v>
      </c>
      <c r="AB10" s="212">
        <f t="shared" si="15"/>
        <v>0</v>
      </c>
      <c r="AC10" s="216">
        <f>-VLOOKUP($B10,'недельное планирование'!$B:$CA,AC$3,FALSE)</f>
        <v>321</v>
      </c>
      <c r="AD10" s="162">
        <f t="shared" si="16"/>
        <v>2230.1052631578946</v>
      </c>
      <c r="AE10" s="212">
        <f t="shared" si="17"/>
        <v>337.89473684210543</v>
      </c>
      <c r="AF10" s="216">
        <f>-VLOOKUP($B10,'недельное планирование'!$B:$CA,AF$3,FALSE)</f>
        <v>0</v>
      </c>
      <c r="AG10" s="162">
        <f t="shared" si="18"/>
        <v>0</v>
      </c>
      <c r="AH10" s="212">
        <f t="shared" si="19"/>
        <v>0</v>
      </c>
      <c r="AI10" s="216" t="e">
        <f>-VLOOKUP($B10,'недельное планирование'!$B:$CA,AI$3,FALSE)</f>
        <v>#N/A</v>
      </c>
      <c r="AJ10" s="162" t="e">
        <f t="shared" si="20"/>
        <v>#N/A</v>
      </c>
      <c r="AK10" s="212" t="e">
        <f t="shared" si="21"/>
        <v>#N/A</v>
      </c>
      <c r="AL10" s="216" t="e">
        <f>-VLOOKUP($B10,'недельное планирование'!$B:$CA,AL$3,FALSE)</f>
        <v>#N/A</v>
      </c>
      <c r="AM10" s="162" t="e">
        <f t="shared" si="22"/>
        <v>#N/A</v>
      </c>
      <c r="AN10" s="212" t="e">
        <f t="shared" si="23"/>
        <v>#N/A</v>
      </c>
      <c r="AO10" s="216" t="e">
        <f>-VLOOKUP($B10,'недельное планирование'!$B:$CA,AO$3,FALSE)</f>
        <v>#N/A</v>
      </c>
      <c r="AP10" s="162" t="e">
        <f t="shared" si="24"/>
        <v>#N/A</v>
      </c>
      <c r="AQ10" s="212" t="e">
        <f t="shared" si="25"/>
        <v>#N/A</v>
      </c>
    </row>
    <row r="11" spans="1:43" ht="24" customHeight="1">
      <c r="A11" s="162" t="s">
        <v>20</v>
      </c>
      <c r="B11" s="231" t="s">
        <v>158</v>
      </c>
      <c r="C11" s="239">
        <v>3.3</v>
      </c>
      <c r="D11" s="239">
        <v>528</v>
      </c>
      <c r="E11" s="216">
        <f>-VLOOKUP($B11,'недельное планирование'!$B:$CA,E$3,FALSE)</f>
        <v>0</v>
      </c>
      <c r="F11" s="162">
        <f t="shared" si="0"/>
        <v>0</v>
      </c>
      <c r="G11" s="212">
        <f t="shared" si="1"/>
        <v>0</v>
      </c>
      <c r="H11" s="216">
        <f>-VLOOKUP($B11,'недельное планирование'!$B:$CA,H$3,FALSE)</f>
        <v>964.80000000000007</v>
      </c>
      <c r="I11" s="162">
        <f t="shared" si="2"/>
        <v>6702.8210526315797</v>
      </c>
      <c r="J11" s="212">
        <f t="shared" si="3"/>
        <v>1015.5789473684208</v>
      </c>
      <c r="K11" s="216">
        <f>-VLOOKUP($B11,'недельное планирование'!$B:$CA,K$3,FALSE)</f>
        <v>548</v>
      </c>
      <c r="L11" s="162">
        <f t="shared" si="4"/>
        <v>3807.1578947368421</v>
      </c>
      <c r="M11" s="212">
        <f t="shared" si="5"/>
        <v>576.84210526315792</v>
      </c>
      <c r="N11" s="216">
        <f>-VLOOKUP($B11,'недельное планирование'!$B:$CA,N$3,FALSE)</f>
        <v>0</v>
      </c>
      <c r="O11" s="162">
        <f t="shared" si="6"/>
        <v>0</v>
      </c>
      <c r="P11" s="212">
        <f t="shared" si="7"/>
        <v>0</v>
      </c>
      <c r="Q11" s="216">
        <f>-VLOOKUP($B11,'недельное планирование'!$B:$CA,Q$3,FALSE)</f>
        <v>242.99999999999994</v>
      </c>
      <c r="R11" s="162">
        <f t="shared" si="8"/>
        <v>1688.2105263157891</v>
      </c>
      <c r="S11" s="212">
        <f t="shared" si="9"/>
        <v>255.78947368421041</v>
      </c>
      <c r="T11" s="216">
        <f>-VLOOKUP($B11,'недельное планирование'!$B:$CA,T$3,FALSE)</f>
        <v>577.66666666666674</v>
      </c>
      <c r="U11" s="162">
        <f t="shared" si="10"/>
        <v>4013.2631578947376</v>
      </c>
      <c r="V11" s="212">
        <f t="shared" si="11"/>
        <v>608.07017543859638</v>
      </c>
      <c r="W11" s="216">
        <f>-VLOOKUP($B11,'недельное планирование'!$B:$CA,W$3,FALSE)</f>
        <v>0</v>
      </c>
      <c r="X11" s="162">
        <f t="shared" si="12"/>
        <v>0</v>
      </c>
      <c r="Y11" s="212">
        <f t="shared" si="13"/>
        <v>0</v>
      </c>
      <c r="Z11" s="216">
        <f>-VLOOKUP($B11,'недельное планирование'!$B:$CA,Z$3,FALSE)</f>
        <v>0</v>
      </c>
      <c r="AA11" s="162">
        <f t="shared" si="14"/>
        <v>0</v>
      </c>
      <c r="AB11" s="212">
        <f t="shared" si="15"/>
        <v>0</v>
      </c>
      <c r="AC11" s="216">
        <f>-VLOOKUP($B11,'недельное планирование'!$B:$CA,AC$3,FALSE)</f>
        <v>678</v>
      </c>
      <c r="AD11" s="162">
        <f t="shared" si="16"/>
        <v>4710.3157894736851</v>
      </c>
      <c r="AE11" s="212">
        <f t="shared" si="17"/>
        <v>713.68421052631493</v>
      </c>
      <c r="AF11" s="216">
        <f>-VLOOKUP($B11,'недельное планирование'!$B:$CA,AF$3,FALSE)</f>
        <v>0</v>
      </c>
      <c r="AG11" s="162">
        <f t="shared" si="18"/>
        <v>0</v>
      </c>
      <c r="AH11" s="212">
        <f t="shared" si="19"/>
        <v>0</v>
      </c>
      <c r="AI11" s="216" t="e">
        <f>-VLOOKUP($B11,'недельное планирование'!$B:$CA,AI$3,FALSE)</f>
        <v>#N/A</v>
      </c>
      <c r="AJ11" s="162" t="e">
        <f t="shared" si="20"/>
        <v>#N/A</v>
      </c>
      <c r="AK11" s="212" t="e">
        <f t="shared" si="21"/>
        <v>#N/A</v>
      </c>
      <c r="AL11" s="216" t="e">
        <f>-VLOOKUP($B11,'недельное планирование'!$B:$CA,AL$3,FALSE)</f>
        <v>#N/A</v>
      </c>
      <c r="AM11" s="162" t="e">
        <f t="shared" si="22"/>
        <v>#N/A</v>
      </c>
      <c r="AN11" s="212" t="e">
        <f t="shared" si="23"/>
        <v>#N/A</v>
      </c>
      <c r="AO11" s="216" t="e">
        <f>-VLOOKUP($B11,'недельное планирование'!$B:$CA,AO$3,FALSE)</f>
        <v>#N/A</v>
      </c>
      <c r="AP11" s="162" t="e">
        <f t="shared" si="24"/>
        <v>#N/A</v>
      </c>
      <c r="AQ11" s="212" t="e">
        <f t="shared" si="25"/>
        <v>#N/A</v>
      </c>
    </row>
    <row r="12" spans="1:43" ht="24" customHeight="1">
      <c r="A12" s="162" t="s">
        <v>19</v>
      </c>
      <c r="B12" s="231" t="s">
        <v>112</v>
      </c>
      <c r="C12" s="239">
        <v>3.6</v>
      </c>
      <c r="D12" s="239">
        <v>543</v>
      </c>
      <c r="E12" s="216">
        <f>-VLOOKUP($B12,'недельное планирование'!$B:$CA,E$3,FALSE)</f>
        <v>0</v>
      </c>
      <c r="F12" s="162">
        <f t="shared" si="0"/>
        <v>0</v>
      </c>
      <c r="G12" s="212">
        <f t="shared" si="1"/>
        <v>0</v>
      </c>
      <c r="H12" s="216">
        <f>-VLOOKUP($B12,'недельное планирование'!$B:$CA,H$3,FALSE)</f>
        <v>3</v>
      </c>
      <c r="I12" s="162">
        <f t="shared" si="2"/>
        <v>22.366132723112127</v>
      </c>
      <c r="J12" s="212">
        <f t="shared" si="3"/>
        <v>1.2425629290617834</v>
      </c>
      <c r="K12" s="216">
        <f>-VLOOKUP($B12,'недельное планирование'!$B:$CA,K$3,FALSE)</f>
        <v>0</v>
      </c>
      <c r="L12" s="162">
        <f t="shared" si="4"/>
        <v>0</v>
      </c>
      <c r="M12" s="212">
        <f t="shared" si="5"/>
        <v>0</v>
      </c>
      <c r="N12" s="216">
        <f>-VLOOKUP($B12,'недельное планирование'!$B:$CA,N$3,FALSE)</f>
        <v>0</v>
      </c>
      <c r="O12" s="162">
        <f t="shared" si="6"/>
        <v>0</v>
      </c>
      <c r="P12" s="212">
        <f t="shared" si="7"/>
        <v>0</v>
      </c>
      <c r="Q12" s="216">
        <f>-VLOOKUP($B12,'недельное планирование'!$B:$CA,Q$3,FALSE)</f>
        <v>5.666666666666667</v>
      </c>
      <c r="R12" s="162">
        <f t="shared" si="8"/>
        <v>42.247139588100687</v>
      </c>
      <c r="S12" s="212">
        <f t="shared" si="9"/>
        <v>2.3470633104500394</v>
      </c>
      <c r="T12" s="216">
        <f>-VLOOKUP($B12,'недельное планирование'!$B:$CA,T$3,FALSE)</f>
        <v>0</v>
      </c>
      <c r="U12" s="162">
        <f t="shared" si="10"/>
        <v>0</v>
      </c>
      <c r="V12" s="212">
        <f t="shared" si="11"/>
        <v>0</v>
      </c>
      <c r="W12" s="216">
        <f>-VLOOKUP($B12,'недельное планирование'!$B:$CA,W$3,FALSE)</f>
        <v>0</v>
      </c>
      <c r="X12" s="162">
        <f t="shared" si="12"/>
        <v>0</v>
      </c>
      <c r="Y12" s="212">
        <f t="shared" si="13"/>
        <v>0</v>
      </c>
      <c r="Z12" s="216">
        <f>-VLOOKUP($B12,'недельное планирование'!$B:$CA,Z$3,FALSE)</f>
        <v>0</v>
      </c>
      <c r="AA12" s="162">
        <f t="shared" si="14"/>
        <v>0</v>
      </c>
      <c r="AB12" s="212">
        <f t="shared" si="15"/>
        <v>0</v>
      </c>
      <c r="AC12" s="216">
        <f>-VLOOKUP($B12,'недельное планирование'!$B:$CA,AC$3,FALSE)</f>
        <v>5</v>
      </c>
      <c r="AD12" s="162">
        <f t="shared" si="16"/>
        <v>37.276887871853553</v>
      </c>
      <c r="AE12" s="212">
        <f t="shared" si="17"/>
        <v>2.07093821510297</v>
      </c>
      <c r="AF12" s="216">
        <f>-VLOOKUP($B12,'недельное планирование'!$B:$CA,AF$3,FALSE)</f>
        <v>0</v>
      </c>
      <c r="AG12" s="162">
        <f t="shared" si="18"/>
        <v>0</v>
      </c>
      <c r="AH12" s="212">
        <f t="shared" si="19"/>
        <v>0</v>
      </c>
      <c r="AI12" s="216" t="e">
        <f>-VLOOKUP($B12,'недельное планирование'!$B:$CA,AI$3,FALSE)</f>
        <v>#N/A</v>
      </c>
      <c r="AJ12" s="162" t="e">
        <f t="shared" si="20"/>
        <v>#N/A</v>
      </c>
      <c r="AK12" s="212" t="e">
        <f t="shared" si="21"/>
        <v>#N/A</v>
      </c>
      <c r="AL12" s="216" t="e">
        <f>-VLOOKUP($B12,'недельное планирование'!$B:$CA,AL$3,FALSE)</f>
        <v>#N/A</v>
      </c>
      <c r="AM12" s="162" t="e">
        <f t="shared" si="22"/>
        <v>#N/A</v>
      </c>
      <c r="AN12" s="212" t="e">
        <f t="shared" si="23"/>
        <v>#N/A</v>
      </c>
      <c r="AO12" s="216" t="e">
        <f>-VLOOKUP($B12,'недельное планирование'!$B:$CA,AO$3,FALSE)</f>
        <v>#N/A</v>
      </c>
      <c r="AP12" s="162" t="e">
        <f t="shared" si="24"/>
        <v>#N/A</v>
      </c>
      <c r="AQ12" s="212" t="e">
        <f t="shared" si="25"/>
        <v>#N/A</v>
      </c>
    </row>
    <row r="13" spans="1:43" ht="24" customHeight="1">
      <c r="A13" s="162" t="s">
        <v>58</v>
      </c>
      <c r="B13" s="231" t="s">
        <v>97</v>
      </c>
      <c r="C13" s="239">
        <v>3.6</v>
      </c>
      <c r="D13" s="239">
        <v>543</v>
      </c>
      <c r="E13" s="216">
        <f>-VLOOKUP($B13,'недельное планирование'!$B:$CA,E$3,FALSE)</f>
        <v>0</v>
      </c>
      <c r="F13" s="162">
        <f t="shared" si="0"/>
        <v>0</v>
      </c>
      <c r="G13" s="212">
        <f t="shared" si="1"/>
        <v>0</v>
      </c>
      <c r="H13" s="216">
        <f>-VLOOKUP($B13,'недельное планирование'!$B:$CA,H$3,FALSE)</f>
        <v>212.4</v>
      </c>
      <c r="I13" s="162">
        <f t="shared" si="2"/>
        <v>1583.5221967963389</v>
      </c>
      <c r="J13" s="212">
        <f t="shared" si="3"/>
        <v>87.973455377574282</v>
      </c>
      <c r="K13" s="216">
        <f>-VLOOKUP($B13,'недельное планирование'!$B:$CA,K$3,FALSE)</f>
        <v>0</v>
      </c>
      <c r="L13" s="162">
        <f t="shared" si="4"/>
        <v>0</v>
      </c>
      <c r="M13" s="212">
        <f t="shared" si="5"/>
        <v>0</v>
      </c>
      <c r="N13" s="216">
        <f>-VLOOKUP($B13,'недельное планирование'!$B:$CA,N$3,FALSE)</f>
        <v>0</v>
      </c>
      <c r="O13" s="162">
        <f t="shared" si="6"/>
        <v>0</v>
      </c>
      <c r="P13" s="212">
        <f t="shared" si="7"/>
        <v>0</v>
      </c>
      <c r="Q13" s="216">
        <f>-VLOOKUP($B13,'недельное планирование'!$B:$CA,Q$3,FALSE)</f>
        <v>180</v>
      </c>
      <c r="R13" s="162">
        <f t="shared" si="8"/>
        <v>1341.9679633867277</v>
      </c>
      <c r="S13" s="212">
        <f t="shared" si="9"/>
        <v>74.553775743707092</v>
      </c>
      <c r="T13" s="216">
        <f>-VLOOKUP($B13,'недельное планирование'!$B:$CA,T$3,FALSE)</f>
        <v>0</v>
      </c>
      <c r="U13" s="162">
        <f t="shared" si="10"/>
        <v>0</v>
      </c>
      <c r="V13" s="212">
        <f t="shared" si="11"/>
        <v>0</v>
      </c>
      <c r="W13" s="216">
        <f>-VLOOKUP($B13,'недельное планирование'!$B:$CA,W$3,FALSE)</f>
        <v>0</v>
      </c>
      <c r="X13" s="162">
        <f t="shared" si="12"/>
        <v>0</v>
      </c>
      <c r="Y13" s="212">
        <f t="shared" si="13"/>
        <v>0</v>
      </c>
      <c r="Z13" s="216">
        <f>-VLOOKUP($B13,'недельное планирование'!$B:$CA,Z$3,FALSE)</f>
        <v>0</v>
      </c>
      <c r="AA13" s="162">
        <f t="shared" si="14"/>
        <v>0</v>
      </c>
      <c r="AB13" s="212">
        <f t="shared" si="15"/>
        <v>0</v>
      </c>
      <c r="AC13" s="216">
        <f>-VLOOKUP($B13,'недельное планирование'!$B:$CA,AC$3,FALSE)</f>
        <v>200</v>
      </c>
      <c r="AD13" s="162">
        <f t="shared" si="16"/>
        <v>1491.0755148741418</v>
      </c>
      <c r="AE13" s="212">
        <f t="shared" si="17"/>
        <v>82.837528604118916</v>
      </c>
      <c r="AF13" s="216">
        <f>-VLOOKUP($B13,'недельное планирование'!$B:$CA,AF$3,FALSE)</f>
        <v>0</v>
      </c>
      <c r="AG13" s="162">
        <f t="shared" si="18"/>
        <v>0</v>
      </c>
      <c r="AH13" s="212">
        <f t="shared" si="19"/>
        <v>0</v>
      </c>
      <c r="AI13" s="216">
        <f>-VLOOKUP($B13,'недельное планирование'!$B:$CA,AI$3,FALSE)</f>
        <v>420</v>
      </c>
      <c r="AJ13" s="162">
        <f t="shared" si="20"/>
        <v>3131.2585812356979</v>
      </c>
      <c r="AK13" s="212">
        <f t="shared" si="21"/>
        <v>173.95881006864965</v>
      </c>
      <c r="AL13" s="216">
        <f>-VLOOKUP($B13,'недельное планирование'!$B:$CA,AL$3,FALSE)</f>
        <v>420</v>
      </c>
      <c r="AM13" s="162">
        <f t="shared" si="22"/>
        <v>3131.2585812356979</v>
      </c>
      <c r="AN13" s="212">
        <f t="shared" si="23"/>
        <v>173.95881006864965</v>
      </c>
      <c r="AO13" s="216">
        <f>-VLOOKUP($B13,'недельное планирование'!$B:$CA,AO$3,FALSE)</f>
        <v>420</v>
      </c>
      <c r="AP13" s="162">
        <f t="shared" si="24"/>
        <v>3131.2585812356979</v>
      </c>
      <c r="AQ13" s="212">
        <f t="shared" si="25"/>
        <v>173.95881006864965</v>
      </c>
    </row>
    <row r="14" spans="1:43" ht="24" customHeight="1">
      <c r="A14" s="162" t="s">
        <v>41</v>
      </c>
      <c r="B14" s="231" t="s">
        <v>114</v>
      </c>
      <c r="C14" s="239">
        <v>3.3</v>
      </c>
      <c r="D14" s="239">
        <v>528</v>
      </c>
      <c r="E14" s="216">
        <f>-VLOOKUP($B14,'недельное планирование'!$B:$CA,E$3,FALSE)</f>
        <v>0</v>
      </c>
      <c r="F14" s="162">
        <f t="shared" si="0"/>
        <v>0</v>
      </c>
      <c r="G14" s="212">
        <f t="shared" si="1"/>
        <v>0</v>
      </c>
      <c r="H14" s="216">
        <f>-VLOOKUP($B14,'недельное планирование'!$B:$CA,H$3,FALSE)</f>
        <v>739.5</v>
      </c>
      <c r="I14" s="162">
        <f t="shared" si="2"/>
        <v>5137.5789473684208</v>
      </c>
      <c r="J14" s="212">
        <f t="shared" si="3"/>
        <v>778.42105263157919</v>
      </c>
      <c r="K14" s="216">
        <f>-VLOOKUP($B14,'недельное планирование'!$B:$CA,K$3,FALSE)</f>
        <v>46.5</v>
      </c>
      <c r="L14" s="162">
        <f t="shared" si="4"/>
        <v>323.05263157894734</v>
      </c>
      <c r="M14" s="212">
        <f t="shared" si="5"/>
        <v>48.947368421052659</v>
      </c>
      <c r="N14" s="216">
        <f>-VLOOKUP($B14,'недельное планирование'!$B:$CA,N$3,FALSE)</f>
        <v>0</v>
      </c>
      <c r="O14" s="162">
        <f t="shared" si="6"/>
        <v>0</v>
      </c>
      <c r="P14" s="212">
        <f t="shared" si="7"/>
        <v>0</v>
      </c>
      <c r="Q14" s="216">
        <f>-VLOOKUP($B14,'недельное планирование'!$B:$CA,Q$3,FALSE)</f>
        <v>804</v>
      </c>
      <c r="R14" s="162">
        <f t="shared" si="8"/>
        <v>5585.6842105263158</v>
      </c>
      <c r="S14" s="212">
        <f t="shared" si="9"/>
        <v>846.31578947368416</v>
      </c>
      <c r="T14" s="216">
        <f>-VLOOKUP($B14,'недельное планирование'!$B:$CA,T$3,FALSE)</f>
        <v>249</v>
      </c>
      <c r="U14" s="162">
        <f t="shared" si="10"/>
        <v>1729.8947368421052</v>
      </c>
      <c r="V14" s="212">
        <f t="shared" si="11"/>
        <v>262.1052631578948</v>
      </c>
      <c r="W14" s="216">
        <f>-VLOOKUP($B14,'недельное планирование'!$B:$CA,W$3,FALSE)</f>
        <v>0</v>
      </c>
      <c r="X14" s="162">
        <f t="shared" si="12"/>
        <v>0</v>
      </c>
      <c r="Y14" s="212">
        <f t="shared" si="13"/>
        <v>0</v>
      </c>
      <c r="Z14" s="216">
        <f>-VLOOKUP($B14,'недельное планирование'!$B:$CA,Z$3,FALSE)</f>
        <v>0</v>
      </c>
      <c r="AA14" s="162">
        <f t="shared" si="14"/>
        <v>0</v>
      </c>
      <c r="AB14" s="212">
        <f t="shared" si="15"/>
        <v>0</v>
      </c>
      <c r="AC14" s="216">
        <f>-VLOOKUP($B14,'недельное планирование'!$B:$CA,AC$3,FALSE)</f>
        <v>1022</v>
      </c>
      <c r="AD14" s="162">
        <f t="shared" si="16"/>
        <v>7100.21052631579</v>
      </c>
      <c r="AE14" s="212">
        <f t="shared" si="17"/>
        <v>1075.78947368421</v>
      </c>
      <c r="AF14" s="216">
        <f>-VLOOKUP($B14,'недельное планирование'!$B:$CA,AF$3,FALSE)</f>
        <v>0</v>
      </c>
      <c r="AG14" s="162">
        <f t="shared" si="18"/>
        <v>0</v>
      </c>
      <c r="AH14" s="212">
        <f t="shared" si="19"/>
        <v>0</v>
      </c>
      <c r="AI14" s="216" t="e">
        <f>-VLOOKUP($B14,'недельное планирование'!$B:$CA,AI$3,FALSE)</f>
        <v>#N/A</v>
      </c>
      <c r="AJ14" s="162" t="e">
        <f t="shared" si="20"/>
        <v>#N/A</v>
      </c>
      <c r="AK14" s="212" t="e">
        <f t="shared" si="21"/>
        <v>#N/A</v>
      </c>
      <c r="AL14" s="216" t="e">
        <f>-VLOOKUP($B14,'недельное планирование'!$B:$CA,AL$3,FALSE)</f>
        <v>#N/A</v>
      </c>
      <c r="AM14" s="162" t="e">
        <f t="shared" si="22"/>
        <v>#N/A</v>
      </c>
      <c r="AN14" s="212" t="e">
        <f t="shared" si="23"/>
        <v>#N/A</v>
      </c>
      <c r="AO14" s="216" t="e">
        <f>-VLOOKUP($B14,'недельное планирование'!$B:$CA,AO$3,FALSE)</f>
        <v>#N/A</v>
      </c>
      <c r="AP14" s="162" t="e">
        <f t="shared" si="24"/>
        <v>#N/A</v>
      </c>
      <c r="AQ14" s="212" t="e">
        <f t="shared" si="25"/>
        <v>#N/A</v>
      </c>
    </row>
    <row r="15" spans="1:43" ht="24" customHeight="1">
      <c r="A15" s="162" t="s">
        <v>63</v>
      </c>
      <c r="B15" s="231" t="s">
        <v>146</v>
      </c>
      <c r="C15" s="239">
        <v>3.3</v>
      </c>
      <c r="D15" s="239">
        <v>528</v>
      </c>
      <c r="E15" s="216">
        <f>-VLOOKUP($B15,'недельное планирование'!$B:$CA,E$3,FALSE)</f>
        <v>0</v>
      </c>
      <c r="F15" s="162">
        <f t="shared" si="0"/>
        <v>0</v>
      </c>
      <c r="G15" s="212">
        <f t="shared" si="1"/>
        <v>0</v>
      </c>
      <c r="H15" s="216">
        <f>-VLOOKUP($B15,'недельное планирование'!$B:$CA,H$3,FALSE)</f>
        <v>40.5</v>
      </c>
      <c r="I15" s="162">
        <f t="shared" si="2"/>
        <v>281.36842105263162</v>
      </c>
      <c r="J15" s="212">
        <f t="shared" si="3"/>
        <v>42.631578947368382</v>
      </c>
      <c r="K15" s="216">
        <f>-VLOOKUP($B15,'недельное планирование'!$B:$CA,K$3,FALSE)</f>
        <v>63</v>
      </c>
      <c r="L15" s="162">
        <f t="shared" si="4"/>
        <v>437.68421052631578</v>
      </c>
      <c r="M15" s="212">
        <f t="shared" si="5"/>
        <v>66.31578947368422</v>
      </c>
      <c r="N15" s="216">
        <f>-VLOOKUP($B15,'недельное планирование'!$B:$CA,N$3,FALSE)</f>
        <v>0</v>
      </c>
      <c r="O15" s="162">
        <f t="shared" si="6"/>
        <v>0</v>
      </c>
      <c r="P15" s="212">
        <f t="shared" si="7"/>
        <v>0</v>
      </c>
      <c r="Q15" s="216">
        <f>-VLOOKUP($B15,'недельное планирование'!$B:$CA,Q$3,FALSE)</f>
        <v>33</v>
      </c>
      <c r="R15" s="162">
        <f t="shared" si="8"/>
        <v>229.26315789473682</v>
      </c>
      <c r="S15" s="212">
        <f t="shared" si="9"/>
        <v>34.736842105263179</v>
      </c>
      <c r="T15" s="216">
        <f>-VLOOKUP($B15,'недельное планирование'!$B:$CA,T$3,FALSE)</f>
        <v>50</v>
      </c>
      <c r="U15" s="162">
        <f t="shared" si="10"/>
        <v>347.36842105263162</v>
      </c>
      <c r="V15" s="212">
        <f t="shared" si="11"/>
        <v>52.631578947368382</v>
      </c>
      <c r="W15" s="216">
        <f>-VLOOKUP($B15,'недельное планирование'!$B:$CA,W$3,FALSE)</f>
        <v>0</v>
      </c>
      <c r="X15" s="162">
        <f t="shared" si="12"/>
        <v>0</v>
      </c>
      <c r="Y15" s="212">
        <f t="shared" si="13"/>
        <v>0</v>
      </c>
      <c r="Z15" s="216">
        <f>-VLOOKUP($B15,'недельное планирование'!$B:$CA,Z$3,FALSE)</f>
        <v>0</v>
      </c>
      <c r="AA15" s="162">
        <f t="shared" si="14"/>
        <v>0</v>
      </c>
      <c r="AB15" s="212">
        <f t="shared" si="15"/>
        <v>0</v>
      </c>
      <c r="AC15" s="216">
        <f>-VLOOKUP($B15,'недельное планирование'!$B:$CA,AC$3,FALSE)</f>
        <v>30</v>
      </c>
      <c r="AD15" s="162">
        <f t="shared" si="16"/>
        <v>208.42105263157896</v>
      </c>
      <c r="AE15" s="212">
        <f t="shared" si="17"/>
        <v>31.578947368421041</v>
      </c>
      <c r="AF15" s="216">
        <f>-VLOOKUP($B15,'недельное планирование'!$B:$CA,AF$3,FALSE)</f>
        <v>0</v>
      </c>
      <c r="AG15" s="162">
        <f t="shared" si="18"/>
        <v>0</v>
      </c>
      <c r="AH15" s="212">
        <f t="shared" si="19"/>
        <v>0</v>
      </c>
      <c r="AI15" s="216">
        <f>-VLOOKUP($B15,'недельное планирование'!$B:$CA,AI$3,FALSE)</f>
        <v>211.3125</v>
      </c>
      <c r="AJ15" s="162">
        <f t="shared" si="20"/>
        <v>1468.0657894736842</v>
      </c>
      <c r="AK15" s="212">
        <f t="shared" si="21"/>
        <v>222.43421052631584</v>
      </c>
      <c r="AL15" s="216">
        <f>-VLOOKUP($B15,'недельное планирование'!$B:$CA,AL$3,FALSE)</f>
        <v>211.3125</v>
      </c>
      <c r="AM15" s="162">
        <f t="shared" si="22"/>
        <v>1468.0657894736842</v>
      </c>
      <c r="AN15" s="212">
        <f t="shared" si="23"/>
        <v>222.43421052631584</v>
      </c>
      <c r="AO15" s="216">
        <f>-VLOOKUP($B15,'недельное планирование'!$B:$CA,AO$3,FALSE)</f>
        <v>211.3125</v>
      </c>
      <c r="AP15" s="162">
        <f t="shared" si="24"/>
        <v>1468.0657894736842</v>
      </c>
      <c r="AQ15" s="212">
        <f t="shared" si="25"/>
        <v>222.43421052631584</v>
      </c>
    </row>
    <row r="16" spans="1:43" ht="24" customHeight="1">
      <c r="A16" s="162" t="s">
        <v>19</v>
      </c>
      <c r="B16" s="231" t="s">
        <v>169</v>
      </c>
      <c r="C16" s="239">
        <v>3.3</v>
      </c>
      <c r="D16" s="239">
        <v>528</v>
      </c>
      <c r="E16" s="216">
        <f>-VLOOKUP($B16,'недельное планирование'!$B:$CA,E$3,FALSE)</f>
        <v>0</v>
      </c>
      <c r="F16" s="162">
        <f t="shared" si="0"/>
        <v>0</v>
      </c>
      <c r="G16" s="212">
        <f t="shared" si="1"/>
        <v>0</v>
      </c>
      <c r="H16" s="216">
        <f>-VLOOKUP($B16,'недельное планирование'!$B:$CA,H$3,FALSE)</f>
        <v>0</v>
      </c>
      <c r="I16" s="162">
        <f t="shared" si="2"/>
        <v>0</v>
      </c>
      <c r="J16" s="212">
        <f t="shared" si="3"/>
        <v>0</v>
      </c>
      <c r="K16" s="216">
        <f>-VLOOKUP($B16,'недельное планирование'!$B:$CA,K$3,FALSE)</f>
        <v>0</v>
      </c>
      <c r="L16" s="162">
        <f t="shared" si="4"/>
        <v>0</v>
      </c>
      <c r="M16" s="212">
        <f t="shared" si="5"/>
        <v>0</v>
      </c>
      <c r="N16" s="216">
        <f>-VLOOKUP($B16,'недельное планирование'!$B:$CA,N$3,FALSE)</f>
        <v>0</v>
      </c>
      <c r="O16" s="162">
        <f t="shared" si="6"/>
        <v>0</v>
      </c>
      <c r="P16" s="212">
        <f t="shared" si="7"/>
        <v>0</v>
      </c>
      <c r="Q16" s="216">
        <f>-VLOOKUP($B16,'недельное планирование'!$B:$CA,Q$3,FALSE)</f>
        <v>28.666666666666668</v>
      </c>
      <c r="R16" s="162">
        <f t="shared" si="8"/>
        <v>199.15789473684211</v>
      </c>
      <c r="S16" s="212">
        <f t="shared" si="9"/>
        <v>30.175438596491233</v>
      </c>
      <c r="T16" s="216">
        <f>-VLOOKUP($B16,'недельное планирование'!$B:$CA,T$3,FALSE)</f>
        <v>25</v>
      </c>
      <c r="U16" s="162">
        <f t="shared" si="10"/>
        <v>173.68421052631581</v>
      </c>
      <c r="V16" s="212">
        <f t="shared" si="11"/>
        <v>26.315789473684191</v>
      </c>
      <c r="W16" s="216">
        <f>-VLOOKUP($B16,'недельное планирование'!$B:$CA,W$3,FALSE)</f>
        <v>0</v>
      </c>
      <c r="X16" s="162">
        <f t="shared" si="12"/>
        <v>0</v>
      </c>
      <c r="Y16" s="212">
        <f t="shared" si="13"/>
        <v>0</v>
      </c>
      <c r="Z16" s="216">
        <f>-VLOOKUP($B16,'недельное планирование'!$B:$CA,Z$3,FALSE)</f>
        <v>0</v>
      </c>
      <c r="AA16" s="162">
        <f t="shared" si="14"/>
        <v>0</v>
      </c>
      <c r="AB16" s="212">
        <f t="shared" si="15"/>
        <v>0</v>
      </c>
      <c r="AC16" s="216">
        <f>-VLOOKUP($B16,'недельное планирование'!$B:$CA,AC$3,FALSE)</f>
        <v>52.083333333333329</v>
      </c>
      <c r="AD16" s="162">
        <f t="shared" si="16"/>
        <v>361.84210526315786</v>
      </c>
      <c r="AE16" s="212">
        <f t="shared" si="17"/>
        <v>54.824561403508767</v>
      </c>
      <c r="AF16" s="216">
        <f>-VLOOKUP($B16,'недельное планирование'!$B:$CA,AF$3,FALSE)</f>
        <v>0</v>
      </c>
      <c r="AG16" s="162">
        <f t="shared" si="18"/>
        <v>0</v>
      </c>
      <c r="AH16" s="212">
        <f t="shared" si="19"/>
        <v>0</v>
      </c>
      <c r="AI16" s="216" t="e">
        <f>-VLOOKUP($B16,'недельное планирование'!$B:$CA,AI$3,FALSE)</f>
        <v>#N/A</v>
      </c>
      <c r="AJ16" s="162" t="e">
        <f t="shared" si="20"/>
        <v>#N/A</v>
      </c>
      <c r="AK16" s="212" t="e">
        <f t="shared" si="21"/>
        <v>#N/A</v>
      </c>
      <c r="AL16" s="216" t="e">
        <f>-VLOOKUP($B16,'недельное планирование'!$B:$CA,AL$3,FALSE)</f>
        <v>#N/A</v>
      </c>
      <c r="AM16" s="162" t="e">
        <f t="shared" si="22"/>
        <v>#N/A</v>
      </c>
      <c r="AN16" s="212" t="e">
        <f t="shared" si="23"/>
        <v>#N/A</v>
      </c>
      <c r="AO16" s="216" t="e">
        <f>-VLOOKUP($B16,'недельное планирование'!$B:$CA,AO$3,FALSE)</f>
        <v>#N/A</v>
      </c>
      <c r="AP16" s="162" t="e">
        <f t="shared" si="24"/>
        <v>#N/A</v>
      </c>
      <c r="AQ16" s="212" t="e">
        <f t="shared" si="25"/>
        <v>#N/A</v>
      </c>
    </row>
    <row r="17" spans="1:43" ht="24" customHeight="1">
      <c r="A17" s="162" t="s">
        <v>19</v>
      </c>
      <c r="B17" s="268" t="s">
        <v>274</v>
      </c>
      <c r="C17" s="239">
        <v>3.3</v>
      </c>
      <c r="D17" s="239">
        <v>528</v>
      </c>
      <c r="E17" s="216">
        <f>-VLOOKUP($B17,'недельное планирование'!$B:$CA,E$3,FALSE)</f>
        <v>0</v>
      </c>
      <c r="F17" s="162">
        <f>$D17*100/($C17+$C$3)*E17/1000*$C17/$C$2</f>
        <v>0</v>
      </c>
      <c r="G17" s="212">
        <f>$D17*100/($C17+$C$3)*E17/1000-F17</f>
        <v>0</v>
      </c>
      <c r="H17" s="216">
        <f>-VLOOKUP($B17,'недельное планирование'!$B:$CA,H$3,FALSE)</f>
        <v>0.75</v>
      </c>
      <c r="I17" s="162">
        <f>$D17*100/($C17+$C$3)*H17/1000*$C17/$C$2</f>
        <v>5.2105263157894735</v>
      </c>
      <c r="J17" s="212">
        <f>$D17*100/($C17+$C$3)*H17/1000-I17</f>
        <v>0.78947368421052655</v>
      </c>
      <c r="K17" s="216">
        <f>-VLOOKUP($B17,'недельное планирование'!$B:$CA,K$3,FALSE)</f>
        <v>0</v>
      </c>
      <c r="L17" s="162">
        <f>$D17*100/($C17+$C$3)*K17/1000*$C17/$C$2</f>
        <v>0</v>
      </c>
      <c r="M17" s="212">
        <f>$D17*100/($C17+$C$3)*K17/1000-L17</f>
        <v>0</v>
      </c>
      <c r="N17" s="216">
        <f>-VLOOKUP($B17,'недельное планирование'!$B:$CA,N$3,FALSE)</f>
        <v>0</v>
      </c>
      <c r="O17" s="162">
        <f>$D17*100/($C17+$C$3)*N17/1000*$C17/$C$2</f>
        <v>0</v>
      </c>
      <c r="P17" s="212">
        <f>$D17*100/($C17+$C$3)*N17/1000-O17</f>
        <v>0</v>
      </c>
      <c r="Q17" s="216">
        <f>-VLOOKUP($B17,'недельное планирование'!$B:$CA,Q$3,FALSE)</f>
        <v>306</v>
      </c>
      <c r="R17" s="162">
        <f>$D17*100/($C17+$C$3)*Q17/1000*$C17/$C$2</f>
        <v>2125.8947368421054</v>
      </c>
      <c r="S17" s="212">
        <f>$D17*100/($C17+$C$3)*Q17/1000-R17</f>
        <v>322.10526315789457</v>
      </c>
      <c r="T17" s="216">
        <f>-VLOOKUP($B17,'недельное планирование'!$B:$CA,T$3,FALSE)</f>
        <v>323</v>
      </c>
      <c r="U17" s="162">
        <f>$D17*100/($C17+$C$3)*T17/1000*$C17/$C$2</f>
        <v>2244</v>
      </c>
      <c r="V17" s="212">
        <f>$D17*100/($C17+$C$3)*T17/1000-U17</f>
        <v>340</v>
      </c>
      <c r="W17" s="216">
        <f>-VLOOKUP($B17,'недельное планирование'!$B:$CA,W$3,FALSE)</f>
        <v>0</v>
      </c>
      <c r="X17" s="162">
        <f>$D17*100/($C17+$C$3)*W17/1000*$C17/$C$2</f>
        <v>0</v>
      </c>
      <c r="Y17" s="212">
        <f>$D17*100/($C17+$C$3)*W17/1000-X17</f>
        <v>0</v>
      </c>
      <c r="Z17" s="216">
        <f>-VLOOKUP($B17,'недельное планирование'!$B:$CA,Z$3,FALSE)</f>
        <v>0</v>
      </c>
      <c r="AA17" s="162">
        <f>$D17*100/($C17+$C$3)*Z17/1000*$C17/$C$2</f>
        <v>0</v>
      </c>
      <c r="AB17" s="212">
        <f>$D17*100/($C17+$C$3)*Z17/1000-AA17</f>
        <v>0</v>
      </c>
      <c r="AC17" s="216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2">
        <f>$D17*100/($C17+$C$3)*AC17/1000-AD17</f>
        <v>912.89473684210589</v>
      </c>
      <c r="AF17" s="216">
        <f>-VLOOKUP($B17,'недельное планирование'!$B:$CA,AF$3,FALSE)</f>
        <v>0</v>
      </c>
      <c r="AG17" s="162">
        <f>$D17*100/($C17+$C$3)*AF17/1000*$C17/$C$2</f>
        <v>0</v>
      </c>
      <c r="AH17" s="212">
        <f>$D17*100/($C17+$C$3)*AF17/1000-AG17</f>
        <v>0</v>
      </c>
      <c r="AI17" s="216" t="e">
        <f>-VLOOKUP($B17,'недельное планирование'!$B:$CA,AI$3,FALSE)</f>
        <v>#N/A</v>
      </c>
      <c r="AJ17" s="162" t="e">
        <f>$D17*100/($C17+$C$3)*AI17/1000*$C17/$C$2</f>
        <v>#N/A</v>
      </c>
      <c r="AK17" s="212" t="e">
        <f>$D17*100/($C17+$C$3)*AI17/1000-AJ17</f>
        <v>#N/A</v>
      </c>
      <c r="AL17" s="216" t="e">
        <f>-VLOOKUP($B17,'недельное планирование'!$B:$CA,AL$3,FALSE)</f>
        <v>#N/A</v>
      </c>
      <c r="AM17" s="162" t="e">
        <f>$D17*100/($C17+$C$3)*AL17/1000*$C17/$C$2</f>
        <v>#N/A</v>
      </c>
      <c r="AN17" s="212" t="e">
        <f>$D17*100/($C17+$C$3)*AL17/1000-AM17</f>
        <v>#N/A</v>
      </c>
      <c r="AO17" s="216" t="e">
        <f>-VLOOKUP($B17,'недельное планирование'!$B:$CA,AO$3,FALSE)</f>
        <v>#N/A</v>
      </c>
      <c r="AP17" s="162" t="e">
        <f>$D17*100/($C17+$C$3)*AO17/1000*$C17/$C$2</f>
        <v>#N/A</v>
      </c>
      <c r="AQ17" s="212" t="e">
        <f>$D17*100/($C17+$C$3)*AO17/1000-AP17</f>
        <v>#N/A</v>
      </c>
    </row>
    <row r="18" spans="1:43" ht="24" customHeight="1">
      <c r="A18" s="162" t="s">
        <v>19</v>
      </c>
      <c r="B18" s="231" t="s">
        <v>149</v>
      </c>
      <c r="C18" s="239">
        <v>3.3</v>
      </c>
      <c r="D18" s="239">
        <v>528</v>
      </c>
      <c r="E18" s="216">
        <f>-VLOOKUP($B18,'недельное планирование'!$B:$CA,E$3,FALSE)</f>
        <v>0</v>
      </c>
      <c r="F18" s="162">
        <f t="shared" si="0"/>
        <v>0</v>
      </c>
      <c r="G18" s="212">
        <f t="shared" si="1"/>
        <v>0</v>
      </c>
      <c r="H18" s="216">
        <f>-VLOOKUP($B18,'недельное планирование'!$B:$CA,H$3,FALSE)</f>
        <v>57</v>
      </c>
      <c r="I18" s="162">
        <f t="shared" si="2"/>
        <v>396</v>
      </c>
      <c r="J18" s="212">
        <f t="shared" si="3"/>
        <v>60</v>
      </c>
      <c r="K18" s="216">
        <f>-VLOOKUP($B18,'недельное планирование'!$B:$CA,K$3,FALSE)</f>
        <v>0</v>
      </c>
      <c r="L18" s="162">
        <f t="shared" si="4"/>
        <v>0</v>
      </c>
      <c r="M18" s="212">
        <f t="shared" si="5"/>
        <v>0</v>
      </c>
      <c r="N18" s="216">
        <f>-VLOOKUP($B18,'недельное планирование'!$B:$CA,N$3,FALSE)</f>
        <v>0</v>
      </c>
      <c r="O18" s="162">
        <f t="shared" si="6"/>
        <v>0</v>
      </c>
      <c r="P18" s="212">
        <f t="shared" si="7"/>
        <v>0</v>
      </c>
      <c r="Q18" s="216">
        <f>-VLOOKUP($B18,'недельное планирование'!$B:$CA,Q$3,FALSE)</f>
        <v>14</v>
      </c>
      <c r="R18" s="162">
        <f t="shared" si="8"/>
        <v>97.263157894736835</v>
      </c>
      <c r="S18" s="212">
        <f t="shared" si="9"/>
        <v>14.736842105263165</v>
      </c>
      <c r="T18" s="216">
        <f>-VLOOKUP($B18,'недельное планирование'!$B:$CA,T$3,FALSE)</f>
        <v>12</v>
      </c>
      <c r="U18" s="162">
        <f t="shared" si="10"/>
        <v>83.368421052631575</v>
      </c>
      <c r="V18" s="212">
        <f t="shared" si="11"/>
        <v>12.631578947368425</v>
      </c>
      <c r="W18" s="216">
        <f>-VLOOKUP($B18,'недельное планирование'!$B:$CA,W$3,FALSE)</f>
        <v>0</v>
      </c>
      <c r="X18" s="162">
        <f t="shared" si="12"/>
        <v>0</v>
      </c>
      <c r="Y18" s="212">
        <f t="shared" si="13"/>
        <v>0</v>
      </c>
      <c r="Z18" s="216">
        <f>-VLOOKUP($B18,'недельное планирование'!$B:$CA,Z$3,FALSE)</f>
        <v>0</v>
      </c>
      <c r="AA18" s="162">
        <f t="shared" si="14"/>
        <v>0</v>
      </c>
      <c r="AB18" s="212">
        <f t="shared" si="15"/>
        <v>0</v>
      </c>
      <c r="AC18" s="216">
        <f>-VLOOKUP($B18,'недельное планирование'!$B:$CA,AC$3,FALSE)</f>
        <v>8</v>
      </c>
      <c r="AD18" s="162">
        <f t="shared" si="16"/>
        <v>55.578947368421055</v>
      </c>
      <c r="AE18" s="212">
        <f t="shared" si="17"/>
        <v>8.4210526315789451</v>
      </c>
      <c r="AF18" s="216">
        <f>-VLOOKUP($B18,'недельное планирование'!$B:$CA,AF$3,FALSE)</f>
        <v>0</v>
      </c>
      <c r="AG18" s="162">
        <f t="shared" si="18"/>
        <v>0</v>
      </c>
      <c r="AH18" s="212">
        <f t="shared" si="19"/>
        <v>0</v>
      </c>
      <c r="AI18" s="216" t="e">
        <f>-VLOOKUP($B18,'недельное планирование'!$B:$CA,AI$3,FALSE)</f>
        <v>#N/A</v>
      </c>
      <c r="AJ18" s="162" t="e">
        <f t="shared" si="20"/>
        <v>#N/A</v>
      </c>
      <c r="AK18" s="212" t="e">
        <f t="shared" si="21"/>
        <v>#N/A</v>
      </c>
      <c r="AL18" s="216" t="e">
        <f>-VLOOKUP($B18,'недельное планирование'!$B:$CA,AL$3,FALSE)</f>
        <v>#N/A</v>
      </c>
      <c r="AM18" s="162" t="e">
        <f t="shared" si="22"/>
        <v>#N/A</v>
      </c>
      <c r="AN18" s="212" t="e">
        <f t="shared" si="23"/>
        <v>#N/A</v>
      </c>
      <c r="AO18" s="216" t="e">
        <f>-VLOOKUP($B18,'недельное планирование'!$B:$CA,AO$3,FALSE)</f>
        <v>#N/A</v>
      </c>
      <c r="AP18" s="162" t="e">
        <f t="shared" si="24"/>
        <v>#N/A</v>
      </c>
      <c r="AQ18" s="212" t="e">
        <f t="shared" si="25"/>
        <v>#N/A</v>
      </c>
    </row>
    <row r="19" spans="1:43" ht="24" customHeight="1">
      <c r="A19" s="162" t="str">
        <f>A16</f>
        <v>Unagrande</v>
      </c>
      <c r="B19" s="231" t="s">
        <v>93</v>
      </c>
      <c r="C19" s="239">
        <v>3.6</v>
      </c>
      <c r="D19" s="239">
        <v>543</v>
      </c>
      <c r="E19" s="216">
        <f>-VLOOKUP($B19,'недельное планирование'!$B:$CA,E$3,FALSE)</f>
        <v>0</v>
      </c>
      <c r="F19" s="162">
        <f t="shared" si="0"/>
        <v>0</v>
      </c>
      <c r="G19" s="212">
        <f t="shared" si="1"/>
        <v>0</v>
      </c>
      <c r="H19" s="216">
        <f>-VLOOKUP($B19,'недельное планирование'!$B:$CA,H$3,FALSE)</f>
        <v>194.4</v>
      </c>
      <c r="I19" s="162">
        <f t="shared" si="2"/>
        <v>1449.3254004576663</v>
      </c>
      <c r="J19" s="212">
        <f t="shared" si="3"/>
        <v>80.518077803203369</v>
      </c>
      <c r="K19" s="216">
        <f>-VLOOKUP($B19,'недельное планирование'!$B:$CA,K$3,FALSE)</f>
        <v>0</v>
      </c>
      <c r="L19" s="162">
        <f t="shared" si="4"/>
        <v>0</v>
      </c>
      <c r="M19" s="212">
        <f t="shared" si="5"/>
        <v>0</v>
      </c>
      <c r="N19" s="216">
        <f>-VLOOKUP($B19,'недельное планирование'!$B:$CA,N$3,FALSE)</f>
        <v>0</v>
      </c>
      <c r="O19" s="162">
        <f t="shared" si="6"/>
        <v>0</v>
      </c>
      <c r="P19" s="212">
        <f t="shared" si="7"/>
        <v>0</v>
      </c>
      <c r="Q19" s="216">
        <f>-VLOOKUP($B19,'недельное планирование'!$B:$CA,Q$3,FALSE)</f>
        <v>68</v>
      </c>
      <c r="R19" s="162">
        <f t="shared" si="8"/>
        <v>506.96567505720822</v>
      </c>
      <c r="S19" s="212">
        <f t="shared" si="9"/>
        <v>28.164759725400415</v>
      </c>
      <c r="T19" s="216">
        <f>-VLOOKUP($B19,'недельное планирование'!$B:$CA,T$3,FALSE)</f>
        <v>34.833333333333329</v>
      </c>
      <c r="U19" s="162">
        <f t="shared" si="10"/>
        <v>259.695652173913</v>
      </c>
      <c r="V19" s="212">
        <f t="shared" si="11"/>
        <v>14.427536231884062</v>
      </c>
      <c r="W19" s="216">
        <f>-VLOOKUP($B19,'недельное планирование'!$B:$CA,W$3,FALSE)</f>
        <v>0</v>
      </c>
      <c r="X19" s="162">
        <f t="shared" si="12"/>
        <v>0</v>
      </c>
      <c r="Y19" s="212">
        <f t="shared" si="13"/>
        <v>0</v>
      </c>
      <c r="Z19" s="216">
        <f>-VLOOKUP($B19,'недельное планирование'!$B:$CA,Z$3,FALSE)</f>
        <v>0</v>
      </c>
      <c r="AA19" s="162">
        <f t="shared" si="14"/>
        <v>0</v>
      </c>
      <c r="AB19" s="212">
        <f t="shared" si="15"/>
        <v>0</v>
      </c>
      <c r="AC19" s="216">
        <f>-VLOOKUP($B19,'недельное планирование'!$B:$CA,AC$3,FALSE)</f>
        <v>83</v>
      </c>
      <c r="AD19" s="162">
        <f t="shared" si="16"/>
        <v>618.79633867276891</v>
      </c>
      <c r="AE19" s="212">
        <f t="shared" si="17"/>
        <v>34.37757437070934</v>
      </c>
      <c r="AF19" s="216">
        <f>-VLOOKUP($B19,'недельное планирование'!$B:$CA,AF$3,FALSE)</f>
        <v>0</v>
      </c>
      <c r="AG19" s="162">
        <f t="shared" si="18"/>
        <v>0</v>
      </c>
      <c r="AH19" s="212">
        <f t="shared" si="19"/>
        <v>0</v>
      </c>
      <c r="AI19" s="216" t="e">
        <f>-VLOOKUP($B19,'недельное планирование'!$B:$CA,AI$3,FALSE)</f>
        <v>#N/A</v>
      </c>
      <c r="AJ19" s="162" t="e">
        <f t="shared" si="20"/>
        <v>#N/A</v>
      </c>
      <c r="AK19" s="212" t="e">
        <f t="shared" si="21"/>
        <v>#N/A</v>
      </c>
      <c r="AL19" s="216" t="e">
        <f>-VLOOKUP($B19,'недельное планирование'!$B:$CA,AL$3,FALSE)</f>
        <v>#N/A</v>
      </c>
      <c r="AM19" s="162" t="e">
        <f t="shared" si="22"/>
        <v>#N/A</v>
      </c>
      <c r="AN19" s="212" t="e">
        <f t="shared" si="23"/>
        <v>#N/A</v>
      </c>
      <c r="AO19" s="216" t="e">
        <f>-VLOOKUP($B19,'недельное планирование'!$B:$CA,AO$3,FALSE)</f>
        <v>#N/A</v>
      </c>
      <c r="AP19" s="162" t="e">
        <f t="shared" si="24"/>
        <v>#N/A</v>
      </c>
      <c r="AQ19" s="212" t="e">
        <f t="shared" si="25"/>
        <v>#N/A</v>
      </c>
    </row>
    <row r="20" spans="1:43" ht="24" customHeight="1">
      <c r="A20" s="162"/>
      <c r="B20" s="231"/>
      <c r="C20" s="239"/>
      <c r="D20" s="239"/>
      <c r="E20" s="216"/>
      <c r="F20" s="162"/>
      <c r="G20" s="212"/>
      <c r="H20" s="216"/>
      <c r="I20" s="162"/>
      <c r="J20" s="212"/>
      <c r="K20" s="216"/>
      <c r="L20" s="162"/>
      <c r="M20" s="212"/>
      <c r="N20" s="216"/>
      <c r="O20" s="162"/>
      <c r="P20" s="212"/>
      <c r="Q20" s="216"/>
      <c r="R20" s="162"/>
      <c r="S20" s="212"/>
      <c r="T20" s="216"/>
      <c r="U20" s="162"/>
      <c r="V20" s="212"/>
      <c r="W20" s="216"/>
      <c r="X20" s="162"/>
      <c r="Y20" s="212"/>
      <c r="Z20" s="216"/>
      <c r="AA20" s="162"/>
      <c r="AB20" s="212"/>
      <c r="AC20" s="216"/>
      <c r="AD20" s="162"/>
      <c r="AE20" s="212"/>
      <c r="AF20" s="216"/>
      <c r="AG20" s="162"/>
      <c r="AH20" s="212"/>
      <c r="AI20" s="216"/>
      <c r="AJ20" s="162"/>
      <c r="AK20" s="212"/>
      <c r="AL20" s="216"/>
      <c r="AM20" s="162"/>
      <c r="AN20" s="212"/>
      <c r="AO20" s="216"/>
      <c r="AP20" s="162"/>
      <c r="AQ20" s="212"/>
    </row>
    <row r="21" spans="1:43" s="211" customFormat="1" ht="24" customHeight="1">
      <c r="C21" s="238"/>
      <c r="D21" s="238"/>
      <c r="E21" s="214"/>
      <c r="F21" s="207"/>
      <c r="G21" s="207"/>
      <c r="H21" s="214"/>
      <c r="I21" s="207"/>
      <c r="J21" s="207"/>
      <c r="K21" s="214"/>
      <c r="L21" s="207"/>
      <c r="M21" s="207"/>
      <c r="N21" s="214"/>
      <c r="O21" s="207"/>
      <c r="P21" s="207"/>
      <c r="Q21" s="214"/>
      <c r="R21" s="207"/>
      <c r="S21" s="207"/>
      <c r="T21" s="214"/>
      <c r="U21" s="207"/>
      <c r="V21" s="207"/>
      <c r="W21" s="214"/>
      <c r="X21" s="207"/>
      <c r="Y21" s="207"/>
      <c r="Z21" s="214"/>
      <c r="AA21" s="207"/>
      <c r="AB21" s="207"/>
      <c r="AC21" s="214"/>
      <c r="AD21" s="207"/>
      <c r="AE21" s="207"/>
      <c r="AF21" s="214"/>
      <c r="AG21" s="207"/>
      <c r="AH21" s="207"/>
      <c r="AI21" s="214"/>
      <c r="AJ21" s="207"/>
      <c r="AK21" s="207"/>
      <c r="AL21" s="214"/>
      <c r="AM21" s="207"/>
      <c r="AN21" s="207"/>
      <c r="AO21" s="214"/>
      <c r="AP21" s="207"/>
      <c r="AQ21" s="207"/>
    </row>
    <row r="22" spans="1:43" ht="24" customHeight="1">
      <c r="A22" s="163" t="s">
        <v>19</v>
      </c>
      <c r="B22" s="232" t="s">
        <v>173</v>
      </c>
      <c r="C22" s="239">
        <v>3.6</v>
      </c>
      <c r="D22" s="239">
        <v>530</v>
      </c>
      <c r="E22" s="216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2">
        <f t="shared" ref="G22:G31" si="27">$D22*100/($C22+$C$3)*E22/1000-F22</f>
        <v>0</v>
      </c>
      <c r="H22" s="216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2">
        <f t="shared" ref="J22:J31" si="29">$D22*100/($C22+$C$3)*H22/1000-I22</f>
        <v>141.49504195270765</v>
      </c>
      <c r="K22" s="216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2">
        <f t="shared" ref="M22:M31" si="31">$D22*100/($C22+$C$3)*K22/1000-L22</f>
        <v>0</v>
      </c>
      <c r="N22" s="216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2">
        <f t="shared" ref="P22:P31" si="33">$D22*100/($C22+$C$3)*N22/1000-O22</f>
        <v>0</v>
      </c>
      <c r="Q22" s="216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2">
        <f t="shared" ref="S22:S31" si="35">$D22*100/($C22+$C$3)*Q22/1000-R22</f>
        <v>16.27659398555295</v>
      </c>
      <c r="T22" s="216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2">
        <f t="shared" ref="V22:V31" si="37">$D22*100/($C22+$C$3)*T22/1000-U22</f>
        <v>108.00788202390027</v>
      </c>
      <c r="W22" s="216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2">
        <f t="shared" ref="Y22:Y31" si="39">$D22*100/($C22+$C$3)*W22/1000-X22</f>
        <v>0</v>
      </c>
      <c r="Z22" s="216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2">
        <f t="shared" ref="AB22:AB31" si="41">$D22*100/($C22+$C$3)*Z22/1000-AA22</f>
        <v>0</v>
      </c>
      <c r="AC22" s="216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2">
        <f t="shared" ref="AE22:AE31" si="43">$D22*100/($C22+$C$3)*AC22/1000-AD22</f>
        <v>141.89931350114421</v>
      </c>
      <c r="AF22" s="216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2">
        <f t="shared" ref="AH22:AH31" si="45">$D22*100/($C22+$C$3)*AF22/1000-AG22</f>
        <v>0</v>
      </c>
      <c r="AI22" s="216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2" t="e">
        <f t="shared" ref="AK22:AK31" si="47">$D22*100/($C22+$C$3)*AI22/1000-AJ22</f>
        <v>#N/A</v>
      </c>
      <c r="AL22" s="216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2" t="e">
        <f t="shared" ref="AN22:AN31" si="49">$D22*100/($C22+$C$3)*AL22/1000-AM22</f>
        <v>#N/A</v>
      </c>
      <c r="AO22" s="216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2" t="e">
        <f t="shared" ref="AQ22:AQ31" si="51">$D22*100/($C22+$C$3)*AO22/1000-AP22</f>
        <v>#N/A</v>
      </c>
    </row>
    <row r="23" spans="1:43" ht="24" customHeight="1">
      <c r="A23" s="163" t="s">
        <v>19</v>
      </c>
      <c r="B23" s="232" t="s">
        <v>151</v>
      </c>
      <c r="C23" s="239">
        <v>3.6</v>
      </c>
      <c r="D23" s="239">
        <v>530</v>
      </c>
      <c r="E23" s="216">
        <f>-VLOOKUP($B23,'недельное планирование'!$B:$CA,E$3,FALSE)</f>
        <v>0</v>
      </c>
      <c r="F23" s="162">
        <f t="shared" si="26"/>
        <v>0</v>
      </c>
      <c r="G23" s="212">
        <f t="shared" si="27"/>
        <v>0</v>
      </c>
      <c r="H23" s="216">
        <f>-VLOOKUP($B23,'недельное планирование'!$B:$CA,H$3,FALSE)</f>
        <v>383.25</v>
      </c>
      <c r="I23" s="162">
        <f t="shared" si="28"/>
        <v>2788.8672768878723</v>
      </c>
      <c r="J23" s="212">
        <f t="shared" si="29"/>
        <v>154.93707093821467</v>
      </c>
      <c r="K23" s="216">
        <f>-VLOOKUP($B23,'недельное планирование'!$B:$CA,K$3,FALSE)</f>
        <v>0</v>
      </c>
      <c r="L23" s="162">
        <f t="shared" si="30"/>
        <v>0</v>
      </c>
      <c r="M23" s="212">
        <f t="shared" si="31"/>
        <v>0</v>
      </c>
      <c r="N23" s="216">
        <f>-VLOOKUP($B23,'недельное планирование'!$B:$CA,N$3,FALSE)</f>
        <v>0</v>
      </c>
      <c r="O23" s="162">
        <f t="shared" si="32"/>
        <v>0</v>
      </c>
      <c r="P23" s="212">
        <f t="shared" si="33"/>
        <v>0</v>
      </c>
      <c r="Q23" s="216">
        <f>-VLOOKUP($B23,'недельное планирование'!$B:$CA,Q$3,FALSE)</f>
        <v>661</v>
      </c>
      <c r="R23" s="162">
        <f t="shared" si="34"/>
        <v>4810.0228832951952</v>
      </c>
      <c r="S23" s="212">
        <f t="shared" si="35"/>
        <v>267.22349351639878</v>
      </c>
      <c r="T23" s="216">
        <f>-VLOOKUP($B23,'недельное планирование'!$B:$CA,T$3,FALSE)</f>
        <v>74</v>
      </c>
      <c r="U23" s="162">
        <f t="shared" si="36"/>
        <v>538.48970251716241</v>
      </c>
      <c r="V23" s="212">
        <f t="shared" si="37"/>
        <v>29.916094584286839</v>
      </c>
      <c r="W23" s="216">
        <f>-VLOOKUP($B23,'недельное планирование'!$B:$CA,W$3,FALSE)</f>
        <v>0</v>
      </c>
      <c r="X23" s="162">
        <f t="shared" si="38"/>
        <v>0</v>
      </c>
      <c r="Y23" s="212">
        <f t="shared" si="39"/>
        <v>0</v>
      </c>
      <c r="Z23" s="216">
        <f>-VLOOKUP($B23,'недельное планирование'!$B:$CA,Z$3,FALSE)</f>
        <v>0</v>
      </c>
      <c r="AA23" s="162">
        <f t="shared" si="40"/>
        <v>0</v>
      </c>
      <c r="AB23" s="212">
        <f t="shared" si="41"/>
        <v>0</v>
      </c>
      <c r="AC23" s="216">
        <f>-VLOOKUP($B23,'недельное планирование'!$B:$CA,AC$3,FALSE)</f>
        <v>116.91666666666667</v>
      </c>
      <c r="AD23" s="162">
        <f t="shared" si="42"/>
        <v>850.78947368421063</v>
      </c>
      <c r="AE23" s="212">
        <f t="shared" si="43"/>
        <v>47.266081871345023</v>
      </c>
      <c r="AF23" s="216">
        <f>-VLOOKUP($B23,'недельное планирование'!$B:$CA,AF$3,FALSE)</f>
        <v>0</v>
      </c>
      <c r="AG23" s="162">
        <f t="shared" si="44"/>
        <v>0</v>
      </c>
      <c r="AH23" s="212">
        <f t="shared" si="45"/>
        <v>0</v>
      </c>
      <c r="AI23" s="216" t="e">
        <f>-VLOOKUP($B23,'недельное планирование'!$B:$CA,AI$3,FALSE)</f>
        <v>#N/A</v>
      </c>
      <c r="AJ23" s="162" t="e">
        <f t="shared" si="46"/>
        <v>#N/A</v>
      </c>
      <c r="AK23" s="212" t="e">
        <f t="shared" si="47"/>
        <v>#N/A</v>
      </c>
      <c r="AL23" s="216" t="e">
        <f>-VLOOKUP($B23,'недельное планирование'!$B:$CA,AL$3,FALSE)</f>
        <v>#N/A</v>
      </c>
      <c r="AM23" s="162" t="e">
        <f t="shared" si="48"/>
        <v>#N/A</v>
      </c>
      <c r="AN23" s="212" t="e">
        <f t="shared" si="49"/>
        <v>#N/A</v>
      </c>
      <c r="AO23" s="216" t="e">
        <f>-VLOOKUP($B23,'недельное планирование'!$B:$CA,AO$3,FALSE)</f>
        <v>#N/A</v>
      </c>
      <c r="AP23" s="162" t="e">
        <f t="shared" si="50"/>
        <v>#N/A</v>
      </c>
      <c r="AQ23" s="212" t="e">
        <f t="shared" si="51"/>
        <v>#N/A</v>
      </c>
    </row>
    <row r="24" spans="1:43" ht="24" customHeight="1">
      <c r="A24" s="163" t="s">
        <v>20</v>
      </c>
      <c r="B24" s="232" t="s">
        <v>172</v>
      </c>
      <c r="C24" s="239">
        <v>3.3</v>
      </c>
      <c r="D24" s="239">
        <v>527</v>
      </c>
      <c r="E24" s="216">
        <f>-VLOOKUP($B24,'недельное планирование'!$B:$CA,E$3,FALSE)</f>
        <v>0</v>
      </c>
      <c r="F24" s="162">
        <f t="shared" si="26"/>
        <v>0</v>
      </c>
      <c r="G24" s="212">
        <f t="shared" si="27"/>
        <v>0</v>
      </c>
      <c r="H24" s="216">
        <f>-VLOOKUP($B24,'недельное планирование'!$B:$CA,H$3,FALSE)</f>
        <v>0</v>
      </c>
      <c r="I24" s="162">
        <f t="shared" si="28"/>
        <v>0</v>
      </c>
      <c r="J24" s="212">
        <f t="shared" si="29"/>
        <v>0</v>
      </c>
      <c r="K24" s="216">
        <f>-VLOOKUP($B24,'недельное планирование'!$B:$CA,K$3,FALSE)</f>
        <v>0</v>
      </c>
      <c r="L24" s="162">
        <f t="shared" si="30"/>
        <v>0</v>
      </c>
      <c r="M24" s="212">
        <f t="shared" si="31"/>
        <v>0</v>
      </c>
      <c r="N24" s="216">
        <f>-VLOOKUP($B24,'недельное планирование'!$B:$CA,N$3,FALSE)</f>
        <v>0</v>
      </c>
      <c r="O24" s="162">
        <f t="shared" si="32"/>
        <v>0</v>
      </c>
      <c r="P24" s="212">
        <f t="shared" si="33"/>
        <v>0</v>
      </c>
      <c r="Q24" s="216">
        <f>-VLOOKUP($B24,'недельное планирование'!$B:$CA,Q$3,FALSE)</f>
        <v>85.8</v>
      </c>
      <c r="R24" s="162">
        <f t="shared" si="34"/>
        <v>594.95526315789471</v>
      </c>
      <c r="S24" s="212">
        <f t="shared" si="35"/>
        <v>90.144736842105317</v>
      </c>
      <c r="T24" s="216">
        <f>-VLOOKUP($B24,'недельное планирование'!$B:$CA,T$3,FALSE)</f>
        <v>156</v>
      </c>
      <c r="U24" s="162">
        <f t="shared" si="36"/>
        <v>1081.7368421052633</v>
      </c>
      <c r="V24" s="212">
        <f t="shared" si="37"/>
        <v>163.89952153110039</v>
      </c>
      <c r="W24" s="216">
        <f>-VLOOKUP($B24,'недельное планирование'!$B:$CA,W$3,FALSE)</f>
        <v>0</v>
      </c>
      <c r="X24" s="162">
        <f t="shared" si="38"/>
        <v>0</v>
      </c>
      <c r="Y24" s="212">
        <f t="shared" si="39"/>
        <v>0</v>
      </c>
      <c r="Z24" s="216">
        <f>-VLOOKUP($B24,'недельное планирование'!$B:$CA,Z$3,FALSE)</f>
        <v>0</v>
      </c>
      <c r="AA24" s="162">
        <f t="shared" si="40"/>
        <v>0</v>
      </c>
      <c r="AB24" s="212">
        <f t="shared" si="41"/>
        <v>0</v>
      </c>
      <c r="AC24" s="216">
        <f>-VLOOKUP($B24,'недельное планирование'!$B:$CA,AC$3,FALSE)</f>
        <v>42</v>
      </c>
      <c r="AD24" s="162">
        <f t="shared" si="42"/>
        <v>291.23684210526318</v>
      </c>
      <c r="AE24" s="212">
        <f t="shared" si="43"/>
        <v>44.126794258373195</v>
      </c>
      <c r="AF24" s="216">
        <f>-VLOOKUP($B24,'недельное планирование'!$B:$CA,AF$3,FALSE)</f>
        <v>0</v>
      </c>
      <c r="AG24" s="162">
        <f t="shared" si="44"/>
        <v>0</v>
      </c>
      <c r="AH24" s="212">
        <f t="shared" si="45"/>
        <v>0</v>
      </c>
      <c r="AI24" s="216" t="e">
        <f>-VLOOKUP($B24,'недельное планирование'!$B:$CA,AI$3,FALSE)</f>
        <v>#N/A</v>
      </c>
      <c r="AJ24" s="162" t="e">
        <f t="shared" si="46"/>
        <v>#N/A</v>
      </c>
      <c r="AK24" s="212" t="e">
        <f t="shared" si="47"/>
        <v>#N/A</v>
      </c>
      <c r="AL24" s="216" t="e">
        <f>-VLOOKUP($B24,'недельное планирование'!$B:$CA,AL$3,FALSE)</f>
        <v>#N/A</v>
      </c>
      <c r="AM24" s="162" t="e">
        <f t="shared" si="48"/>
        <v>#N/A</v>
      </c>
      <c r="AN24" s="212" t="e">
        <f t="shared" si="49"/>
        <v>#N/A</v>
      </c>
      <c r="AO24" s="216" t="e">
        <f>-VLOOKUP($B24,'недельное планирование'!$B:$CA,AO$3,FALSE)</f>
        <v>#N/A</v>
      </c>
      <c r="AP24" s="162" t="e">
        <f t="shared" si="50"/>
        <v>#N/A</v>
      </c>
      <c r="AQ24" s="212" t="e">
        <f t="shared" si="51"/>
        <v>#N/A</v>
      </c>
    </row>
    <row r="25" spans="1:43" ht="24" customHeight="1">
      <c r="A25" s="163" t="s">
        <v>20</v>
      </c>
      <c r="B25" s="232" t="s">
        <v>105</v>
      </c>
      <c r="C25" s="239">
        <v>3.3</v>
      </c>
      <c r="D25" s="239">
        <v>527</v>
      </c>
      <c r="E25" s="216">
        <f>-VLOOKUP($B25,'недельное планирование'!$B:$CA,E$3,FALSE)</f>
        <v>0</v>
      </c>
      <c r="F25" s="162">
        <f t="shared" si="26"/>
        <v>0</v>
      </c>
      <c r="G25" s="212">
        <f t="shared" si="27"/>
        <v>0</v>
      </c>
      <c r="H25" s="216">
        <f>-VLOOKUP($B25,'недельное планирование'!$B:$CA,H$3,FALSE)</f>
        <v>4.5</v>
      </c>
      <c r="I25" s="162">
        <f t="shared" si="28"/>
        <v>31.203947368421058</v>
      </c>
      <c r="J25" s="212">
        <f t="shared" si="29"/>
        <v>4.7278708133971286</v>
      </c>
      <c r="K25" s="216">
        <f>-VLOOKUP($B25,'недельное планирование'!$B:$CA,K$3,FALSE)</f>
        <v>0</v>
      </c>
      <c r="L25" s="162">
        <f t="shared" si="30"/>
        <v>0</v>
      </c>
      <c r="M25" s="212">
        <f t="shared" si="31"/>
        <v>0</v>
      </c>
      <c r="N25" s="216">
        <f>-VLOOKUP($B25,'недельное планирование'!$B:$CA,N$3,FALSE)</f>
        <v>0</v>
      </c>
      <c r="O25" s="162">
        <f t="shared" si="32"/>
        <v>0</v>
      </c>
      <c r="P25" s="212">
        <f t="shared" si="33"/>
        <v>0</v>
      </c>
      <c r="Q25" s="216">
        <f>-VLOOKUP($B25,'недельное планирование'!$B:$CA,Q$3,FALSE)</f>
        <v>1</v>
      </c>
      <c r="R25" s="162">
        <f t="shared" si="34"/>
        <v>6.9342105263157903</v>
      </c>
      <c r="S25" s="212">
        <f t="shared" si="35"/>
        <v>1.050637958532695</v>
      </c>
      <c r="T25" s="216">
        <f>-VLOOKUP($B25,'недельное планирование'!$B:$CA,T$3,FALSE)</f>
        <v>50</v>
      </c>
      <c r="U25" s="162">
        <f t="shared" si="36"/>
        <v>346.71052631578948</v>
      </c>
      <c r="V25" s="212">
        <f t="shared" si="37"/>
        <v>52.53189792663477</v>
      </c>
      <c r="W25" s="216">
        <f>-VLOOKUP($B25,'недельное планирование'!$B:$CA,W$3,FALSE)</f>
        <v>0</v>
      </c>
      <c r="X25" s="162">
        <f t="shared" si="38"/>
        <v>0</v>
      </c>
      <c r="Y25" s="212">
        <f t="shared" si="39"/>
        <v>0</v>
      </c>
      <c r="Z25" s="216">
        <f>-VLOOKUP($B25,'недельное планирование'!$B:$CA,Z$3,FALSE)</f>
        <v>0</v>
      </c>
      <c r="AA25" s="162">
        <f t="shared" si="40"/>
        <v>0</v>
      </c>
      <c r="AB25" s="212">
        <f t="shared" si="41"/>
        <v>0</v>
      </c>
      <c r="AC25" s="216">
        <f>-VLOOKUP($B25,'недельное планирование'!$B:$CA,AC$3,FALSE)</f>
        <v>111</v>
      </c>
      <c r="AD25" s="162">
        <f t="shared" si="42"/>
        <v>769.6973684210526</v>
      </c>
      <c r="AE25" s="212">
        <f t="shared" si="43"/>
        <v>116.62081339712927</v>
      </c>
      <c r="AF25" s="216">
        <f>-VLOOKUP($B25,'недельное планирование'!$B:$CA,AF$3,FALSE)</f>
        <v>0</v>
      </c>
      <c r="AG25" s="162">
        <f t="shared" si="44"/>
        <v>0</v>
      </c>
      <c r="AH25" s="212">
        <f t="shared" si="45"/>
        <v>0</v>
      </c>
      <c r="AI25" s="216" t="e">
        <f>-VLOOKUP($B25,'недельное планирование'!$B:$CA,AI$3,FALSE)</f>
        <v>#N/A</v>
      </c>
      <c r="AJ25" s="162" t="e">
        <f t="shared" si="46"/>
        <v>#N/A</v>
      </c>
      <c r="AK25" s="212" t="e">
        <f t="shared" si="47"/>
        <v>#N/A</v>
      </c>
      <c r="AL25" s="216" t="e">
        <f>-VLOOKUP($B25,'недельное планирование'!$B:$CA,AL$3,FALSE)</f>
        <v>#N/A</v>
      </c>
      <c r="AM25" s="162" t="e">
        <f t="shared" si="48"/>
        <v>#N/A</v>
      </c>
      <c r="AN25" s="212" t="e">
        <f t="shared" si="49"/>
        <v>#N/A</v>
      </c>
      <c r="AO25" s="216" t="e">
        <f>-VLOOKUP($B25,'недельное планирование'!$B:$CA,AO$3,FALSE)</f>
        <v>#N/A</v>
      </c>
      <c r="AP25" s="162" t="e">
        <f t="shared" si="50"/>
        <v>#N/A</v>
      </c>
      <c r="AQ25" s="212" t="e">
        <f t="shared" si="51"/>
        <v>#N/A</v>
      </c>
    </row>
    <row r="26" spans="1:43" ht="24" customHeight="1">
      <c r="A26" s="163" t="s">
        <v>20</v>
      </c>
      <c r="B26" s="232" t="s">
        <v>159</v>
      </c>
      <c r="C26" s="239">
        <v>3.3</v>
      </c>
      <c r="D26" s="239">
        <v>527</v>
      </c>
      <c r="E26" s="216">
        <f>-VLOOKUP($B26,'недельное планирование'!$B:$CA,E$3,FALSE)</f>
        <v>0</v>
      </c>
      <c r="F26" s="162">
        <f t="shared" si="26"/>
        <v>0</v>
      </c>
      <c r="G26" s="212">
        <f t="shared" si="27"/>
        <v>0</v>
      </c>
      <c r="H26" s="216">
        <f>-VLOOKUP($B26,'недельное планирование'!$B:$CA,H$3,FALSE)</f>
        <v>1173.5999999999999</v>
      </c>
      <c r="I26" s="162">
        <f t="shared" si="28"/>
        <v>8137.9894736842098</v>
      </c>
      <c r="J26" s="212">
        <f t="shared" si="29"/>
        <v>1233.0287081339711</v>
      </c>
      <c r="K26" s="216">
        <f>-VLOOKUP($B26,'недельное планирование'!$B:$CA,K$3,FALSE)</f>
        <v>1162.2</v>
      </c>
      <c r="L26" s="162">
        <f t="shared" si="30"/>
        <v>8058.9394736842114</v>
      </c>
      <c r="M26" s="212">
        <f t="shared" si="31"/>
        <v>1221.0514354066981</v>
      </c>
      <c r="N26" s="216">
        <f>-VLOOKUP($B26,'недельное планирование'!$B:$CA,N$3,FALSE)</f>
        <v>0</v>
      </c>
      <c r="O26" s="162">
        <f t="shared" si="32"/>
        <v>0</v>
      </c>
      <c r="P26" s="212">
        <f t="shared" si="33"/>
        <v>0</v>
      </c>
      <c r="Q26" s="216">
        <f>-VLOOKUP($B26,'недельное планирование'!$B:$CA,Q$3,FALSE)</f>
        <v>559.00000000000023</v>
      </c>
      <c r="R26" s="162">
        <f t="shared" si="34"/>
        <v>3876.2236842105281</v>
      </c>
      <c r="S26" s="212">
        <f t="shared" si="35"/>
        <v>587.30661881977676</v>
      </c>
      <c r="T26" s="216">
        <f>-VLOOKUP($B26,'недельное планирование'!$B:$CA,T$3,FALSE)</f>
        <v>1160.5</v>
      </c>
      <c r="U26" s="162">
        <f t="shared" si="36"/>
        <v>8047.1513157894733</v>
      </c>
      <c r="V26" s="212">
        <f t="shared" si="37"/>
        <v>1219.2653508771928</v>
      </c>
      <c r="W26" s="216">
        <f>-VLOOKUP($B26,'недельное планирование'!$B:$CA,W$3,FALSE)</f>
        <v>0</v>
      </c>
      <c r="X26" s="162">
        <f t="shared" si="38"/>
        <v>0</v>
      </c>
      <c r="Y26" s="212">
        <f t="shared" si="39"/>
        <v>0</v>
      </c>
      <c r="Z26" s="216">
        <f>-VLOOKUP($B26,'недельное планирование'!$B:$CA,Z$3,FALSE)</f>
        <v>0</v>
      </c>
      <c r="AA26" s="162">
        <f t="shared" si="40"/>
        <v>0</v>
      </c>
      <c r="AB26" s="212">
        <f t="shared" si="41"/>
        <v>0</v>
      </c>
      <c r="AC26" s="216">
        <f>-VLOOKUP($B26,'недельное планирование'!$B:$CA,AC$3,FALSE)</f>
        <v>1214.8333333333335</v>
      </c>
      <c r="AD26" s="162">
        <f t="shared" si="42"/>
        <v>8423.9100877192996</v>
      </c>
      <c r="AE26" s="212">
        <f t="shared" si="43"/>
        <v>1276.350013290803</v>
      </c>
      <c r="AF26" s="216">
        <f>-VLOOKUP($B26,'недельное планирование'!$B:$CA,AF$3,FALSE)</f>
        <v>0</v>
      </c>
      <c r="AG26" s="162">
        <f t="shared" si="44"/>
        <v>0</v>
      </c>
      <c r="AH26" s="212">
        <f t="shared" si="45"/>
        <v>0</v>
      </c>
      <c r="AI26" s="216" t="e">
        <f>-VLOOKUP($B26,'недельное планирование'!$B:$CA,AI$3,FALSE)</f>
        <v>#N/A</v>
      </c>
      <c r="AJ26" s="162" t="e">
        <f t="shared" si="46"/>
        <v>#N/A</v>
      </c>
      <c r="AK26" s="212" t="e">
        <f t="shared" si="47"/>
        <v>#N/A</v>
      </c>
      <c r="AL26" s="216" t="e">
        <f>-VLOOKUP($B26,'недельное планирование'!$B:$CA,AL$3,FALSE)</f>
        <v>#N/A</v>
      </c>
      <c r="AM26" s="162" t="e">
        <f t="shared" si="48"/>
        <v>#N/A</v>
      </c>
      <c r="AN26" s="212" t="e">
        <f t="shared" si="49"/>
        <v>#N/A</v>
      </c>
      <c r="AO26" s="216" t="e">
        <f>-VLOOKUP($B26,'недельное планирование'!$B:$CA,AO$3,FALSE)</f>
        <v>#N/A</v>
      </c>
      <c r="AP26" s="162" t="e">
        <f t="shared" si="50"/>
        <v>#N/A</v>
      </c>
      <c r="AQ26" s="212" t="e">
        <f t="shared" si="51"/>
        <v>#N/A</v>
      </c>
    </row>
    <row r="27" spans="1:43" ht="24" customHeight="1">
      <c r="A27" s="163" t="s">
        <v>19</v>
      </c>
      <c r="B27" s="232" t="s">
        <v>113</v>
      </c>
      <c r="C27" s="239">
        <v>3.6</v>
      </c>
      <c r="D27" s="239">
        <v>530</v>
      </c>
      <c r="E27" s="216">
        <f>-VLOOKUP($B27,'недельное планирование'!$B:$CA,E$3,FALSE)</f>
        <v>0</v>
      </c>
      <c r="F27" s="162">
        <f t="shared" si="26"/>
        <v>0</v>
      </c>
      <c r="G27" s="212">
        <f t="shared" si="27"/>
        <v>0</v>
      </c>
      <c r="H27" s="216">
        <f>-VLOOKUP($B27,'недельное планирование'!$B:$CA,H$3,FALSE)</f>
        <v>88.5</v>
      </c>
      <c r="I27" s="162">
        <f t="shared" si="28"/>
        <v>644.004576659039</v>
      </c>
      <c r="J27" s="212">
        <f t="shared" si="29"/>
        <v>35.77803203661324</v>
      </c>
      <c r="K27" s="216">
        <f>-VLOOKUP($B27,'недельное планирование'!$B:$CA,K$3,FALSE)</f>
        <v>0</v>
      </c>
      <c r="L27" s="162">
        <f t="shared" si="30"/>
        <v>0</v>
      </c>
      <c r="M27" s="212">
        <f t="shared" si="31"/>
        <v>0</v>
      </c>
      <c r="N27" s="216">
        <f>-VLOOKUP($B27,'недельное планирование'!$B:$CA,N$3,FALSE)</f>
        <v>0</v>
      </c>
      <c r="O27" s="162">
        <f t="shared" si="32"/>
        <v>0</v>
      </c>
      <c r="P27" s="212">
        <f t="shared" si="33"/>
        <v>0</v>
      </c>
      <c r="Q27" s="216">
        <f>-VLOOKUP($B27,'недельное планирование'!$B:$CA,Q$3,FALSE)</f>
        <v>10.666666666666661</v>
      </c>
      <c r="R27" s="162">
        <f t="shared" si="34"/>
        <v>77.620137299771145</v>
      </c>
      <c r="S27" s="212">
        <f t="shared" si="35"/>
        <v>4.3122298499872755</v>
      </c>
      <c r="T27" s="216">
        <f>-VLOOKUP($B27,'недельное планирование'!$B:$CA,T$3,FALSE)</f>
        <v>70</v>
      </c>
      <c r="U27" s="162">
        <f t="shared" si="36"/>
        <v>509.38215102974823</v>
      </c>
      <c r="V27" s="212">
        <f t="shared" si="37"/>
        <v>28.29900839054153</v>
      </c>
      <c r="W27" s="216">
        <f>-VLOOKUP($B27,'недельное планирование'!$B:$CA,W$3,FALSE)</f>
        <v>0</v>
      </c>
      <c r="X27" s="162">
        <f t="shared" si="38"/>
        <v>0</v>
      </c>
      <c r="Y27" s="212">
        <f t="shared" si="39"/>
        <v>0</v>
      </c>
      <c r="Z27" s="216">
        <f>-VLOOKUP($B27,'недельное планирование'!$B:$CA,Z$3,FALSE)</f>
        <v>0</v>
      </c>
      <c r="AA27" s="162">
        <f t="shared" si="40"/>
        <v>0</v>
      </c>
      <c r="AB27" s="212">
        <f t="shared" si="41"/>
        <v>0</v>
      </c>
      <c r="AC27" s="216">
        <f>-VLOOKUP($B27,'недельное планирование'!$B:$CA,AC$3,FALSE)</f>
        <v>97</v>
      </c>
      <c r="AD27" s="162">
        <f t="shared" si="42"/>
        <v>705.85812356979409</v>
      </c>
      <c r="AE27" s="212">
        <f t="shared" si="43"/>
        <v>39.214340198321906</v>
      </c>
      <c r="AF27" s="216">
        <f>-VLOOKUP($B27,'недельное планирование'!$B:$CA,AF$3,FALSE)</f>
        <v>0</v>
      </c>
      <c r="AG27" s="162">
        <f t="shared" si="44"/>
        <v>0</v>
      </c>
      <c r="AH27" s="212">
        <f t="shared" si="45"/>
        <v>0</v>
      </c>
      <c r="AI27" s="216" t="e">
        <f>-VLOOKUP($B27,'недельное планирование'!$B:$CA,AI$3,FALSE)</f>
        <v>#N/A</v>
      </c>
      <c r="AJ27" s="162" t="e">
        <f t="shared" si="46"/>
        <v>#N/A</v>
      </c>
      <c r="AK27" s="212" t="e">
        <f t="shared" si="47"/>
        <v>#N/A</v>
      </c>
      <c r="AL27" s="216" t="e">
        <f>-VLOOKUP($B27,'недельное планирование'!$B:$CA,AL$3,FALSE)</f>
        <v>#N/A</v>
      </c>
      <c r="AM27" s="162" t="e">
        <f t="shared" si="48"/>
        <v>#N/A</v>
      </c>
      <c r="AN27" s="212" t="e">
        <f t="shared" si="49"/>
        <v>#N/A</v>
      </c>
      <c r="AO27" s="216" t="e">
        <f>-VLOOKUP($B27,'недельное планирование'!$B:$CA,AO$3,FALSE)</f>
        <v>#N/A</v>
      </c>
      <c r="AP27" s="162" t="e">
        <f t="shared" si="50"/>
        <v>#N/A</v>
      </c>
      <c r="AQ27" s="212" t="e">
        <f t="shared" si="51"/>
        <v>#N/A</v>
      </c>
    </row>
    <row r="28" spans="1:43" ht="24" customHeight="1">
      <c r="A28" s="163" t="s">
        <v>63</v>
      </c>
      <c r="B28" s="232" t="s">
        <v>144</v>
      </c>
      <c r="C28" s="239">
        <v>3.3</v>
      </c>
      <c r="D28" s="239">
        <v>527</v>
      </c>
      <c r="E28" s="216">
        <f>-VLOOKUP($B28,'недельное планирование'!$B:$CA,E$3,FALSE)</f>
        <v>0</v>
      </c>
      <c r="F28" s="162">
        <f t="shared" si="26"/>
        <v>0</v>
      </c>
      <c r="G28" s="212">
        <f t="shared" si="27"/>
        <v>0</v>
      </c>
      <c r="H28" s="216">
        <f>-VLOOKUP($B28,'недельное планирование'!$B:$CA,H$3,FALSE)</f>
        <v>33</v>
      </c>
      <c r="I28" s="162">
        <f t="shared" si="28"/>
        <v>228.82894736842104</v>
      </c>
      <c r="J28" s="212">
        <f t="shared" si="29"/>
        <v>34.671052631578959</v>
      </c>
      <c r="K28" s="216">
        <f>-VLOOKUP($B28,'недельное планирование'!$B:$CA,K$3,FALSE)</f>
        <v>64.5</v>
      </c>
      <c r="L28" s="162">
        <f t="shared" si="30"/>
        <v>447.25657894736838</v>
      </c>
      <c r="M28" s="212">
        <f t="shared" si="31"/>
        <v>67.76614832535887</v>
      </c>
      <c r="N28" s="216">
        <f>-VLOOKUP($B28,'недельное планирование'!$B:$CA,N$3,FALSE)</f>
        <v>0</v>
      </c>
      <c r="O28" s="162">
        <f t="shared" si="32"/>
        <v>0</v>
      </c>
      <c r="P28" s="212">
        <f t="shared" si="33"/>
        <v>0</v>
      </c>
      <c r="Q28" s="216">
        <f>-VLOOKUP($B28,'недельное планирование'!$B:$CA,Q$3,FALSE)</f>
        <v>23</v>
      </c>
      <c r="R28" s="162">
        <f t="shared" si="34"/>
        <v>159.48684210526315</v>
      </c>
      <c r="S28" s="212">
        <f t="shared" si="35"/>
        <v>24.164673046252005</v>
      </c>
      <c r="T28" s="216">
        <f>-VLOOKUP($B28,'недельное планирование'!$B:$CA,T$3,FALSE)</f>
        <v>50</v>
      </c>
      <c r="U28" s="162">
        <f t="shared" si="36"/>
        <v>346.71052631578948</v>
      </c>
      <c r="V28" s="212">
        <f t="shared" si="37"/>
        <v>52.53189792663477</v>
      </c>
      <c r="W28" s="216">
        <f>-VLOOKUP($B28,'недельное планирование'!$B:$CA,W$3,FALSE)</f>
        <v>0</v>
      </c>
      <c r="X28" s="162">
        <f t="shared" si="38"/>
        <v>0</v>
      </c>
      <c r="Y28" s="212">
        <f t="shared" si="39"/>
        <v>0</v>
      </c>
      <c r="Z28" s="216">
        <f>-VLOOKUP($B28,'недельное планирование'!$B:$CA,Z$3,FALSE)</f>
        <v>0</v>
      </c>
      <c r="AA28" s="162">
        <f t="shared" si="40"/>
        <v>0</v>
      </c>
      <c r="AB28" s="212">
        <f t="shared" si="41"/>
        <v>0</v>
      </c>
      <c r="AC28" s="216">
        <f>-VLOOKUP($B28,'недельное планирование'!$B:$CA,AC$3,FALSE)</f>
        <v>22</v>
      </c>
      <c r="AD28" s="162">
        <f t="shared" si="42"/>
        <v>152.55263157894737</v>
      </c>
      <c r="AE28" s="212">
        <f t="shared" si="43"/>
        <v>23.114035087719287</v>
      </c>
      <c r="AF28" s="216">
        <f>-VLOOKUP($B28,'недельное планирование'!$B:$CA,AF$3,FALSE)</f>
        <v>0</v>
      </c>
      <c r="AG28" s="162">
        <f t="shared" si="44"/>
        <v>0</v>
      </c>
      <c r="AH28" s="212">
        <f t="shared" si="45"/>
        <v>0</v>
      </c>
      <c r="AI28" s="216">
        <f>-VLOOKUP($B28,'недельное планирование'!$B:$CA,AI$3,FALSE)</f>
        <v>175.65625</v>
      </c>
      <c r="AJ28" s="162">
        <f t="shared" si="46"/>
        <v>1218.0374177631579</v>
      </c>
      <c r="AK28" s="212">
        <f t="shared" si="47"/>
        <v>184.55112390350882</v>
      </c>
      <c r="AL28" s="216">
        <f>-VLOOKUP($B28,'недельное планирование'!$B:$CA,AL$3,FALSE)</f>
        <v>175.65625</v>
      </c>
      <c r="AM28" s="162">
        <f t="shared" si="48"/>
        <v>1218.0374177631579</v>
      </c>
      <c r="AN28" s="212">
        <f t="shared" si="49"/>
        <v>184.55112390350882</v>
      </c>
      <c r="AO28" s="216">
        <f>-VLOOKUP($B28,'недельное планирование'!$B:$CA,AO$3,FALSE)</f>
        <v>175.65625</v>
      </c>
      <c r="AP28" s="162">
        <f t="shared" si="50"/>
        <v>1218.0374177631579</v>
      </c>
      <c r="AQ28" s="212">
        <f t="shared" si="51"/>
        <v>184.55112390350882</v>
      </c>
    </row>
    <row r="29" spans="1:43" ht="24" customHeight="1">
      <c r="A29" s="163" t="s">
        <v>64</v>
      </c>
      <c r="B29" s="232" t="s">
        <v>145</v>
      </c>
      <c r="C29" s="239">
        <v>3.3</v>
      </c>
      <c r="D29" s="239">
        <v>527</v>
      </c>
      <c r="E29" s="216">
        <f>-VLOOKUP($B29,'недельное планирование'!$B:$CA,E$3,FALSE)</f>
        <v>0</v>
      </c>
      <c r="F29" s="162">
        <f t="shared" si="26"/>
        <v>0</v>
      </c>
      <c r="G29" s="212">
        <f t="shared" si="27"/>
        <v>0</v>
      </c>
      <c r="H29" s="216">
        <f>-VLOOKUP($B29,'недельное планирование'!$B:$CA,H$3,FALSE)</f>
        <v>310.2</v>
      </c>
      <c r="I29" s="162">
        <f t="shared" si="28"/>
        <v>2150.992105263158</v>
      </c>
      <c r="J29" s="212">
        <f t="shared" si="29"/>
        <v>325.90789473684208</v>
      </c>
      <c r="K29" s="216">
        <f>-VLOOKUP($B29,'недельное планирование'!$B:$CA,K$3,FALSE)</f>
        <v>505.2</v>
      </c>
      <c r="L29" s="162">
        <f t="shared" si="30"/>
        <v>3503.1631578947367</v>
      </c>
      <c r="M29" s="212">
        <f t="shared" si="31"/>
        <v>530.78229665071785</v>
      </c>
      <c r="N29" s="216">
        <f>-VLOOKUP($B29,'недельное планирование'!$B:$CA,N$3,FALSE)</f>
        <v>0</v>
      </c>
      <c r="O29" s="162">
        <f t="shared" si="32"/>
        <v>0</v>
      </c>
      <c r="P29" s="212">
        <f t="shared" si="33"/>
        <v>0</v>
      </c>
      <c r="Q29" s="216">
        <f>-VLOOKUP($B29,'недельное планирование'!$B:$CA,Q$3,FALSE)</f>
        <v>100</v>
      </c>
      <c r="R29" s="162">
        <f t="shared" si="34"/>
        <v>693.42105263157896</v>
      </c>
      <c r="S29" s="212">
        <f t="shared" si="35"/>
        <v>105.06379585326954</v>
      </c>
      <c r="T29" s="216">
        <f>-VLOOKUP($B29,'недельное планирование'!$B:$CA,T$3,FALSE)</f>
        <v>80</v>
      </c>
      <c r="U29" s="162">
        <f t="shared" si="36"/>
        <v>554.73684210526324</v>
      </c>
      <c r="V29" s="212">
        <f t="shared" si="37"/>
        <v>84.051036682615518</v>
      </c>
      <c r="W29" s="216">
        <f>-VLOOKUP($B29,'недельное планирование'!$B:$CA,W$3,FALSE)</f>
        <v>0</v>
      </c>
      <c r="X29" s="162">
        <f t="shared" si="38"/>
        <v>0</v>
      </c>
      <c r="Y29" s="212">
        <f t="shared" si="39"/>
        <v>0</v>
      </c>
      <c r="Z29" s="216">
        <f>-VLOOKUP($B29,'недельное планирование'!$B:$CA,Z$3,FALSE)</f>
        <v>0</v>
      </c>
      <c r="AA29" s="162">
        <f t="shared" si="40"/>
        <v>0</v>
      </c>
      <c r="AB29" s="212">
        <f t="shared" si="41"/>
        <v>0</v>
      </c>
      <c r="AC29" s="216">
        <f>-VLOOKUP($B29,'недельное планирование'!$B:$CA,AC$3,FALSE)</f>
        <v>285</v>
      </c>
      <c r="AD29" s="162">
        <f t="shared" si="42"/>
        <v>1976.2500000000002</v>
      </c>
      <c r="AE29" s="212">
        <f t="shared" si="43"/>
        <v>299.43181818181824</v>
      </c>
      <c r="AF29" s="216">
        <f>-VLOOKUP($B29,'недельное планирование'!$B:$CA,AF$3,FALSE)</f>
        <v>0</v>
      </c>
      <c r="AG29" s="162">
        <f t="shared" si="44"/>
        <v>0</v>
      </c>
      <c r="AH29" s="212">
        <f t="shared" si="45"/>
        <v>0</v>
      </c>
      <c r="AI29" s="216" t="e">
        <f>-VLOOKUP($B29,'недельное планирование'!$B:$CA,AI$3,FALSE)</f>
        <v>#N/A</v>
      </c>
      <c r="AJ29" s="162" t="e">
        <f t="shared" si="46"/>
        <v>#N/A</v>
      </c>
      <c r="AK29" s="212" t="e">
        <f t="shared" si="47"/>
        <v>#N/A</v>
      </c>
      <c r="AL29" s="216" t="e">
        <f>-VLOOKUP($B29,'недельное планирование'!$B:$CA,AL$3,FALSE)</f>
        <v>#N/A</v>
      </c>
      <c r="AM29" s="162" t="e">
        <f t="shared" si="48"/>
        <v>#N/A</v>
      </c>
      <c r="AN29" s="212" t="e">
        <f t="shared" si="49"/>
        <v>#N/A</v>
      </c>
      <c r="AO29" s="216" t="e">
        <f>-VLOOKUP($B29,'недельное планирование'!$B:$CA,AO$3,FALSE)</f>
        <v>#N/A</v>
      </c>
      <c r="AP29" s="162" t="e">
        <f t="shared" si="50"/>
        <v>#N/A</v>
      </c>
      <c r="AQ29" s="212" t="e">
        <f t="shared" si="51"/>
        <v>#N/A</v>
      </c>
    </row>
    <row r="30" spans="1:43" ht="24" customHeight="1">
      <c r="A30" s="163" t="s">
        <v>58</v>
      </c>
      <c r="B30" s="232" t="s">
        <v>98</v>
      </c>
      <c r="C30" s="239">
        <v>3.3</v>
      </c>
      <c r="D30" s="239">
        <v>527</v>
      </c>
      <c r="E30" s="216">
        <f>-VLOOKUP($B30,'недельное планирование'!$B:$CA,E$3,FALSE)</f>
        <v>0</v>
      </c>
      <c r="F30" s="162">
        <f t="shared" si="26"/>
        <v>0</v>
      </c>
      <c r="G30" s="212">
        <f t="shared" si="27"/>
        <v>0</v>
      </c>
      <c r="H30" s="216">
        <f>-VLOOKUP($B30,'недельное планирование'!$B:$CA,H$3,FALSE)</f>
        <v>298.8</v>
      </c>
      <c r="I30" s="162">
        <f t="shared" si="28"/>
        <v>2071.9421052631578</v>
      </c>
      <c r="J30" s="212">
        <f t="shared" si="29"/>
        <v>313.93062200956956</v>
      </c>
      <c r="K30" s="216">
        <f>-VLOOKUP($B30,'недельное планирование'!$B:$CA,K$3,FALSE)</f>
        <v>0</v>
      </c>
      <c r="L30" s="162">
        <f t="shared" si="30"/>
        <v>0</v>
      </c>
      <c r="M30" s="212">
        <f t="shared" si="31"/>
        <v>0</v>
      </c>
      <c r="N30" s="216">
        <f>-VLOOKUP($B30,'недельное планирование'!$B:$CA,N$3,FALSE)</f>
        <v>0</v>
      </c>
      <c r="O30" s="162">
        <f t="shared" si="32"/>
        <v>0</v>
      </c>
      <c r="P30" s="212">
        <f t="shared" si="33"/>
        <v>0</v>
      </c>
      <c r="Q30" s="216">
        <f>-VLOOKUP($B30,'недельное планирование'!$B:$CA,Q$3,FALSE)</f>
        <v>220</v>
      </c>
      <c r="R30" s="162">
        <f t="shared" si="34"/>
        <v>1525.5263157894738</v>
      </c>
      <c r="S30" s="212">
        <f t="shared" si="35"/>
        <v>231.14035087719299</v>
      </c>
      <c r="T30" s="216">
        <f>-VLOOKUP($B30,'недельное планирование'!$B:$CA,T$3,FALSE)</f>
        <v>0</v>
      </c>
      <c r="U30" s="162">
        <f t="shared" si="36"/>
        <v>0</v>
      </c>
      <c r="V30" s="212">
        <f t="shared" si="37"/>
        <v>0</v>
      </c>
      <c r="W30" s="216">
        <f>-VLOOKUP($B30,'недельное планирование'!$B:$CA,W$3,FALSE)</f>
        <v>0</v>
      </c>
      <c r="X30" s="162">
        <f t="shared" si="38"/>
        <v>0</v>
      </c>
      <c r="Y30" s="212">
        <f t="shared" si="39"/>
        <v>0</v>
      </c>
      <c r="Z30" s="216">
        <f>-VLOOKUP($B30,'недельное планирование'!$B:$CA,Z$3,FALSE)</f>
        <v>0</v>
      </c>
      <c r="AA30" s="162">
        <f t="shared" si="40"/>
        <v>0</v>
      </c>
      <c r="AB30" s="212">
        <f t="shared" si="41"/>
        <v>0</v>
      </c>
      <c r="AC30" s="216">
        <f>-VLOOKUP($B30,'недельное планирование'!$B:$CA,AC$3,FALSE)</f>
        <v>220</v>
      </c>
      <c r="AD30" s="162">
        <f t="shared" si="42"/>
        <v>1525.5263157894738</v>
      </c>
      <c r="AE30" s="212">
        <f t="shared" si="43"/>
        <v>231.14035087719299</v>
      </c>
      <c r="AF30" s="216">
        <f>-VLOOKUP($B30,'недельное планирование'!$B:$CA,AF$3,FALSE)</f>
        <v>0</v>
      </c>
      <c r="AG30" s="162">
        <f t="shared" si="44"/>
        <v>0</v>
      </c>
      <c r="AH30" s="212">
        <f t="shared" si="45"/>
        <v>0</v>
      </c>
      <c r="AI30" s="216">
        <f>-VLOOKUP($B30,'недельное планирование'!$B:$CA,AI$3,FALSE)</f>
        <v>500</v>
      </c>
      <c r="AJ30" s="162">
        <f t="shared" si="46"/>
        <v>3467.105263157895</v>
      </c>
      <c r="AK30" s="212">
        <f t="shared" si="47"/>
        <v>525.31897926634747</v>
      </c>
      <c r="AL30" s="216">
        <f>-VLOOKUP($B30,'недельное планирование'!$B:$CA,AL$3,FALSE)</f>
        <v>500</v>
      </c>
      <c r="AM30" s="162">
        <f t="shared" si="48"/>
        <v>3467.105263157895</v>
      </c>
      <c r="AN30" s="212">
        <f t="shared" si="49"/>
        <v>525.31897926634747</v>
      </c>
      <c r="AO30" s="216">
        <f>-VLOOKUP($B30,'недельное планирование'!$B:$CA,AO$3,FALSE)</f>
        <v>500</v>
      </c>
      <c r="AP30" s="162">
        <f t="shared" si="50"/>
        <v>3467.105263157895</v>
      </c>
      <c r="AQ30" s="212">
        <f t="shared" si="51"/>
        <v>525.31897926634747</v>
      </c>
    </row>
    <row r="31" spans="1:43" ht="24" customHeight="1">
      <c r="A31" s="163" t="s">
        <v>41</v>
      </c>
      <c r="B31" s="232" t="s">
        <v>115</v>
      </c>
      <c r="C31" s="239">
        <v>3.3</v>
      </c>
      <c r="D31" s="239">
        <v>527</v>
      </c>
      <c r="E31" s="216">
        <f>-VLOOKUP($B31,'недельное планирование'!$B:$CA,E$3,FALSE)</f>
        <v>0</v>
      </c>
      <c r="F31" s="162">
        <f t="shared" si="26"/>
        <v>0</v>
      </c>
      <c r="G31" s="212">
        <f t="shared" si="27"/>
        <v>0</v>
      </c>
      <c r="H31" s="216">
        <f>-VLOOKUP($B31,'недельное планирование'!$B:$CA,H$3,FALSE)</f>
        <v>445.5</v>
      </c>
      <c r="I31" s="162">
        <f t="shared" si="28"/>
        <v>3089.1907894736842</v>
      </c>
      <c r="J31" s="212">
        <f t="shared" si="29"/>
        <v>468.05921052631584</v>
      </c>
      <c r="K31" s="216">
        <f>-VLOOKUP($B31,'недельное планирование'!$B:$CA,K$3,FALSE)</f>
        <v>60</v>
      </c>
      <c r="L31" s="162">
        <f t="shared" si="30"/>
        <v>416.0526315789474</v>
      </c>
      <c r="M31" s="212">
        <f t="shared" si="31"/>
        <v>63.038277511961724</v>
      </c>
      <c r="N31" s="216">
        <f>-VLOOKUP($B31,'недельное планирование'!$B:$CA,N$3,FALSE)</f>
        <v>0</v>
      </c>
      <c r="O31" s="162">
        <f t="shared" si="32"/>
        <v>0</v>
      </c>
      <c r="P31" s="212">
        <f t="shared" si="33"/>
        <v>0</v>
      </c>
      <c r="Q31" s="216">
        <f>-VLOOKUP($B31,'недельное планирование'!$B:$CA,Q$3,FALSE)</f>
        <v>587</v>
      </c>
      <c r="R31" s="162">
        <f t="shared" si="34"/>
        <v>4070.3815789473688</v>
      </c>
      <c r="S31" s="212">
        <f t="shared" si="35"/>
        <v>616.72448165869218</v>
      </c>
      <c r="T31" s="216">
        <f>-VLOOKUP($B31,'недельное планирование'!$B:$CA,T$3,FALSE)</f>
        <v>220</v>
      </c>
      <c r="U31" s="162">
        <f t="shared" si="36"/>
        <v>1525.5263157894738</v>
      </c>
      <c r="V31" s="212">
        <f t="shared" si="37"/>
        <v>231.14035087719299</v>
      </c>
      <c r="W31" s="216">
        <f>-VLOOKUP($B31,'недельное планирование'!$B:$CA,W$3,FALSE)</f>
        <v>0</v>
      </c>
      <c r="X31" s="162">
        <f t="shared" si="38"/>
        <v>0</v>
      </c>
      <c r="Y31" s="212">
        <f t="shared" si="39"/>
        <v>0</v>
      </c>
      <c r="Z31" s="216">
        <f>-VLOOKUP($B31,'недельное планирование'!$B:$CA,Z$3,FALSE)</f>
        <v>0</v>
      </c>
      <c r="AA31" s="162">
        <f t="shared" si="40"/>
        <v>0</v>
      </c>
      <c r="AB31" s="212">
        <f t="shared" si="41"/>
        <v>0</v>
      </c>
      <c r="AC31" s="216">
        <f>-VLOOKUP($B31,'недельное планирование'!$B:$CA,AC$3,FALSE)</f>
        <v>766</v>
      </c>
      <c r="AD31" s="162">
        <f t="shared" si="42"/>
        <v>5311.605263157895</v>
      </c>
      <c r="AE31" s="212">
        <f t="shared" si="43"/>
        <v>804.78867623604401</v>
      </c>
      <c r="AF31" s="216">
        <f>-VLOOKUP($B31,'недельное планирование'!$B:$CA,AF$3,FALSE)</f>
        <v>0</v>
      </c>
      <c r="AG31" s="162">
        <f t="shared" si="44"/>
        <v>0</v>
      </c>
      <c r="AH31" s="212">
        <f t="shared" si="45"/>
        <v>0</v>
      </c>
      <c r="AI31" s="216" t="e">
        <f>-VLOOKUP($B31,'недельное планирование'!$B:$CA,AI$3,FALSE)</f>
        <v>#N/A</v>
      </c>
      <c r="AJ31" s="162" t="e">
        <f t="shared" si="46"/>
        <v>#N/A</v>
      </c>
      <c r="AK31" s="212" t="e">
        <f t="shared" si="47"/>
        <v>#N/A</v>
      </c>
      <c r="AL31" s="216" t="e">
        <f>-VLOOKUP($B31,'недельное планирование'!$B:$CA,AL$3,FALSE)</f>
        <v>#N/A</v>
      </c>
      <c r="AM31" s="162" t="e">
        <f t="shared" si="48"/>
        <v>#N/A</v>
      </c>
      <c r="AN31" s="212" t="e">
        <f t="shared" si="49"/>
        <v>#N/A</v>
      </c>
      <c r="AO31" s="216" t="e">
        <f>-VLOOKUP($B31,'недельное планирование'!$B:$CA,AO$3,FALSE)</f>
        <v>#N/A</v>
      </c>
      <c r="AP31" s="162" t="e">
        <f t="shared" si="50"/>
        <v>#N/A</v>
      </c>
      <c r="AQ31" s="212" t="e">
        <f t="shared" si="51"/>
        <v>#N/A</v>
      </c>
    </row>
    <row r="32" spans="1:43" ht="24" customHeight="1">
      <c r="A32" s="163"/>
      <c r="B32" s="232"/>
      <c r="C32" s="239"/>
      <c r="D32" s="239"/>
      <c r="E32" s="216"/>
      <c r="F32" s="162"/>
      <c r="G32" s="212"/>
      <c r="H32" s="216"/>
      <c r="I32" s="162"/>
      <c r="J32" s="212"/>
      <c r="K32" s="216"/>
      <c r="L32" s="162"/>
      <c r="M32" s="212"/>
      <c r="N32" s="216"/>
      <c r="O32" s="162"/>
      <c r="P32" s="212"/>
      <c r="Q32" s="216"/>
      <c r="R32" s="162"/>
      <c r="S32" s="212"/>
      <c r="T32" s="216"/>
      <c r="U32" s="162"/>
      <c r="V32" s="212"/>
      <c r="W32" s="216"/>
      <c r="X32" s="162"/>
      <c r="Y32" s="212"/>
      <c r="Z32" s="216"/>
      <c r="AA32" s="162"/>
      <c r="AB32" s="212"/>
      <c r="AC32" s="216"/>
      <c r="AD32" s="162"/>
      <c r="AE32" s="212"/>
      <c r="AF32" s="216"/>
      <c r="AG32" s="162"/>
      <c r="AH32" s="212"/>
      <c r="AI32" s="216"/>
      <c r="AJ32" s="162"/>
      <c r="AK32" s="212"/>
      <c r="AL32" s="216"/>
      <c r="AM32" s="162"/>
      <c r="AN32" s="212"/>
      <c r="AO32" s="216"/>
      <c r="AP32" s="162"/>
      <c r="AQ32" s="212"/>
    </row>
    <row r="33" spans="1:43" s="211" customFormat="1" ht="23.1" customHeight="1">
      <c r="C33" s="238"/>
      <c r="D33" s="238"/>
      <c r="E33" s="214"/>
      <c r="F33" s="207"/>
      <c r="G33" s="207"/>
      <c r="H33" s="214"/>
      <c r="I33" s="207"/>
      <c r="J33" s="207"/>
      <c r="K33" s="214"/>
      <c r="L33" s="207"/>
      <c r="M33" s="207"/>
      <c r="N33" s="214"/>
      <c r="O33" s="207"/>
      <c r="P33" s="207"/>
      <c r="Q33" s="214"/>
      <c r="R33" s="207"/>
      <c r="S33" s="207"/>
      <c r="T33" s="214"/>
      <c r="U33" s="207"/>
      <c r="V33" s="207"/>
      <c r="W33" s="214"/>
      <c r="X33" s="207"/>
      <c r="Y33" s="207"/>
      <c r="Z33" s="214"/>
      <c r="AA33" s="207"/>
      <c r="AB33" s="207"/>
      <c r="AC33" s="214"/>
      <c r="AD33" s="207"/>
      <c r="AE33" s="207"/>
      <c r="AF33" s="214"/>
      <c r="AG33" s="207"/>
      <c r="AH33" s="207"/>
      <c r="AI33" s="214"/>
      <c r="AJ33" s="207"/>
      <c r="AK33" s="207"/>
      <c r="AL33" s="214"/>
      <c r="AM33" s="207"/>
      <c r="AN33" s="207"/>
      <c r="AO33" s="214"/>
      <c r="AP33" s="207"/>
      <c r="AQ33" s="207"/>
    </row>
    <row r="34" spans="1:43" ht="24" customHeight="1">
      <c r="A34" s="229"/>
      <c r="B34" s="227"/>
      <c r="C34" s="239"/>
      <c r="D34" s="239"/>
      <c r="E34" s="216"/>
      <c r="F34" s="162"/>
      <c r="G34" s="212"/>
      <c r="H34" s="216"/>
      <c r="I34" s="162"/>
      <c r="J34" s="212"/>
      <c r="K34" s="216"/>
      <c r="L34" s="162"/>
      <c r="M34" s="212"/>
      <c r="N34" s="216"/>
      <c r="O34" s="162"/>
      <c r="P34" s="212"/>
      <c r="Q34" s="216"/>
      <c r="R34" s="162"/>
      <c r="S34" s="212"/>
      <c r="T34" s="216"/>
      <c r="U34" s="162"/>
      <c r="V34" s="212"/>
      <c r="W34" s="216"/>
      <c r="X34" s="162"/>
      <c r="Y34" s="212"/>
      <c r="Z34" s="216"/>
      <c r="AA34" s="162"/>
      <c r="AB34" s="212"/>
      <c r="AC34" s="216"/>
      <c r="AD34" s="162"/>
      <c r="AE34" s="212"/>
      <c r="AF34" s="216"/>
      <c r="AG34" s="162"/>
      <c r="AH34" s="212"/>
      <c r="AI34" s="216"/>
      <c r="AJ34" s="162"/>
      <c r="AK34" s="212"/>
      <c r="AL34" s="216"/>
      <c r="AM34" s="162"/>
      <c r="AN34" s="212"/>
      <c r="AO34" s="216"/>
      <c r="AP34" s="162"/>
      <c r="AQ34" s="212"/>
    </row>
    <row r="35" spans="1:43" ht="24" customHeight="1">
      <c r="A35" s="229" t="s">
        <v>46</v>
      </c>
      <c r="B35" s="227" t="s">
        <v>177</v>
      </c>
      <c r="C35" s="239">
        <v>2.7</v>
      </c>
      <c r="D35" s="239">
        <v>578</v>
      </c>
      <c r="E35" s="216">
        <f>-VLOOKUP($B35,'недельное планирование'!$B:$CA,E$3,FALSE)</f>
        <v>600</v>
      </c>
      <c r="F35" s="162">
        <f>$D35*100/($C35+$C$3)*E35/1000*$C35/$C$2</f>
        <v>4106.8421052631584</v>
      </c>
      <c r="G35" s="212">
        <f>$D35*100/($C35+$C$3)*E35/1000-F35</f>
        <v>1673.1578947368416</v>
      </c>
      <c r="H35" s="216">
        <f>-VLOOKUP($B35,'недельное планирование'!$B:$CA,H$3,FALSE)</f>
        <v>0</v>
      </c>
      <c r="I35" s="162">
        <f>$D35*100/($C35+$C$3)*H35/1000*$C35/$C$2</f>
        <v>0</v>
      </c>
      <c r="J35" s="212">
        <f>$D35*100/($C35+$C$3)*H35/1000-I35</f>
        <v>0</v>
      </c>
      <c r="K35" s="216">
        <f>-VLOOKUP($B35,'недельное планирование'!$B:$CA,K$3,FALSE)</f>
        <v>300</v>
      </c>
      <c r="L35" s="162">
        <f>$D35*100/($C35+$C$3)*K35/1000*$C35/$C$2</f>
        <v>2053.4210526315792</v>
      </c>
      <c r="M35" s="212">
        <f>$D35*100/($C35+$C$3)*K35/1000-L35</f>
        <v>836.57894736842081</v>
      </c>
      <c r="N35" s="216">
        <f>-VLOOKUP($B35,'недельное планирование'!$B:$CA,N$3,FALSE)</f>
        <v>0</v>
      </c>
      <c r="O35" s="162">
        <f>$D35*100/($C35+$C$3)*N35/1000*$C35/$C$2</f>
        <v>0</v>
      </c>
      <c r="P35" s="212">
        <f>$D35*100/($C35+$C$3)*N35/1000-O35</f>
        <v>0</v>
      </c>
      <c r="Q35" s="216">
        <f>-VLOOKUP($B35,'недельное планирование'!$B:$CA,Q$3,FALSE)</f>
        <v>0</v>
      </c>
      <c r="R35" s="162">
        <f>$D35*100/($C35+$C$3)*Q35/1000*$C35/$C$2</f>
        <v>0</v>
      </c>
      <c r="S35" s="212">
        <f>$D35*100/($C35+$C$3)*Q35/1000-R35</f>
        <v>0</v>
      </c>
      <c r="T35" s="216">
        <f>-VLOOKUP($B35,'недельное планирование'!$B:$CA,T$3,FALSE)</f>
        <v>660</v>
      </c>
      <c r="U35" s="162">
        <f>$D35*100/($C35+$C$3)*T35/1000*$C35/$C$2</f>
        <v>4517.5263157894742</v>
      </c>
      <c r="V35" s="212">
        <f>$D35*100/($C35+$C$3)*T35/1000-U35</f>
        <v>1840.4736842105258</v>
      </c>
      <c r="W35" s="216">
        <f>-VLOOKUP($B35,'недельное планирование'!$B:$CA,W$3,FALSE)</f>
        <v>0</v>
      </c>
      <c r="X35" s="162">
        <f>$D35*100/($C35+$C$3)*W35/1000*$C35/$C$2</f>
        <v>0</v>
      </c>
      <c r="Y35" s="212">
        <f>$D35*100/($C35+$C$3)*W35/1000-X35</f>
        <v>0</v>
      </c>
      <c r="Z35" s="216">
        <f>-VLOOKUP($B35,'недельное планирование'!$B:$CA,Z$3,FALSE)</f>
        <v>0</v>
      </c>
      <c r="AA35" s="162">
        <f>$D35*100/($C35+$C$3)*Z35/1000*$C35/$C$2</f>
        <v>0</v>
      </c>
      <c r="AB35" s="212">
        <f>$D35*100/($C35+$C$3)*Z35/1000-AA35</f>
        <v>0</v>
      </c>
      <c r="AC35" s="216">
        <f>-VLOOKUP($B35,'недельное планирование'!$B:$CA,AC$3,FALSE)</f>
        <v>0</v>
      </c>
      <c r="AD35" s="162">
        <f>$D35*100/($C35+$C$3)*AC35/1000*$C35/$C$2</f>
        <v>0</v>
      </c>
      <c r="AE35" s="212">
        <f>$D35*100/($C35+$C$3)*AC35/1000-AD35</f>
        <v>0</v>
      </c>
      <c r="AF35" s="216">
        <f>-VLOOKUP($B35,'недельное планирование'!$B:$CA,AF$3,FALSE)</f>
        <v>0</v>
      </c>
      <c r="AG35" s="162">
        <f>$D35*100/($C35+$C$3)*AF35/1000*$C35/$C$2</f>
        <v>0</v>
      </c>
      <c r="AH35" s="212">
        <f>$D35*100/($C35+$C$3)*AF35/1000-AG35</f>
        <v>0</v>
      </c>
      <c r="AI35" s="216" t="e">
        <f>-VLOOKUP($B35,'недельное планирование'!$B:$CA,AI$3,FALSE)</f>
        <v>#N/A</v>
      </c>
      <c r="AJ35" s="162" t="e">
        <f>$D35*100/($C35+$C$3)*AI35/1000*$C35/$C$2</f>
        <v>#N/A</v>
      </c>
      <c r="AK35" s="212" t="e">
        <f>$D35*100/($C35+$C$3)*AI35/1000-AJ35</f>
        <v>#N/A</v>
      </c>
      <c r="AL35" s="216" t="e">
        <f>-VLOOKUP($B35,'недельное планирование'!$B:$CA,AL$3,FALSE)</f>
        <v>#N/A</v>
      </c>
      <c r="AM35" s="162" t="e">
        <f>$D35*100/($C35+$C$3)*AL35/1000*$C35/$C$2</f>
        <v>#N/A</v>
      </c>
      <c r="AN35" s="212" t="e">
        <f>$D35*100/($C35+$C$3)*AL35/1000-AM35</f>
        <v>#N/A</v>
      </c>
      <c r="AO35" s="216" t="e">
        <f>-VLOOKUP($B35,'недельное планирование'!$B:$CA,AO$3,FALSE)</f>
        <v>#N/A</v>
      </c>
      <c r="AP35" s="162" t="e">
        <f>$D35*100/($C35+$C$3)*AO35/1000*$C35/$C$2</f>
        <v>#N/A</v>
      </c>
      <c r="AQ35" s="212" t="e">
        <f>$D35*100/($C35+$C$3)*AO35/1000-AP35</f>
        <v>#N/A</v>
      </c>
    </row>
    <row r="36" spans="1:43" ht="24" customHeight="1">
      <c r="A36" s="229" t="s">
        <v>166</v>
      </c>
      <c r="B36" s="227" t="s">
        <v>167</v>
      </c>
      <c r="C36" s="239">
        <v>2.7</v>
      </c>
      <c r="D36" s="239">
        <v>578</v>
      </c>
      <c r="E36" s="216">
        <f>-VLOOKUP($B36,'недельное планирование'!$B:$CA,E$3,FALSE)</f>
        <v>0</v>
      </c>
      <c r="F36" s="162">
        <f>$D36*100/($C36+$C$3)*E36/1000*$C36/$C$2</f>
        <v>0</v>
      </c>
      <c r="G36" s="212">
        <f>$D36*100/($C36+$C$3)*E36/1000-F36</f>
        <v>0</v>
      </c>
      <c r="H36" s="216">
        <f>-VLOOKUP($B36,'недельное планирование'!$B:$CA,H$3,FALSE)</f>
        <v>0</v>
      </c>
      <c r="I36" s="162">
        <f>$D36*100/($C36+$C$3)*H36/1000*$C36/$C$2</f>
        <v>0</v>
      </c>
      <c r="J36" s="212">
        <f>$D36*100/($C36+$C$3)*H36/1000-I36</f>
        <v>0</v>
      </c>
      <c r="K36" s="216">
        <f>-VLOOKUP($B36,'недельное планирование'!$B:$CA,K$3,FALSE)</f>
        <v>0</v>
      </c>
      <c r="L36" s="162">
        <f>$D36*100/($C36+$C$3)*K36/1000*$C36/$C$2</f>
        <v>0</v>
      </c>
      <c r="M36" s="212">
        <f>$D36*100/($C36+$C$3)*K36/1000-L36</f>
        <v>0</v>
      </c>
      <c r="N36" s="216">
        <f>-VLOOKUP($B36,'недельное планирование'!$B:$CA,N$3,FALSE)</f>
        <v>0</v>
      </c>
      <c r="O36" s="162">
        <f>$D36*100/($C36+$C$3)*N36/1000*$C36/$C$2</f>
        <v>0</v>
      </c>
      <c r="P36" s="212">
        <f>$D36*100/($C36+$C$3)*N36/1000-O36</f>
        <v>0</v>
      </c>
      <c r="Q36" s="216">
        <f>-VLOOKUP($B36,'недельное планирование'!$B:$CA,Q$3,FALSE)</f>
        <v>0</v>
      </c>
      <c r="R36" s="162">
        <f>$D36*100/($C36+$C$3)*Q36/1000*$C36/$C$2</f>
        <v>0</v>
      </c>
      <c r="S36" s="212">
        <f>$D36*100/($C36+$C$3)*Q36/1000-R36</f>
        <v>0</v>
      </c>
      <c r="T36" s="216">
        <f>-VLOOKUP($B36,'недельное планирование'!$B:$CA,T$3,FALSE)</f>
        <v>0</v>
      </c>
      <c r="U36" s="162">
        <f>$D36*100/($C36+$C$3)*T36/1000*$C36/$C$2</f>
        <v>0</v>
      </c>
      <c r="V36" s="212">
        <f>$D36*100/($C36+$C$3)*T36/1000-U36</f>
        <v>0</v>
      </c>
      <c r="W36" s="216">
        <f>-VLOOKUP($B36,'недельное планирование'!$B:$CA,W$3,FALSE)</f>
        <v>0</v>
      </c>
      <c r="X36" s="162">
        <f>$D36*100/($C36+$C$3)*W36/1000*$C36/$C$2</f>
        <v>0</v>
      </c>
      <c r="Y36" s="212">
        <f>$D36*100/($C36+$C$3)*W36/1000-X36</f>
        <v>0</v>
      </c>
      <c r="Z36" s="216">
        <f>-VLOOKUP($B36,'недельное планирование'!$B:$CA,Z$3,FALSE)</f>
        <v>0</v>
      </c>
      <c r="AA36" s="162">
        <f>$D36*100/($C36+$C$3)*Z36/1000*$C36/$C$2</f>
        <v>0</v>
      </c>
      <c r="AB36" s="212">
        <f>$D36*100/($C36+$C$3)*Z36/1000-AA36</f>
        <v>0</v>
      </c>
      <c r="AC36" s="216">
        <f>-VLOOKUP($B36,'недельное планирование'!$B:$CA,AC$3,FALSE)</f>
        <v>0</v>
      </c>
      <c r="AD36" s="162">
        <f>$D36*100/($C36+$C$3)*AC36/1000*$C36/$C$2</f>
        <v>0</v>
      </c>
      <c r="AE36" s="212">
        <f>$D36*100/($C36+$C$3)*AC36/1000-AD36</f>
        <v>0</v>
      </c>
      <c r="AF36" s="216">
        <f>-VLOOKUP($B36,'недельное планирование'!$B:$CA,AF$3,FALSE)</f>
        <v>0</v>
      </c>
      <c r="AG36" s="162">
        <f>$D36*100/($C36+$C$3)*AF36/1000*$C36/$C$2</f>
        <v>0</v>
      </c>
      <c r="AH36" s="212">
        <f>$D36*100/($C36+$C$3)*AF36/1000-AG36</f>
        <v>0</v>
      </c>
      <c r="AI36" s="216">
        <f>-VLOOKUP($B36,'недельное планирование'!$B:$CA,AI$3,FALSE)</f>
        <v>0</v>
      </c>
      <c r="AJ36" s="162">
        <f>$D36*100/($C36+$C$3)*AI36/1000*$C36/$C$2</f>
        <v>0</v>
      </c>
      <c r="AK36" s="212">
        <f>$D36*100/($C36+$C$3)*AI36/1000-AJ36</f>
        <v>0</v>
      </c>
      <c r="AL36" s="216">
        <f>-VLOOKUP($B36,'недельное планирование'!$B:$CA,AL$3,FALSE)</f>
        <v>0</v>
      </c>
      <c r="AM36" s="162">
        <f>$D36*100/($C36+$C$3)*AL36/1000*$C36/$C$2</f>
        <v>0</v>
      </c>
      <c r="AN36" s="212">
        <f>$D36*100/($C36+$C$3)*AL36/1000-AM36</f>
        <v>0</v>
      </c>
      <c r="AO36" s="216">
        <f>-VLOOKUP($B36,'недельное планирование'!$B:$CA,AO$3,FALSE)</f>
        <v>0</v>
      </c>
      <c r="AP36" s="162">
        <f>$D36*100/($C36+$C$3)*AO36/1000*$C36/$C$2</f>
        <v>0</v>
      </c>
      <c r="AQ36" s="212">
        <f>$D36*100/($C36+$C$3)*AO36/1000-AP36</f>
        <v>0</v>
      </c>
    </row>
    <row r="37" spans="1:43" ht="24" customHeight="1">
      <c r="A37" s="229"/>
      <c r="B37" s="227"/>
      <c r="C37" s="239"/>
      <c r="D37" s="239"/>
      <c r="E37" s="216"/>
      <c r="F37" s="162"/>
      <c r="G37" s="212"/>
      <c r="H37" s="216"/>
      <c r="I37" s="162"/>
      <c r="J37" s="212"/>
      <c r="K37" s="216"/>
      <c r="L37" s="162"/>
      <c r="M37" s="212"/>
      <c r="N37" s="216"/>
      <c r="O37" s="162"/>
      <c r="P37" s="212"/>
      <c r="Q37" s="216"/>
      <c r="R37" s="162"/>
      <c r="S37" s="212"/>
      <c r="T37" s="216"/>
      <c r="U37" s="162"/>
      <c r="V37" s="212"/>
      <c r="W37" s="216"/>
      <c r="X37" s="162"/>
      <c r="Y37" s="212"/>
      <c r="Z37" s="216"/>
      <c r="AA37" s="162"/>
      <c r="AB37" s="212"/>
      <c r="AC37" s="216"/>
      <c r="AD37" s="162"/>
      <c r="AE37" s="212"/>
      <c r="AF37" s="216"/>
      <c r="AG37" s="162"/>
      <c r="AH37" s="212"/>
      <c r="AI37" s="216"/>
      <c r="AJ37" s="162"/>
      <c r="AK37" s="212"/>
      <c r="AL37" s="216"/>
      <c r="AM37" s="162"/>
      <c r="AN37" s="212"/>
      <c r="AO37" s="216"/>
      <c r="AP37" s="162"/>
      <c r="AQ37" s="212"/>
    </row>
    <row r="38" spans="1:43" s="211" customFormat="1" ht="24" customHeight="1">
      <c r="C38" s="238"/>
      <c r="D38" s="238"/>
      <c r="E38" s="214"/>
      <c r="F38" s="207"/>
      <c r="G38" s="207"/>
      <c r="H38" s="214"/>
      <c r="I38" s="207"/>
      <c r="J38" s="207"/>
      <c r="K38" s="214"/>
      <c r="L38" s="207"/>
      <c r="M38" s="207"/>
      <c r="N38" s="214"/>
      <c r="O38" s="207"/>
      <c r="P38" s="207"/>
      <c r="Q38" s="214"/>
      <c r="R38" s="207"/>
      <c r="S38" s="207"/>
      <c r="T38" s="214"/>
      <c r="U38" s="207"/>
      <c r="V38" s="207"/>
      <c r="W38" s="214"/>
      <c r="X38" s="207"/>
      <c r="Y38" s="207"/>
      <c r="Z38" s="214"/>
      <c r="AA38" s="207"/>
      <c r="AB38" s="207"/>
      <c r="AC38" s="214"/>
      <c r="AD38" s="207"/>
      <c r="AE38" s="207"/>
      <c r="AF38" s="214"/>
      <c r="AG38" s="207"/>
      <c r="AH38" s="207"/>
      <c r="AI38" s="214"/>
      <c r="AJ38" s="207"/>
      <c r="AK38" s="207"/>
      <c r="AL38" s="214"/>
      <c r="AM38" s="207"/>
      <c r="AN38" s="207"/>
      <c r="AO38" s="214"/>
      <c r="AP38" s="207"/>
      <c r="AQ38" s="207"/>
    </row>
    <row r="39" spans="1:43" s="211" customFormat="1" ht="24" customHeight="1">
      <c r="C39" s="238"/>
      <c r="D39" s="238"/>
      <c r="E39" s="214"/>
      <c r="F39" s="207"/>
      <c r="G39" s="207"/>
      <c r="H39" s="214"/>
      <c r="I39" s="207"/>
      <c r="J39" s="207"/>
      <c r="K39" s="214"/>
      <c r="L39" s="207"/>
      <c r="M39" s="207"/>
      <c r="N39" s="214"/>
      <c r="O39" s="207"/>
      <c r="P39" s="207"/>
      <c r="Q39" s="214"/>
      <c r="R39" s="207"/>
      <c r="S39" s="207"/>
      <c r="T39" s="214"/>
      <c r="U39" s="207"/>
      <c r="V39" s="207"/>
      <c r="W39" s="214"/>
      <c r="X39" s="207"/>
      <c r="Y39" s="207"/>
      <c r="Z39" s="214"/>
      <c r="AA39" s="207"/>
      <c r="AB39" s="207"/>
      <c r="AC39" s="214"/>
      <c r="AD39" s="207"/>
      <c r="AE39" s="207"/>
      <c r="AF39" s="214"/>
      <c r="AG39" s="207"/>
      <c r="AH39" s="207"/>
      <c r="AI39" s="214"/>
      <c r="AJ39" s="207"/>
      <c r="AK39" s="207"/>
      <c r="AL39" s="214"/>
      <c r="AM39" s="207"/>
      <c r="AN39" s="207"/>
      <c r="AO39" s="214"/>
      <c r="AP39" s="207"/>
      <c r="AQ39" s="207"/>
    </row>
    <row r="40" spans="1:43" ht="24" customHeight="1">
      <c r="A40" s="138" t="s">
        <v>46</v>
      </c>
      <c r="B40" s="230" t="s">
        <v>102</v>
      </c>
      <c r="C40" s="239">
        <v>2.7</v>
      </c>
      <c r="D40" s="239">
        <v>561</v>
      </c>
      <c r="E40" s="216">
        <f>-VLOOKUP($B40,'недельное планирование'!$B:$CA,E$3,FALSE)</f>
        <v>5280</v>
      </c>
      <c r="F40" s="162">
        <f>$D40*100/($C40+$C$3)*E40/1000*$C40/$C$2</f>
        <v>35077.26315789474</v>
      </c>
      <c r="G40" s="212">
        <f>$D40*100/($C40+$C$3)*E40/1000-F40</f>
        <v>14290.73684210526</v>
      </c>
      <c r="H40" s="216">
        <f>-VLOOKUP($B40,'недельное планирование'!$B:$CA,H$3,FALSE)</f>
        <v>1980</v>
      </c>
      <c r="I40" s="162">
        <f>$D40*100/($C40+$C$3)*H40/1000*$C40/$C$2</f>
        <v>13153.973684210529</v>
      </c>
      <c r="J40" s="212">
        <f>$D40*100/($C40+$C$3)*H40/1000-I40</f>
        <v>5359.0263157894715</v>
      </c>
      <c r="K40" s="216">
        <f>-VLOOKUP($B40,'недельное планирование'!$B:$CA,K$3,FALSE)</f>
        <v>0</v>
      </c>
      <c r="L40" s="162">
        <f>$D40*100/($C40+$C$3)*K40/1000*$C40/$C$2</f>
        <v>0</v>
      </c>
      <c r="M40" s="212">
        <f>$D40*100/($C40+$C$3)*K40/1000-L40</f>
        <v>0</v>
      </c>
      <c r="N40" s="216">
        <f>-VLOOKUP($B40,'недельное планирование'!$B:$CA,N$3,FALSE)</f>
        <v>5280</v>
      </c>
      <c r="O40" s="162">
        <f>$D40*100/($C40+$C$3)*N40/1000*$C40/$C$2</f>
        <v>35077.26315789474</v>
      </c>
      <c r="P40" s="212">
        <f>$D40*100/($C40+$C$3)*N40/1000-O40</f>
        <v>14290.73684210526</v>
      </c>
      <c r="Q40" s="216">
        <f>-VLOOKUP($B40,'недельное планирование'!$B:$CA,Q$3,FALSE)</f>
        <v>0</v>
      </c>
      <c r="R40" s="162">
        <f>$D40*100/($C40+$C$3)*Q40/1000*$C40/$C$2</f>
        <v>0</v>
      </c>
      <c r="S40" s="212">
        <f>$D40*100/($C40+$C$3)*Q40/1000-R40</f>
        <v>0</v>
      </c>
      <c r="T40" s="216">
        <f>-VLOOKUP($B40,'недельное планирование'!$B:$CA,T$3,FALSE)</f>
        <v>1980</v>
      </c>
      <c r="U40" s="162">
        <f>$D40*100/($C40+$C$3)*T40/1000*$C40/$C$2</f>
        <v>13153.973684210529</v>
      </c>
      <c r="V40" s="212">
        <f>$D40*100/($C40+$C$3)*T40/1000-U40</f>
        <v>5359.0263157894715</v>
      </c>
      <c r="W40" s="216">
        <f>-VLOOKUP($B40,'недельное планирование'!$B:$CA,W$3,FALSE)</f>
        <v>6600</v>
      </c>
      <c r="X40" s="162">
        <f>$D40*100/($C40+$C$3)*W40/1000*$C40/$C$2</f>
        <v>43846.57894736842</v>
      </c>
      <c r="Y40" s="212">
        <f>$D40*100/($C40+$C$3)*W40/1000-X40</f>
        <v>17863.42105263158</v>
      </c>
      <c r="Z40" s="216">
        <f>-VLOOKUP($B40,'недельное планирование'!$B:$CA,Z$3,FALSE)</f>
        <v>5280</v>
      </c>
      <c r="AA40" s="162">
        <f>$D40*100/($C40+$C$3)*Z40/1000*$C40/$C$2</f>
        <v>35077.26315789474</v>
      </c>
      <c r="AB40" s="212">
        <f>$D40*100/($C40+$C$3)*Z40/1000-AA40</f>
        <v>14290.73684210526</v>
      </c>
      <c r="AC40" s="216">
        <f>-VLOOKUP($B40,'недельное планирование'!$B:$CA,AC$3,FALSE)</f>
        <v>0</v>
      </c>
      <c r="AD40" s="162">
        <f>$D40*100/($C40+$C$3)*AC40/1000*$C40/$C$2</f>
        <v>0</v>
      </c>
      <c r="AE40" s="212">
        <f>$D40*100/($C40+$C$3)*AC40/1000-AD40</f>
        <v>0</v>
      </c>
      <c r="AF40" s="216">
        <f>-VLOOKUP($B40,'недельное планирование'!$B:$CA,AF$3,FALSE)</f>
        <v>3960</v>
      </c>
      <c r="AG40" s="162">
        <f>$D40*100/($C40+$C$3)*AF40/1000*$C40/$C$2</f>
        <v>26307.947368421057</v>
      </c>
      <c r="AH40" s="212">
        <f>$D40*100/($C40+$C$3)*AF40/1000-AG40</f>
        <v>10718.052631578943</v>
      </c>
      <c r="AI40" s="216" t="e">
        <f>-VLOOKUP($B40,'недельное планирование'!$B:$CA,AI$3,FALSE)</f>
        <v>#N/A</v>
      </c>
      <c r="AJ40" s="162" t="e">
        <f>$D40*100/($C40+$C$3)*AI40/1000*$C40/$C$2</f>
        <v>#N/A</v>
      </c>
      <c r="AK40" s="212" t="e">
        <f>$D40*100/($C40+$C$3)*AI40/1000-AJ40</f>
        <v>#N/A</v>
      </c>
      <c r="AL40" s="216" t="e">
        <f>-VLOOKUP($B40,'недельное планирование'!$B:$CA,AL$3,FALSE)</f>
        <v>#N/A</v>
      </c>
      <c r="AM40" s="162" t="e">
        <f>$D40*100/($C40+$C$3)*AL40/1000*$C40/$C$2</f>
        <v>#N/A</v>
      </c>
      <c r="AN40" s="212" t="e">
        <f>$D40*100/($C40+$C$3)*AL40/1000-AM40</f>
        <v>#N/A</v>
      </c>
      <c r="AO40" s="216" t="e">
        <f>-VLOOKUP($B40,'недельное планирование'!$B:$CA,AO$3,FALSE)</f>
        <v>#N/A</v>
      </c>
      <c r="AP40" s="162" t="e">
        <f>$D40*100/($C40+$C$3)*AO40/1000*$C40/$C$2</f>
        <v>#N/A</v>
      </c>
      <c r="AQ40" s="212" t="e">
        <f>$D40*100/($C40+$C$3)*AO40/1000-AP40</f>
        <v>#N/A</v>
      </c>
    </row>
    <row r="41" spans="1:43" ht="24" customHeight="1">
      <c r="A41" s="138" t="s">
        <v>46</v>
      </c>
      <c r="B41" s="230" t="s">
        <v>143</v>
      </c>
      <c r="C41" s="239">
        <v>2.7</v>
      </c>
      <c r="D41" s="239">
        <v>561</v>
      </c>
      <c r="E41" s="216">
        <f>-VLOOKUP($B41,'недельное планирование'!$B:$CA,E$3,FALSE)</f>
        <v>200</v>
      </c>
      <c r="F41" s="162">
        <f>$D41*100/($C41+$C$3)*E41/1000*$C41/$C$2</f>
        <v>1328.6842105263158</v>
      </c>
      <c r="G41" s="212">
        <f>$D41*100/($C41+$C$3)*E41/1000-F41</f>
        <v>541.31578947368416</v>
      </c>
      <c r="H41" s="216">
        <f>-VLOOKUP($B41,'недельное планирование'!$B:$CA,H$3,FALSE)</f>
        <v>0</v>
      </c>
      <c r="I41" s="162">
        <f>$D41*100/($C41+$C$3)*H41/1000*$C41/$C$2</f>
        <v>0</v>
      </c>
      <c r="J41" s="212">
        <f>$D41*100/($C41+$C$3)*H41/1000-I41</f>
        <v>0</v>
      </c>
      <c r="K41" s="216">
        <f>-VLOOKUP($B41,'недельное планирование'!$B:$CA,K$3,FALSE)</f>
        <v>0</v>
      </c>
      <c r="L41" s="162">
        <f>$D41*100/($C41+$C$3)*K41/1000*$C41/$C$2</f>
        <v>0</v>
      </c>
      <c r="M41" s="212">
        <f>$D41*100/($C41+$C$3)*K41/1000-L41</f>
        <v>0</v>
      </c>
      <c r="N41" s="216">
        <f>-VLOOKUP($B41,'недельное планирование'!$B:$CA,N$3,FALSE)</f>
        <v>330</v>
      </c>
      <c r="O41" s="162">
        <f>$D41*100/($C41+$C$3)*N41/1000*$C41/$C$2</f>
        <v>2192.3289473684213</v>
      </c>
      <c r="P41" s="212">
        <f>$D41*100/($C41+$C$3)*N41/1000-O41</f>
        <v>893.17105263157873</v>
      </c>
      <c r="Q41" s="216">
        <f>-VLOOKUP($B41,'недельное планирование'!$B:$CA,Q$3,FALSE)</f>
        <v>330</v>
      </c>
      <c r="R41" s="162">
        <f>$D41*100/($C41+$C$3)*Q41/1000*$C41/$C$2</f>
        <v>2192.3289473684213</v>
      </c>
      <c r="S41" s="212">
        <f>$D41*100/($C41+$C$3)*Q41/1000-R41</f>
        <v>893.17105263157873</v>
      </c>
      <c r="T41" s="216">
        <f>-VLOOKUP($B41,'недельное планирование'!$B:$CA,T$3,FALSE)</f>
        <v>0</v>
      </c>
      <c r="U41" s="162">
        <f>$D41*100/($C41+$C$3)*T41/1000*$C41/$C$2</f>
        <v>0</v>
      </c>
      <c r="V41" s="212">
        <f>$D41*100/($C41+$C$3)*T41/1000-U41</f>
        <v>0</v>
      </c>
      <c r="W41" s="216">
        <f>-VLOOKUP($B41,'недельное планирование'!$B:$CA,W$3,FALSE)</f>
        <v>0</v>
      </c>
      <c r="X41" s="162">
        <f>$D41*100/($C41+$C$3)*W41/1000*$C41/$C$2</f>
        <v>0</v>
      </c>
      <c r="Y41" s="212">
        <f>$D41*100/($C41+$C$3)*W41/1000-X41</f>
        <v>0</v>
      </c>
      <c r="Z41" s="216">
        <f>-VLOOKUP($B41,'недельное планирование'!$B:$CA,Z$3,FALSE)</f>
        <v>0</v>
      </c>
      <c r="AA41" s="162">
        <f>$D41*100/($C41+$C$3)*Z41/1000*$C41/$C$2</f>
        <v>0</v>
      </c>
      <c r="AB41" s="212">
        <f>$D41*100/($C41+$C$3)*Z41/1000-AA41</f>
        <v>0</v>
      </c>
      <c r="AC41" s="216">
        <f>-VLOOKUP($B41,'недельное планирование'!$B:$CA,AC$3,FALSE)</f>
        <v>0</v>
      </c>
      <c r="AD41" s="162">
        <f>$D41*100/($C41+$C$3)*AC41/1000*$C41/$C$2</f>
        <v>0</v>
      </c>
      <c r="AE41" s="212">
        <f>$D41*100/($C41+$C$3)*AC41/1000-AD41</f>
        <v>0</v>
      </c>
      <c r="AF41" s="216">
        <f>-VLOOKUP($B41,'недельное планирование'!$B:$CA,AF$3,FALSE)</f>
        <v>0</v>
      </c>
      <c r="AG41" s="162">
        <f>$D41*100/($C41+$C$3)*AF41/1000*$C41/$C$2</f>
        <v>0</v>
      </c>
      <c r="AH41" s="212">
        <f>$D41*100/($C41+$C$3)*AF41/1000-AG41</f>
        <v>0</v>
      </c>
      <c r="AI41" s="216">
        <f>-VLOOKUP($B41,'недельное планирование'!$B:$CA,AI$3,FALSE)</f>
        <v>1400</v>
      </c>
      <c r="AJ41" s="162">
        <f>$D41*100/($C41+$C$3)*AI41/1000*$C41/$C$2</f>
        <v>9300.7894736842118</v>
      </c>
      <c r="AK41" s="212">
        <f>$D41*100/($C41+$C$3)*AI41/1000-AJ41</f>
        <v>3789.2105263157882</v>
      </c>
      <c r="AL41" s="216">
        <f>-VLOOKUP($B41,'недельное планирование'!$B:$CA,AL$3,FALSE)</f>
        <v>767.76</v>
      </c>
      <c r="AM41" s="162">
        <f>$D41*100/($C41+$C$3)*AL41/1000*$C41/$C$2</f>
        <v>5100.5529473684219</v>
      </c>
      <c r="AN41" s="212">
        <f>$D41*100/($C41+$C$3)*AL41/1000-AM41</f>
        <v>2078.0030526315777</v>
      </c>
      <c r="AO41" s="216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2">
        <f>$D41*100/($C41+$C$3)*AO41/1000-AP41</f>
        <v>2078.0030526315777</v>
      </c>
    </row>
    <row r="42" spans="1:43" ht="24" customHeight="1">
      <c r="A42" s="139" t="s">
        <v>41</v>
      </c>
      <c r="B42" s="219" t="s">
        <v>86</v>
      </c>
      <c r="C42" s="239">
        <v>2.7</v>
      </c>
      <c r="D42" s="239">
        <v>561</v>
      </c>
      <c r="E42" s="216">
        <f>-VLOOKUP($B42,'недельное планирование'!$B:$CA,E$3,FALSE)</f>
        <v>460</v>
      </c>
      <c r="F42" s="162">
        <f>$D42*100/($C42+$C$3)*E42/1000*$C42/$C$2</f>
        <v>3055.9736842105267</v>
      </c>
      <c r="G42" s="212">
        <f>$D42*100/($C42+$C$3)*E42/1000-F42</f>
        <v>1245.0263157894733</v>
      </c>
      <c r="H42" s="216">
        <f>-VLOOKUP($B42,'недельное планирование'!$B:$CA,H$3,FALSE)</f>
        <v>0</v>
      </c>
      <c r="I42" s="162">
        <f>$D42*100/($C42+$C$3)*H42/1000*$C42/$C$2</f>
        <v>0</v>
      </c>
      <c r="J42" s="212">
        <f>$D42*100/($C42+$C$3)*H42/1000-I42</f>
        <v>0</v>
      </c>
      <c r="K42" s="216">
        <f>-VLOOKUP($B42,'недельное планирование'!$B:$CA,K$3,FALSE)</f>
        <v>0</v>
      </c>
      <c r="L42" s="162">
        <f>$D42*100/($C42+$C$3)*K42/1000*$C42/$C$2</f>
        <v>0</v>
      </c>
      <c r="M42" s="212">
        <f>$D42*100/($C42+$C$3)*K42/1000-L42</f>
        <v>0</v>
      </c>
      <c r="N42" s="216">
        <f>-VLOOKUP($B42,'недельное планирование'!$B:$CA,N$3,FALSE)</f>
        <v>330</v>
      </c>
      <c r="O42" s="162">
        <f>$D42*100/($C42+$C$3)*N42/1000*$C42/$C$2</f>
        <v>2192.3289473684213</v>
      </c>
      <c r="P42" s="212">
        <f>$D42*100/($C42+$C$3)*N42/1000-O42</f>
        <v>893.17105263157873</v>
      </c>
      <c r="Q42" s="216">
        <f>-VLOOKUP($B42,'недельное планирование'!$B:$CA,Q$3,FALSE)</f>
        <v>330</v>
      </c>
      <c r="R42" s="162">
        <f>$D42*100/($C42+$C$3)*Q42/1000*$C42/$C$2</f>
        <v>2192.3289473684213</v>
      </c>
      <c r="S42" s="212">
        <f>$D42*100/($C42+$C$3)*Q42/1000-R42</f>
        <v>893.17105263157873</v>
      </c>
      <c r="T42" s="216">
        <f>-VLOOKUP($B42,'недельное планирование'!$B:$CA,T$3,FALSE)</f>
        <v>0</v>
      </c>
      <c r="U42" s="162">
        <f>$D42*100/($C42+$C$3)*T42/1000*$C42/$C$2</f>
        <v>0</v>
      </c>
      <c r="V42" s="212">
        <f>$D42*100/($C42+$C$3)*T42/1000-U42</f>
        <v>0</v>
      </c>
      <c r="W42" s="216">
        <f>-VLOOKUP($B42,'недельное планирование'!$B:$CA,W$3,FALSE)</f>
        <v>0</v>
      </c>
      <c r="X42" s="162">
        <f>$D42*100/($C42+$C$3)*W42/1000*$C42/$C$2</f>
        <v>0</v>
      </c>
      <c r="Y42" s="212">
        <f>$D42*100/($C42+$C$3)*W42/1000-X42</f>
        <v>0</v>
      </c>
      <c r="Z42" s="216">
        <f>-VLOOKUP($B42,'недельное планирование'!$B:$CA,Z$3,FALSE)</f>
        <v>660</v>
      </c>
      <c r="AA42" s="162">
        <f>$D42*100/($C42+$C$3)*Z42/1000*$C42/$C$2</f>
        <v>4384.6578947368425</v>
      </c>
      <c r="AB42" s="212">
        <f>$D42*100/($C42+$C$3)*Z42/1000-AA42</f>
        <v>1786.3421052631575</v>
      </c>
      <c r="AC42" s="216">
        <f>-VLOOKUP($B42,'недельное планирование'!$B:$CA,AC$3,FALSE)</f>
        <v>0</v>
      </c>
      <c r="AD42" s="162">
        <f>$D42*100/($C42+$C$3)*AC42/1000*$C42/$C$2</f>
        <v>0</v>
      </c>
      <c r="AE42" s="212">
        <f>$D42*100/($C42+$C$3)*AC42/1000-AD42</f>
        <v>0</v>
      </c>
      <c r="AF42" s="216">
        <f>-VLOOKUP($B42,'недельное планирование'!$B:$CA,AF$3,FALSE)</f>
        <v>0</v>
      </c>
      <c r="AG42" s="162">
        <f>$D42*100/($C42+$C$3)*AF42/1000*$C42/$C$2</f>
        <v>0</v>
      </c>
      <c r="AH42" s="212">
        <f>$D42*100/($C42+$C$3)*AF42/1000-AG42</f>
        <v>0</v>
      </c>
      <c r="AI42" s="216" t="e">
        <f>-VLOOKUP($B42,'недельное планирование'!$B:$CA,AI$3,FALSE)</f>
        <v>#N/A</v>
      </c>
      <c r="AJ42" s="162" t="e">
        <f>$D42*100/($C42+$C$3)*AI42/1000*$C42/$C$2</f>
        <v>#N/A</v>
      </c>
      <c r="AK42" s="212" t="e">
        <f>$D42*100/($C42+$C$3)*AI42/1000-AJ42</f>
        <v>#N/A</v>
      </c>
      <c r="AL42" s="216" t="e">
        <f>-VLOOKUP($B42,'недельное планирование'!$B:$CA,AL$3,FALSE)</f>
        <v>#N/A</v>
      </c>
      <c r="AM42" s="162" t="e">
        <f>$D42*100/($C42+$C$3)*AL42/1000*$C42/$C$2</f>
        <v>#N/A</v>
      </c>
      <c r="AN42" s="212" t="e">
        <f>$D42*100/($C42+$C$3)*AL42/1000-AM42</f>
        <v>#N/A</v>
      </c>
      <c r="AO42" s="216" t="e">
        <f>-VLOOKUP($B42,'недельное планирование'!$B:$CA,AO$3,FALSE)</f>
        <v>#N/A</v>
      </c>
      <c r="AP42" s="162" t="e">
        <f>$D42*100/($C42+$C$3)*AO42/1000*$C42/$C$2</f>
        <v>#N/A</v>
      </c>
      <c r="AQ42" s="212" t="e">
        <f>$D42*100/($C42+$C$3)*AO42/1000-AP42</f>
        <v>#N/A</v>
      </c>
    </row>
    <row r="43" spans="1:43" ht="25.35" customHeight="1">
      <c r="A43" s="139"/>
      <c r="B43" s="219"/>
      <c r="C43" s="239"/>
      <c r="D43" s="239"/>
      <c r="E43" s="216"/>
      <c r="F43" s="162"/>
      <c r="G43" s="212"/>
      <c r="H43" s="216"/>
      <c r="I43" s="162"/>
      <c r="J43" s="212"/>
      <c r="K43" s="216"/>
      <c r="L43" s="162"/>
      <c r="M43" s="212"/>
      <c r="N43" s="216"/>
      <c r="O43" s="162"/>
      <c r="P43" s="212"/>
      <c r="Q43" s="216"/>
      <c r="R43" s="162"/>
      <c r="S43" s="212"/>
      <c r="T43" s="216"/>
      <c r="U43" s="162"/>
      <c r="V43" s="212"/>
      <c r="W43" s="216"/>
      <c r="X43" s="162"/>
      <c r="Y43" s="212"/>
      <c r="Z43" s="216"/>
      <c r="AA43" s="162"/>
      <c r="AB43" s="212"/>
      <c r="AC43" s="216"/>
      <c r="AD43" s="162"/>
      <c r="AE43" s="212"/>
      <c r="AF43" s="216"/>
      <c r="AG43" s="162"/>
      <c r="AH43" s="212"/>
      <c r="AI43" s="216"/>
      <c r="AJ43" s="162"/>
      <c r="AK43" s="212"/>
      <c r="AL43" s="216"/>
      <c r="AM43" s="162"/>
      <c r="AN43" s="212"/>
      <c r="AO43" s="216"/>
      <c r="AP43" s="162"/>
      <c r="AQ43" s="212"/>
    </row>
    <row r="44" spans="1:43" s="211" customFormat="1" ht="24" customHeight="1">
      <c r="C44" s="238"/>
      <c r="D44" s="238"/>
      <c r="E44" s="214"/>
      <c r="F44" s="207"/>
      <c r="G44" s="207"/>
      <c r="H44" s="214"/>
      <c r="I44" s="207"/>
      <c r="J44" s="207"/>
      <c r="K44" s="214"/>
      <c r="L44" s="207"/>
      <c r="M44" s="207"/>
      <c r="N44" s="214"/>
      <c r="O44" s="207"/>
      <c r="P44" s="207"/>
      <c r="Q44" s="214"/>
      <c r="R44" s="207"/>
      <c r="S44" s="207"/>
      <c r="T44" s="214"/>
      <c r="U44" s="207"/>
      <c r="V44" s="207"/>
      <c r="W44" s="214"/>
      <c r="X44" s="207"/>
      <c r="Y44" s="207"/>
      <c r="Z44" s="214"/>
      <c r="AA44" s="207"/>
      <c r="AB44" s="207"/>
      <c r="AC44" s="214"/>
      <c r="AD44" s="207"/>
      <c r="AE44" s="207"/>
      <c r="AF44" s="214"/>
      <c r="AG44" s="207"/>
      <c r="AH44" s="207"/>
      <c r="AI44" s="214"/>
      <c r="AJ44" s="207"/>
      <c r="AK44" s="207"/>
      <c r="AL44" s="214"/>
      <c r="AM44" s="207"/>
      <c r="AN44" s="207"/>
      <c r="AO44" s="214"/>
      <c r="AP44" s="207"/>
      <c r="AQ44" s="207"/>
    </row>
    <row r="45" spans="1:43" ht="24" customHeight="1">
      <c r="A45" s="142" t="s">
        <v>46</v>
      </c>
      <c r="B45" s="234" t="s">
        <v>126</v>
      </c>
      <c r="C45" s="239">
        <v>2.7</v>
      </c>
      <c r="D45" s="239">
        <v>561</v>
      </c>
      <c r="E45" s="216">
        <f>-VLOOKUP($B45,'недельное планирование'!$B:$CA,E$3,FALSE)</f>
        <v>0</v>
      </c>
      <c r="F45" s="162">
        <f>$D45*100/($C45+$C$3)*E45/1000*$C45/$C$2</f>
        <v>0</v>
      </c>
      <c r="G45" s="212">
        <f>$D45*100/($C45+$C$3)*E45/1000-F45</f>
        <v>0</v>
      </c>
      <c r="H45" s="216">
        <f>-VLOOKUP($B45,'недельное планирование'!$B:$CA,H$3,FALSE)</f>
        <v>330</v>
      </c>
      <c r="I45" s="162">
        <f>$D45*100/($C45+$C$3)*H45/1000*$C45/$C$2</f>
        <v>2192.3289473684213</v>
      </c>
      <c r="J45" s="212">
        <f>$D45*100/($C45+$C$3)*H45/1000-I45</f>
        <v>893.17105263157873</v>
      </c>
      <c r="K45" s="216">
        <f>-VLOOKUP($B45,'недельное планирование'!$B:$CA,K$3,FALSE)</f>
        <v>330</v>
      </c>
      <c r="L45" s="162">
        <f>$D45*100/($C45+$C$3)*K45/1000*$C45/$C$2</f>
        <v>2192.3289473684213</v>
      </c>
      <c r="M45" s="212">
        <f>$D45*100/($C45+$C$3)*K45/1000-L45</f>
        <v>893.17105263157873</v>
      </c>
      <c r="N45" s="216">
        <f>-VLOOKUP($B45,'недельное планирование'!$B:$CA,N$3,FALSE)</f>
        <v>0</v>
      </c>
      <c r="O45" s="162">
        <f>$D45*100/($C45+$C$3)*N45/1000*$C45/$C$2</f>
        <v>0</v>
      </c>
      <c r="P45" s="212">
        <f>$D45*100/($C45+$C$3)*N45/1000-O45</f>
        <v>0</v>
      </c>
      <c r="Q45" s="216">
        <f>-VLOOKUP($B45,'недельное планирование'!$B:$CA,Q$3,FALSE)</f>
        <v>660</v>
      </c>
      <c r="R45" s="162">
        <f>$D45*100/($C45+$C$3)*Q45/1000*$C45/$C$2</f>
        <v>4384.6578947368425</v>
      </c>
      <c r="S45" s="212">
        <f>$D45*100/($C45+$C$3)*Q45/1000-R45</f>
        <v>1786.3421052631575</v>
      </c>
      <c r="T45" s="216">
        <f>-VLOOKUP($B45,'недельное планирование'!$B:$CA,T$3,FALSE)</f>
        <v>660</v>
      </c>
      <c r="U45" s="162">
        <f>$D45*100/($C45+$C$3)*T45/1000*$C45/$C$2</f>
        <v>4384.6578947368425</v>
      </c>
      <c r="V45" s="212">
        <f>$D45*100/($C45+$C$3)*T45/1000-U45</f>
        <v>1786.3421052631575</v>
      </c>
      <c r="W45" s="216">
        <f>-VLOOKUP($B45,'недельное планирование'!$B:$CA,W$3,FALSE)</f>
        <v>660</v>
      </c>
      <c r="X45" s="162">
        <f>$D45*100/($C45+$C$3)*W45/1000*$C45/$C$2</f>
        <v>4384.6578947368425</v>
      </c>
      <c r="Y45" s="212">
        <f>$D45*100/($C45+$C$3)*W45/1000-X45</f>
        <v>1786.3421052631575</v>
      </c>
      <c r="Z45" s="216">
        <f>-VLOOKUP($B45,'недельное планирование'!$B:$CA,Z$3,FALSE)</f>
        <v>0</v>
      </c>
      <c r="AA45" s="162">
        <f>$D45*100/($C45+$C$3)*Z45/1000*$C45/$C$2</f>
        <v>0</v>
      </c>
      <c r="AB45" s="212">
        <f>$D45*100/($C45+$C$3)*Z45/1000-AA45</f>
        <v>0</v>
      </c>
      <c r="AC45" s="216">
        <f>-VLOOKUP($B45,'недельное планирование'!$B:$CA,AC$3,FALSE)</f>
        <v>660</v>
      </c>
      <c r="AD45" s="162">
        <f>$D45*100/($C45+$C$3)*AC45/1000*$C45/$C$2</f>
        <v>4384.6578947368425</v>
      </c>
      <c r="AE45" s="212">
        <f>$D45*100/($C45+$C$3)*AC45/1000-AD45</f>
        <v>1786.3421052631575</v>
      </c>
      <c r="AF45" s="216">
        <f>-VLOOKUP($B45,'недельное планирование'!$B:$CA,AF$3,FALSE)</f>
        <v>0</v>
      </c>
      <c r="AG45" s="162">
        <f>$D45*100/($C45+$C$3)*AF45/1000*$C45/$C$2</f>
        <v>0</v>
      </c>
      <c r="AH45" s="212">
        <f>$D45*100/($C45+$C$3)*AF45/1000-AG45</f>
        <v>0</v>
      </c>
      <c r="AI45" s="216" t="e">
        <f>-VLOOKUP($B45,'недельное планирование'!$B:$CA,AI$3,FALSE)</f>
        <v>#N/A</v>
      </c>
      <c r="AJ45" s="162" t="e">
        <f>$D45*100/($C45+$C$3)*AI45/1000*$C45/$C$2</f>
        <v>#N/A</v>
      </c>
      <c r="AK45" s="212" t="e">
        <f>$D45*100/($C45+$C$3)*AI45/1000-AJ45</f>
        <v>#N/A</v>
      </c>
      <c r="AL45" s="216" t="e">
        <f>-VLOOKUP($B45,'недельное планирование'!$B:$CA,AL$3,FALSE)</f>
        <v>#N/A</v>
      </c>
      <c r="AM45" s="162" t="e">
        <f>$D45*100/($C45+$C$3)*AL45/1000*$C45/$C$2</f>
        <v>#N/A</v>
      </c>
      <c r="AN45" s="212" t="e">
        <f>$D45*100/($C45+$C$3)*AL45/1000-AM45</f>
        <v>#N/A</v>
      </c>
      <c r="AO45" s="216" t="e">
        <f>-VLOOKUP($B45,'недельное планирование'!$B:$CA,AO$3,FALSE)</f>
        <v>#N/A</v>
      </c>
      <c r="AP45" s="162" t="e">
        <f>$D45*100/($C45+$C$3)*AO45/1000*$C45/$C$2</f>
        <v>#N/A</v>
      </c>
      <c r="AQ45" s="212" t="e">
        <f>$D45*100/($C45+$C$3)*AO45/1000-AP45</f>
        <v>#N/A</v>
      </c>
    </row>
    <row r="46" spans="1:43" ht="24" customHeight="1">
      <c r="A46" s="142" t="s">
        <v>20</v>
      </c>
      <c r="B46" s="234" t="s">
        <v>99</v>
      </c>
      <c r="C46" s="239">
        <v>2.8</v>
      </c>
      <c r="D46" s="239">
        <v>580</v>
      </c>
      <c r="E46" s="216">
        <f>-VLOOKUP($B46,'недельное планирование'!$B:$CA,E$3,FALSE)</f>
        <v>660</v>
      </c>
      <c r="F46" s="162">
        <f>$D46*100/($C46+$C$3)*E46/1000*$C46/$C$2</f>
        <v>4623.9861949956858</v>
      </c>
      <c r="G46" s="212">
        <f>$D46*100/($C46+$C$3)*E46/1000-F46</f>
        <v>1651.4236410698886</v>
      </c>
      <c r="H46" s="216">
        <f>-VLOOKUP($B46,'недельное планирование'!$B:$CA,H$3,FALSE)</f>
        <v>290</v>
      </c>
      <c r="I46" s="162">
        <f>$D46*100/($C46+$C$3)*H46/1000*$C46/$C$2</f>
        <v>2031.7515099223474</v>
      </c>
      <c r="J46" s="212">
        <f>$D46*100/($C46+$C$3)*H46/1000-I46</f>
        <v>725.62553925798102</v>
      </c>
      <c r="K46" s="216">
        <f>-VLOOKUP($B46,'недельное планирование'!$B:$CA,K$3,FALSE)</f>
        <v>0</v>
      </c>
      <c r="L46" s="162">
        <f>$D46*100/($C46+$C$3)*K46/1000*$C46/$C$2</f>
        <v>0</v>
      </c>
      <c r="M46" s="212">
        <f>$D46*100/($C46+$C$3)*K46/1000-L46</f>
        <v>0</v>
      </c>
      <c r="N46" s="216">
        <f>-VLOOKUP($B46,'недельное планирование'!$B:$CA,N$3,FALSE)</f>
        <v>0</v>
      </c>
      <c r="O46" s="162">
        <f>$D46*100/($C46+$C$3)*N46/1000*$C46/$C$2</f>
        <v>0</v>
      </c>
      <c r="P46" s="212">
        <f>$D46*100/($C46+$C$3)*N46/1000-O46</f>
        <v>0</v>
      </c>
      <c r="Q46" s="216">
        <f>-VLOOKUP($B46,'недельное планирование'!$B:$CA,Q$3,FALSE)</f>
        <v>0</v>
      </c>
      <c r="R46" s="162">
        <f>$D46*100/($C46+$C$3)*Q46/1000*$C46/$C$2</f>
        <v>0</v>
      </c>
      <c r="S46" s="212">
        <f>$D46*100/($C46+$C$3)*Q46/1000-R46</f>
        <v>0</v>
      </c>
      <c r="T46" s="216">
        <f>-VLOOKUP($B46,'недельное планирование'!$B:$CA,T$3,FALSE)</f>
        <v>0</v>
      </c>
      <c r="U46" s="162">
        <f>$D46*100/($C46+$C$3)*T46/1000*$C46/$C$2</f>
        <v>0</v>
      </c>
      <c r="V46" s="212">
        <f>$D46*100/($C46+$C$3)*T46/1000-U46</f>
        <v>0</v>
      </c>
      <c r="W46" s="216">
        <f>-VLOOKUP($B46,'недельное планирование'!$B:$CA,W$3,FALSE)</f>
        <v>0</v>
      </c>
      <c r="X46" s="162">
        <f>$D46*100/($C46+$C$3)*W46/1000*$C46/$C$2</f>
        <v>0</v>
      </c>
      <c r="Y46" s="212">
        <f>$D46*100/($C46+$C$3)*W46/1000-X46</f>
        <v>0</v>
      </c>
      <c r="Z46" s="216">
        <f>-VLOOKUP($B46,'недельное планирование'!$B:$CA,Z$3,FALSE)</f>
        <v>660</v>
      </c>
      <c r="AA46" s="162">
        <f>$D46*100/($C46+$C$3)*Z46/1000*$C46/$C$2</f>
        <v>4623.9861949956858</v>
      </c>
      <c r="AB46" s="212">
        <f>$D46*100/($C46+$C$3)*Z46/1000-AA46</f>
        <v>1651.4236410698886</v>
      </c>
      <c r="AC46" s="216">
        <f>-VLOOKUP($B46,'недельное планирование'!$B:$CA,AC$3,FALSE)</f>
        <v>0</v>
      </c>
      <c r="AD46" s="162">
        <f>$D46*100/($C46+$C$3)*AC46/1000*$C46/$C$2</f>
        <v>0</v>
      </c>
      <c r="AE46" s="212">
        <f>$D46*100/($C46+$C$3)*AC46/1000-AD46</f>
        <v>0</v>
      </c>
      <c r="AF46" s="216">
        <f>-VLOOKUP($B46,'недельное планирование'!$B:$CA,AF$3,FALSE)</f>
        <v>0</v>
      </c>
      <c r="AG46" s="162">
        <f>$D46*100/($C46+$C$3)*AF46/1000*$C46/$C$2</f>
        <v>0</v>
      </c>
      <c r="AH46" s="212">
        <f>$D46*100/($C46+$C$3)*AF46/1000-AG46</f>
        <v>0</v>
      </c>
      <c r="AI46" s="216" t="e">
        <f>-VLOOKUP($B46,'недельное планирование'!$B:$CA,AI$3,FALSE)</f>
        <v>#N/A</v>
      </c>
      <c r="AJ46" s="162" t="e">
        <f>$D46*100/($C46+$C$3)*AI46/1000*$C46/$C$2</f>
        <v>#N/A</v>
      </c>
      <c r="AK46" s="212" t="e">
        <f>$D46*100/($C46+$C$3)*AI46/1000-AJ46</f>
        <v>#N/A</v>
      </c>
      <c r="AL46" s="216" t="e">
        <f>-VLOOKUP($B46,'недельное планирование'!$B:$CA,AL$3,FALSE)</f>
        <v>#N/A</v>
      </c>
      <c r="AM46" s="162" t="e">
        <f>$D46*100/($C46+$C$3)*AL46/1000*$C46/$C$2</f>
        <v>#N/A</v>
      </c>
      <c r="AN46" s="212" t="e">
        <f>$D46*100/($C46+$C$3)*AL46/1000-AM46</f>
        <v>#N/A</v>
      </c>
      <c r="AO46" s="216" t="e">
        <f>-VLOOKUP($B46,'недельное планирование'!$B:$CA,AO$3,FALSE)</f>
        <v>#N/A</v>
      </c>
      <c r="AP46" s="162" t="e">
        <f>$D46*100/($C46+$C$3)*AO46/1000*$C46/$C$2</f>
        <v>#N/A</v>
      </c>
      <c r="AQ46" s="212" t="e">
        <f>$D46*100/($C46+$C$3)*AO46/1000-AP46</f>
        <v>#N/A</v>
      </c>
    </row>
    <row r="47" spans="1:43" ht="24" customHeight="1">
      <c r="A47" s="142" t="s">
        <v>63</v>
      </c>
      <c r="B47" s="234" t="s">
        <v>147</v>
      </c>
      <c r="C47" s="239">
        <v>2.8</v>
      </c>
      <c r="D47" s="239">
        <v>580</v>
      </c>
      <c r="E47" s="216">
        <f>-VLOOKUP($B47,'недельное планирование'!$B:$CA,E$3,FALSE)</f>
        <v>0</v>
      </c>
      <c r="F47" s="162">
        <f>$D47*100/($C47+$C$3)*E47/1000*$C47/$C$2</f>
        <v>0</v>
      </c>
      <c r="G47" s="212">
        <f>$D47*100/($C47+$C$3)*E47/1000-F47</f>
        <v>0</v>
      </c>
      <c r="H47" s="216">
        <f>-VLOOKUP($B47,'недельное планирование'!$B:$CA,H$3,FALSE)</f>
        <v>30</v>
      </c>
      <c r="I47" s="162">
        <f>$D47*100/($C47+$C$3)*H47/1000*$C47/$C$2</f>
        <v>210.1811906816221</v>
      </c>
      <c r="J47" s="212">
        <f>$D47*100/($C47+$C$3)*H47/1000-I47</f>
        <v>75.064710957722212</v>
      </c>
      <c r="K47" s="216">
        <f>-VLOOKUP($B47,'недельное планирование'!$B:$CA,K$3,FALSE)</f>
        <v>0</v>
      </c>
      <c r="L47" s="162">
        <f>$D47*100/($C47+$C$3)*K47/1000*$C47/$C$2</f>
        <v>0</v>
      </c>
      <c r="M47" s="212">
        <f>$D47*100/($C47+$C$3)*K47/1000-L47</f>
        <v>0</v>
      </c>
      <c r="N47" s="216">
        <f>-VLOOKUP($B47,'недельное планирование'!$B:$CA,N$3,FALSE)</f>
        <v>40</v>
      </c>
      <c r="O47" s="162">
        <f>$D47*100/($C47+$C$3)*N47/1000*$C47/$C$2</f>
        <v>280.24158757549617</v>
      </c>
      <c r="P47" s="212">
        <f>$D47*100/($C47+$C$3)*N47/1000-O47</f>
        <v>100.08628127696289</v>
      </c>
      <c r="Q47" s="216">
        <f>-VLOOKUP($B47,'недельное планирование'!$B:$CA,Q$3,FALSE)</f>
        <v>0</v>
      </c>
      <c r="R47" s="162">
        <f>$D47*100/($C47+$C$3)*Q47/1000*$C47/$C$2</f>
        <v>0</v>
      </c>
      <c r="S47" s="212">
        <f>$D47*100/($C47+$C$3)*Q47/1000-R47</f>
        <v>0</v>
      </c>
      <c r="T47" s="216">
        <f>-VLOOKUP($B47,'недельное планирование'!$B:$CA,T$3,FALSE)</f>
        <v>50</v>
      </c>
      <c r="U47" s="162">
        <f>$D47*100/($C47+$C$3)*T47/1000*$C47/$C$2</f>
        <v>350.30198446937027</v>
      </c>
      <c r="V47" s="212">
        <f>$D47*100/($C47+$C$3)*T47/1000-U47</f>
        <v>125.1078515962036</v>
      </c>
      <c r="W47" s="216">
        <f>-VLOOKUP($B47,'недельное планирование'!$B:$CA,W$3,FALSE)</f>
        <v>0</v>
      </c>
      <c r="X47" s="162">
        <f>$D47*100/($C47+$C$3)*W47/1000*$C47/$C$2</f>
        <v>0</v>
      </c>
      <c r="Y47" s="212">
        <f>$D47*100/($C47+$C$3)*W47/1000-X47</f>
        <v>0</v>
      </c>
      <c r="Z47" s="216">
        <f>-VLOOKUP($B47,'недельное планирование'!$B:$CA,Z$3,FALSE)</f>
        <v>0</v>
      </c>
      <c r="AA47" s="162">
        <f>$D47*100/($C47+$C$3)*Z47/1000*$C47/$C$2</f>
        <v>0</v>
      </c>
      <c r="AB47" s="212">
        <f>$D47*100/($C47+$C$3)*Z47/1000-AA47</f>
        <v>0</v>
      </c>
      <c r="AC47" s="216">
        <f>-VLOOKUP($B47,'недельное планирование'!$B:$CA,AC$3,FALSE)</f>
        <v>0</v>
      </c>
      <c r="AD47" s="162">
        <f>$D47*100/($C47+$C$3)*AC47/1000*$C47/$C$2</f>
        <v>0</v>
      </c>
      <c r="AE47" s="212">
        <f>$D47*100/($C47+$C$3)*AC47/1000-AD47</f>
        <v>0</v>
      </c>
      <c r="AF47" s="216">
        <f>-VLOOKUP($B47,'недельное планирование'!$B:$CA,AF$3,FALSE)</f>
        <v>0</v>
      </c>
      <c r="AG47" s="162">
        <f>$D47*100/($C47+$C$3)*AF47/1000*$C47/$C$2</f>
        <v>0</v>
      </c>
      <c r="AH47" s="212">
        <f>$D47*100/($C47+$C$3)*AF47/1000-AG47</f>
        <v>0</v>
      </c>
      <c r="AI47" s="216" t="e">
        <f>-VLOOKUP($B47,'недельное планирование'!$B:$CA,AI$3,FALSE)</f>
        <v>#N/A</v>
      </c>
      <c r="AJ47" s="162" t="e">
        <f>$D47*100/($C47+$C$3)*AI47/1000*$C47/$C$2</f>
        <v>#N/A</v>
      </c>
      <c r="AK47" s="212" t="e">
        <f>$D47*100/($C47+$C$3)*AI47/1000-AJ47</f>
        <v>#N/A</v>
      </c>
      <c r="AL47" s="216" t="e">
        <f>-VLOOKUP($B47,'недельное планирование'!$B:$CA,AL$3,FALSE)</f>
        <v>#N/A</v>
      </c>
      <c r="AM47" s="162" t="e">
        <f>$D47*100/($C47+$C$3)*AL47/1000*$C47/$C$2</f>
        <v>#N/A</v>
      </c>
      <c r="AN47" s="212" t="e">
        <f>$D47*100/($C47+$C$3)*AL47/1000-AM47</f>
        <v>#N/A</v>
      </c>
      <c r="AO47" s="216" t="e">
        <f>-VLOOKUP($B47,'недельное планирование'!$B:$CA,AO$3,FALSE)</f>
        <v>#N/A</v>
      </c>
      <c r="AP47" s="162" t="e">
        <f>$D47*100/($C47+$C$3)*AO47/1000*$C47/$C$2</f>
        <v>#N/A</v>
      </c>
      <c r="AQ47" s="212" t="e">
        <f>$D47*100/($C47+$C$3)*AO47/1000-AP47</f>
        <v>#N/A</v>
      </c>
    </row>
    <row r="48" spans="1:43" ht="24" customHeight="1">
      <c r="A48" s="142" t="s">
        <v>19</v>
      </c>
      <c r="B48" s="234" t="s">
        <v>122</v>
      </c>
      <c r="C48" s="239">
        <v>2.8</v>
      </c>
      <c r="D48" s="239">
        <v>580</v>
      </c>
      <c r="E48" s="216">
        <f>-VLOOKUP($B48,'недельное планирование'!$B:$CA,E$3,FALSE)</f>
        <v>330</v>
      </c>
      <c r="F48" s="162">
        <f>$D48*100/($C48+$C$3)*E48/1000*$C48/$C$2</f>
        <v>2311.9930974978429</v>
      </c>
      <c r="G48" s="212">
        <f>$D48*100/($C48+$C$3)*E48/1000-F48</f>
        <v>825.71182053494431</v>
      </c>
      <c r="H48" s="216">
        <f>-VLOOKUP($B48,'недельное планирование'!$B:$CA,H$3,FALSE)</f>
        <v>0</v>
      </c>
      <c r="I48" s="162">
        <f>$D48*100/($C48+$C$3)*H48/1000*$C48/$C$2</f>
        <v>0</v>
      </c>
      <c r="J48" s="212">
        <f>$D48*100/($C48+$C$3)*H48/1000-I48</f>
        <v>0</v>
      </c>
      <c r="K48" s="216">
        <f>-VLOOKUP($B48,'недельное планирование'!$B:$CA,K$3,FALSE)</f>
        <v>0</v>
      </c>
      <c r="L48" s="162">
        <f>$D48*100/($C48+$C$3)*K48/1000*$C48/$C$2</f>
        <v>0</v>
      </c>
      <c r="M48" s="212">
        <f>$D48*100/($C48+$C$3)*K48/1000-L48</f>
        <v>0</v>
      </c>
      <c r="N48" s="216">
        <f>-VLOOKUP($B48,'недельное планирование'!$B:$CA,N$3,FALSE)</f>
        <v>290</v>
      </c>
      <c r="O48" s="162">
        <f>$D48*100/($C48+$C$3)*N48/1000*$C48/$C$2</f>
        <v>2031.7515099223474</v>
      </c>
      <c r="P48" s="212">
        <f>$D48*100/($C48+$C$3)*N48/1000-O48</f>
        <v>725.62553925798102</v>
      </c>
      <c r="Q48" s="216">
        <f>-VLOOKUP($B48,'недельное планирование'!$B:$CA,Q$3,FALSE)</f>
        <v>0</v>
      </c>
      <c r="R48" s="162">
        <f>$D48*100/($C48+$C$3)*Q48/1000*$C48/$C$2</f>
        <v>0</v>
      </c>
      <c r="S48" s="212">
        <f>$D48*100/($C48+$C$3)*Q48/1000-R48</f>
        <v>0</v>
      </c>
      <c r="T48" s="216">
        <f>-VLOOKUP($B48,'недельное планирование'!$B:$CA,T$3,FALSE)</f>
        <v>60</v>
      </c>
      <c r="U48" s="162">
        <f>$D48*100/($C48+$C$3)*T48/1000*$C48/$C$2</f>
        <v>420.3623813632442</v>
      </c>
      <c r="V48" s="212">
        <f>$D48*100/($C48+$C$3)*T48/1000-U48</f>
        <v>150.12942191544442</v>
      </c>
      <c r="W48" s="216">
        <f>-VLOOKUP($B48,'недельное планирование'!$B:$CA,W$3,FALSE)</f>
        <v>0</v>
      </c>
      <c r="X48" s="162">
        <f>$D48*100/($C48+$C$3)*W48/1000*$C48/$C$2</f>
        <v>0</v>
      </c>
      <c r="Y48" s="212">
        <f>$D48*100/($C48+$C$3)*W48/1000-X48</f>
        <v>0</v>
      </c>
      <c r="Z48" s="216">
        <f>-VLOOKUP($B48,'недельное планирование'!$B:$CA,Z$3,FALSE)</f>
        <v>0</v>
      </c>
      <c r="AA48" s="162">
        <f>$D48*100/($C48+$C$3)*Z48/1000*$C48/$C$2</f>
        <v>0</v>
      </c>
      <c r="AB48" s="212">
        <f>$D48*100/($C48+$C$3)*Z48/1000-AA48</f>
        <v>0</v>
      </c>
      <c r="AC48" s="216">
        <f>-VLOOKUP($B48,'недельное планирование'!$B:$CA,AC$3,FALSE)</f>
        <v>0</v>
      </c>
      <c r="AD48" s="162">
        <f>$D48*100/($C48+$C$3)*AC48/1000*$C48/$C$2</f>
        <v>0</v>
      </c>
      <c r="AE48" s="212">
        <f>$D48*100/($C48+$C$3)*AC48/1000-AD48</f>
        <v>0</v>
      </c>
      <c r="AF48" s="216">
        <f>-VLOOKUP($B48,'недельное планирование'!$B:$CA,AF$3,FALSE)</f>
        <v>0</v>
      </c>
      <c r="AG48" s="162">
        <f>$D48*100/($C48+$C$3)*AF48/1000*$C48/$C$2</f>
        <v>0</v>
      </c>
      <c r="AH48" s="212">
        <f>$D48*100/($C48+$C$3)*AF48/1000-AG48</f>
        <v>0</v>
      </c>
      <c r="AI48" s="216" t="e">
        <f>-VLOOKUP($B48,'недельное планирование'!$B:$CA,AI$3,FALSE)</f>
        <v>#N/A</v>
      </c>
      <c r="AJ48" s="162" t="e">
        <f>$D48*100/($C48+$C$3)*AI48/1000*$C48/$C$2</f>
        <v>#N/A</v>
      </c>
      <c r="AK48" s="212" t="e">
        <f>$D48*100/($C48+$C$3)*AI48/1000-AJ48</f>
        <v>#N/A</v>
      </c>
      <c r="AL48" s="216" t="e">
        <f>-VLOOKUP($B48,'недельное планирование'!$B:$CA,AL$3,FALSE)</f>
        <v>#N/A</v>
      </c>
      <c r="AM48" s="162" t="e">
        <f>$D48*100/($C48+$C$3)*AL48/1000*$C48/$C$2</f>
        <v>#N/A</v>
      </c>
      <c r="AN48" s="212" t="e">
        <f>$D48*100/($C48+$C$3)*AL48/1000-AM48</f>
        <v>#N/A</v>
      </c>
      <c r="AO48" s="216" t="e">
        <f>-VLOOKUP($B48,'недельное планирование'!$B:$CA,AO$3,FALSE)</f>
        <v>#N/A</v>
      </c>
      <c r="AP48" s="162" t="e">
        <f>$D48*100/($C48+$C$3)*AO48/1000*$C48/$C$2</f>
        <v>#N/A</v>
      </c>
      <c r="AQ48" s="212" t="e">
        <f>$D48*100/($C48+$C$3)*AO48/1000-AP48</f>
        <v>#N/A</v>
      </c>
    </row>
    <row r="49" spans="1:43" ht="24" customHeight="1">
      <c r="A49" s="142"/>
      <c r="B49" s="234"/>
      <c r="C49" s="239"/>
      <c r="D49" s="239"/>
      <c r="E49" s="216"/>
      <c r="F49" s="162"/>
      <c r="G49" s="212"/>
      <c r="H49" s="216"/>
      <c r="I49" s="162"/>
      <c r="J49" s="212"/>
      <c r="K49" s="216"/>
      <c r="L49" s="162"/>
      <c r="M49" s="212"/>
      <c r="N49" s="216"/>
      <c r="O49" s="162"/>
      <c r="P49" s="212"/>
      <c r="Q49" s="216"/>
      <c r="R49" s="162"/>
      <c r="S49" s="212"/>
      <c r="T49" s="216"/>
      <c r="U49" s="162"/>
      <c r="V49" s="212"/>
      <c r="W49" s="216"/>
      <c r="X49" s="162"/>
      <c r="Y49" s="212"/>
      <c r="Z49" s="216"/>
      <c r="AA49" s="162"/>
      <c r="AB49" s="212"/>
      <c r="AC49" s="216"/>
      <c r="AD49" s="162"/>
      <c r="AE49" s="212"/>
      <c r="AF49" s="216"/>
      <c r="AG49" s="162"/>
      <c r="AH49" s="212"/>
      <c r="AI49" s="216"/>
      <c r="AJ49" s="162"/>
      <c r="AK49" s="212"/>
      <c r="AL49" s="216"/>
      <c r="AM49" s="162"/>
      <c r="AN49" s="212"/>
      <c r="AO49" s="216"/>
      <c r="AP49" s="162"/>
      <c r="AQ49" s="212"/>
    </row>
    <row r="50" spans="1:43" s="211" customFormat="1" ht="24" customHeight="1">
      <c r="C50" s="238"/>
      <c r="D50" s="238"/>
      <c r="E50" s="214"/>
      <c r="F50" s="207"/>
      <c r="G50" s="207"/>
      <c r="H50" s="214"/>
      <c r="I50" s="207"/>
      <c r="J50" s="207"/>
      <c r="K50" s="214"/>
      <c r="L50" s="207"/>
      <c r="M50" s="207"/>
      <c r="N50" s="214"/>
      <c r="O50" s="207"/>
      <c r="P50" s="207"/>
      <c r="Q50" s="214"/>
      <c r="R50" s="207"/>
      <c r="S50" s="207"/>
      <c r="T50" s="214"/>
      <c r="U50" s="207"/>
      <c r="V50" s="207"/>
      <c r="W50" s="214"/>
      <c r="X50" s="207"/>
      <c r="Y50" s="207"/>
      <c r="Z50" s="214"/>
      <c r="AA50" s="207"/>
      <c r="AB50" s="207"/>
      <c r="AC50" s="214"/>
      <c r="AD50" s="207"/>
      <c r="AE50" s="207"/>
      <c r="AF50" s="214"/>
      <c r="AG50" s="207"/>
      <c r="AH50" s="207"/>
      <c r="AI50" s="214"/>
      <c r="AJ50" s="207"/>
      <c r="AK50" s="207"/>
      <c r="AL50" s="214"/>
      <c r="AM50" s="207"/>
      <c r="AN50" s="207"/>
      <c r="AO50" s="214"/>
      <c r="AP50" s="207"/>
      <c r="AQ50" s="207"/>
    </row>
    <row r="51" spans="1:43" ht="24" customHeight="1">
      <c r="A51" s="140" t="s">
        <v>19</v>
      </c>
      <c r="B51" s="228" t="s">
        <v>127</v>
      </c>
      <c r="C51" s="239">
        <v>2.8</v>
      </c>
      <c r="D51" s="239">
        <v>580</v>
      </c>
      <c r="E51" s="216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2">
        <f t="shared" ref="G51:G61" si="53">$D51*100/($C51+$C$3)*E51/1000-F51</f>
        <v>175.15099223468513</v>
      </c>
      <c r="H51" s="216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2">
        <f t="shared" ref="J51:J61" si="55">$D51*100/($C51+$C$3)*H51/1000-I51</f>
        <v>0</v>
      </c>
      <c r="K51" s="216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2">
        <f t="shared" ref="M51:M61" si="57">$D51*100/($C51+$C$3)*K51/1000-L51</f>
        <v>1463.7618636755824</v>
      </c>
      <c r="N51" s="216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2">
        <f t="shared" ref="P51:P61" si="59">$D51*100/($C51+$C$3)*N51/1000-O51</f>
        <v>0</v>
      </c>
      <c r="Q51" s="216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2">
        <f t="shared" ref="S51:S61" si="61">$D51*100/($C51+$C$3)*Q51/1000-R51</f>
        <v>0</v>
      </c>
      <c r="T51" s="216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2">
        <f t="shared" ref="V51:V61" si="63">$D51*100/($C51+$C$3)*T51/1000-U51</f>
        <v>1751.5099223468515</v>
      </c>
      <c r="W51" s="216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2">
        <f t="shared" ref="Y51:Y61" si="65">$D51*100/($C51+$C$3)*W51/1000-X51</f>
        <v>1651.4236410698886</v>
      </c>
      <c r="Z51" s="216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2">
        <f t="shared" ref="AB51:AB61" si="67">$D51*100/($C51+$C$3)*Z51/1000-AA51</f>
        <v>1651.4236410698886</v>
      </c>
      <c r="AC51" s="216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2">
        <f t="shared" ref="AE51:AE61" si="69">$D51*100/($C51+$C$3)*AC51/1000-AD51</f>
        <v>0</v>
      </c>
      <c r="AF51" s="216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2">
        <f t="shared" ref="AH51:AH61" si="71">$D51*100/($C51+$C$3)*AF51/1000-AG51</f>
        <v>1651.4236410698886</v>
      </c>
      <c r="AI51" s="216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2" t="e">
        <f t="shared" ref="AK51:AK61" si="73">$D51*100/($C51+$C$3)*AI51/1000-AJ51</f>
        <v>#N/A</v>
      </c>
      <c r="AL51" s="216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2" t="e">
        <f t="shared" ref="AN51:AN61" si="75">$D51*100/($C51+$C$3)*AL51/1000-AM51</f>
        <v>#N/A</v>
      </c>
      <c r="AO51" s="216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2" t="e">
        <f t="shared" ref="AQ51:AQ61" si="77">$D51*100/($C51+$C$3)*AO51/1000-AP51</f>
        <v>#N/A</v>
      </c>
    </row>
    <row r="52" spans="1:43" ht="24" customHeight="1">
      <c r="A52" s="140" t="s">
        <v>19</v>
      </c>
      <c r="B52" s="228" t="s">
        <v>117</v>
      </c>
      <c r="C52" s="239">
        <v>2.8</v>
      </c>
      <c r="D52" s="239">
        <v>580</v>
      </c>
      <c r="E52" s="216">
        <f>-VLOOKUP($B52,'недельное планирование'!$B:$CA,E$3,FALSE)</f>
        <v>260</v>
      </c>
      <c r="F52" s="162">
        <f t="shared" si="52"/>
        <v>1821.570319240725</v>
      </c>
      <c r="G52" s="212">
        <f t="shared" si="53"/>
        <v>650.56082830025889</v>
      </c>
      <c r="H52" s="216">
        <f>-VLOOKUP($B52,'недельное планирование'!$B:$CA,H$3,FALSE)</f>
        <v>0</v>
      </c>
      <c r="I52" s="162">
        <f t="shared" si="54"/>
        <v>0</v>
      </c>
      <c r="J52" s="212">
        <f t="shared" si="55"/>
        <v>0</v>
      </c>
      <c r="K52" s="216">
        <f>-VLOOKUP($B52,'недельное планирование'!$B:$CA,K$3,FALSE)</f>
        <v>423</v>
      </c>
      <c r="L52" s="162">
        <f t="shared" si="56"/>
        <v>2963.554788610872</v>
      </c>
      <c r="M52" s="212">
        <f t="shared" si="57"/>
        <v>1058.4124245038829</v>
      </c>
      <c r="N52" s="216">
        <f>-VLOOKUP($B52,'недельное планирование'!$B:$CA,N$3,FALSE)</f>
        <v>0</v>
      </c>
      <c r="O52" s="162">
        <f t="shared" si="58"/>
        <v>0</v>
      </c>
      <c r="P52" s="212">
        <f t="shared" si="59"/>
        <v>0</v>
      </c>
      <c r="Q52" s="216">
        <f>-VLOOKUP($B52,'недельное планирование'!$B:$CA,Q$3,FALSE)</f>
        <v>0</v>
      </c>
      <c r="R52" s="162">
        <f t="shared" si="60"/>
        <v>0</v>
      </c>
      <c r="S52" s="212">
        <f t="shared" si="61"/>
        <v>0</v>
      </c>
      <c r="T52" s="216">
        <f>-VLOOKUP($B52,'недельное планирование'!$B:$CA,T$3,FALSE)</f>
        <v>900</v>
      </c>
      <c r="U52" s="162">
        <f t="shared" si="62"/>
        <v>6305.4357204486632</v>
      </c>
      <c r="V52" s="212">
        <f t="shared" si="63"/>
        <v>2251.9413287316647</v>
      </c>
      <c r="W52" s="216">
        <f>-VLOOKUP($B52,'недельное планирование'!$B:$CA,W$3,FALSE)</f>
        <v>0</v>
      </c>
      <c r="X52" s="162">
        <f t="shared" si="64"/>
        <v>0</v>
      </c>
      <c r="Y52" s="212">
        <f t="shared" si="65"/>
        <v>0</v>
      </c>
      <c r="Z52" s="216">
        <f>-VLOOKUP($B52,'недельное планирование'!$B:$CA,Z$3,FALSE)</f>
        <v>660</v>
      </c>
      <c r="AA52" s="162">
        <f t="shared" si="66"/>
        <v>4623.9861949956858</v>
      </c>
      <c r="AB52" s="212">
        <f t="shared" si="67"/>
        <v>1651.4236410698886</v>
      </c>
      <c r="AC52" s="216">
        <f>-VLOOKUP($B52,'недельное планирование'!$B:$CA,AC$3,FALSE)</f>
        <v>0</v>
      </c>
      <c r="AD52" s="162">
        <f t="shared" si="68"/>
        <v>0</v>
      </c>
      <c r="AE52" s="212">
        <f t="shared" si="69"/>
        <v>0</v>
      </c>
      <c r="AF52" s="216">
        <f>-VLOOKUP($B52,'недельное планирование'!$B:$CA,AF$3,FALSE)</f>
        <v>660</v>
      </c>
      <c r="AG52" s="162">
        <f t="shared" si="70"/>
        <v>4623.9861949956858</v>
      </c>
      <c r="AH52" s="212">
        <f t="shared" si="71"/>
        <v>1651.4236410698886</v>
      </c>
      <c r="AI52" s="216" t="e">
        <f>-VLOOKUP($B52,'недельное планирование'!$B:$CA,AI$3,FALSE)</f>
        <v>#N/A</v>
      </c>
      <c r="AJ52" s="162" t="e">
        <f t="shared" si="72"/>
        <v>#N/A</v>
      </c>
      <c r="AK52" s="212" t="e">
        <f t="shared" si="73"/>
        <v>#N/A</v>
      </c>
      <c r="AL52" s="216" t="e">
        <f>-VLOOKUP($B52,'недельное планирование'!$B:$CA,AL$3,FALSE)</f>
        <v>#N/A</v>
      </c>
      <c r="AM52" s="162" t="e">
        <f t="shared" si="74"/>
        <v>#N/A</v>
      </c>
      <c r="AN52" s="212" t="e">
        <f t="shared" si="75"/>
        <v>#N/A</v>
      </c>
      <c r="AO52" s="216" t="e">
        <f>-VLOOKUP($B52,'недельное планирование'!$B:$CA,AO$3,FALSE)</f>
        <v>#N/A</v>
      </c>
      <c r="AP52" s="162" t="e">
        <f t="shared" si="76"/>
        <v>#N/A</v>
      </c>
      <c r="AQ52" s="212" t="e">
        <f t="shared" si="77"/>
        <v>#N/A</v>
      </c>
    </row>
    <row r="53" spans="1:43" ht="24" customHeight="1">
      <c r="A53" s="140" t="s">
        <v>20</v>
      </c>
      <c r="B53" s="228" t="s">
        <v>100</v>
      </c>
      <c r="C53" s="239">
        <v>2.8</v>
      </c>
      <c r="D53" s="239">
        <v>580</v>
      </c>
      <c r="E53" s="216">
        <f>-VLOOKUP($B53,'недельное планирование'!$B:$CA,E$3,FALSE)</f>
        <v>0</v>
      </c>
      <c r="F53" s="162">
        <f t="shared" si="52"/>
        <v>0</v>
      </c>
      <c r="G53" s="212">
        <f t="shared" si="53"/>
        <v>0</v>
      </c>
      <c r="H53" s="216">
        <f>-VLOOKUP($B53,'недельное планирование'!$B:$CA,H$3,FALSE)</f>
        <v>0</v>
      </c>
      <c r="I53" s="162">
        <f t="shared" si="54"/>
        <v>0</v>
      </c>
      <c r="J53" s="212">
        <f t="shared" si="55"/>
        <v>0</v>
      </c>
      <c r="K53" s="216">
        <f>-VLOOKUP($B53,'недельное планирование'!$B:$CA,K$3,FALSE)</f>
        <v>280</v>
      </c>
      <c r="L53" s="162">
        <f t="shared" si="56"/>
        <v>1961.6911130284732</v>
      </c>
      <c r="M53" s="212">
        <f t="shared" si="57"/>
        <v>700.60396893874054</v>
      </c>
      <c r="N53" s="216">
        <f>-VLOOKUP($B53,'недельное планирование'!$B:$CA,N$3,FALSE)</f>
        <v>340</v>
      </c>
      <c r="O53" s="162">
        <f t="shared" si="58"/>
        <v>2382.0534943917173</v>
      </c>
      <c r="P53" s="212">
        <f t="shared" si="59"/>
        <v>850.73339085418456</v>
      </c>
      <c r="Q53" s="216">
        <f>-VLOOKUP($B53,'недельное планирование'!$B:$CA,Q$3,FALSE)</f>
        <v>0</v>
      </c>
      <c r="R53" s="162">
        <f t="shared" si="60"/>
        <v>0</v>
      </c>
      <c r="S53" s="212">
        <f t="shared" si="61"/>
        <v>0</v>
      </c>
      <c r="T53" s="216">
        <f>-VLOOKUP($B53,'недельное планирование'!$B:$CA,T$3,FALSE)</f>
        <v>0</v>
      </c>
      <c r="U53" s="162">
        <f t="shared" si="62"/>
        <v>0</v>
      </c>
      <c r="V53" s="212">
        <f t="shared" si="63"/>
        <v>0</v>
      </c>
      <c r="W53" s="216">
        <f>-VLOOKUP($B53,'недельное планирование'!$B:$CA,W$3,FALSE)</f>
        <v>330</v>
      </c>
      <c r="X53" s="162">
        <f t="shared" si="64"/>
        <v>2311.9930974978429</v>
      </c>
      <c r="Y53" s="212">
        <f t="shared" si="65"/>
        <v>825.71182053494431</v>
      </c>
      <c r="Z53" s="216">
        <f>-VLOOKUP($B53,'недельное планирование'!$B:$CA,Z$3,FALSE)</f>
        <v>0</v>
      </c>
      <c r="AA53" s="162">
        <f t="shared" si="66"/>
        <v>0</v>
      </c>
      <c r="AB53" s="212">
        <f t="shared" si="67"/>
        <v>0</v>
      </c>
      <c r="AC53" s="216">
        <f>-VLOOKUP($B53,'недельное планирование'!$B:$CA,AC$3,FALSE)</f>
        <v>0</v>
      </c>
      <c r="AD53" s="162">
        <f t="shared" si="68"/>
        <v>0</v>
      </c>
      <c r="AE53" s="212">
        <f t="shared" si="69"/>
        <v>0</v>
      </c>
      <c r="AF53" s="216">
        <f>-VLOOKUP($B53,'недельное планирование'!$B:$CA,AF$3,FALSE)</f>
        <v>0</v>
      </c>
      <c r="AG53" s="162">
        <f t="shared" si="70"/>
        <v>0</v>
      </c>
      <c r="AH53" s="212">
        <f t="shared" si="71"/>
        <v>0</v>
      </c>
      <c r="AI53" s="216" t="e">
        <f>-VLOOKUP($B53,'недельное планирование'!$B:$CA,AI$3,FALSE)</f>
        <v>#N/A</v>
      </c>
      <c r="AJ53" s="162" t="e">
        <f t="shared" si="72"/>
        <v>#N/A</v>
      </c>
      <c r="AK53" s="212" t="e">
        <f t="shared" si="73"/>
        <v>#N/A</v>
      </c>
      <c r="AL53" s="216" t="e">
        <f>-VLOOKUP($B53,'недельное планирование'!$B:$CA,AL$3,FALSE)</f>
        <v>#N/A</v>
      </c>
      <c r="AM53" s="162" t="e">
        <f t="shared" si="74"/>
        <v>#N/A</v>
      </c>
      <c r="AN53" s="212" t="e">
        <f t="shared" si="75"/>
        <v>#N/A</v>
      </c>
      <c r="AO53" s="216" t="e">
        <f>-VLOOKUP($B53,'недельное планирование'!$B:$CA,AO$3,FALSE)</f>
        <v>#N/A</v>
      </c>
      <c r="AP53" s="162" t="e">
        <f t="shared" si="76"/>
        <v>#N/A</v>
      </c>
      <c r="AQ53" s="212" t="e">
        <f t="shared" si="77"/>
        <v>#N/A</v>
      </c>
    </row>
    <row r="54" spans="1:43" ht="24" customHeight="1">
      <c r="A54" s="140" t="s">
        <v>20</v>
      </c>
      <c r="B54" s="228" t="s">
        <v>116</v>
      </c>
      <c r="C54" s="239">
        <v>2.8</v>
      </c>
      <c r="D54" s="239">
        <v>580</v>
      </c>
      <c r="E54" s="216">
        <f>-VLOOKUP($B54,'недельное планирование'!$B:$CA,E$3,FALSE)</f>
        <v>0</v>
      </c>
      <c r="F54" s="162">
        <f t="shared" si="52"/>
        <v>0</v>
      </c>
      <c r="G54" s="212">
        <f t="shared" si="53"/>
        <v>0</v>
      </c>
      <c r="H54" s="216">
        <f>-VLOOKUP($B54,'недельное планирование'!$B:$CA,H$3,FALSE)</f>
        <v>915</v>
      </c>
      <c r="I54" s="162">
        <f t="shared" si="54"/>
        <v>6410.5263157894751</v>
      </c>
      <c r="J54" s="212">
        <f t="shared" si="55"/>
        <v>2289.4736842105267</v>
      </c>
      <c r="K54" s="216">
        <f>-VLOOKUP($B54,'недельное планирование'!$B:$CA,K$3,FALSE)</f>
        <v>839</v>
      </c>
      <c r="L54" s="162">
        <f t="shared" si="56"/>
        <v>5878.0672993960325</v>
      </c>
      <c r="M54" s="212">
        <f t="shared" si="57"/>
        <v>2099.3097497842964</v>
      </c>
      <c r="N54" s="216">
        <f>-VLOOKUP($B54,'недельное планирование'!$B:$CA,N$3,FALSE)</f>
        <v>980</v>
      </c>
      <c r="O54" s="162">
        <f t="shared" si="58"/>
        <v>6865.918895599656</v>
      </c>
      <c r="P54" s="212">
        <f t="shared" si="59"/>
        <v>2452.1138912855913</v>
      </c>
      <c r="Q54" s="216">
        <f>-VLOOKUP($B54,'недельное планирование'!$B:$CA,Q$3,FALSE)</f>
        <v>0</v>
      </c>
      <c r="R54" s="162">
        <f t="shared" si="60"/>
        <v>0</v>
      </c>
      <c r="S54" s="212">
        <f t="shared" si="61"/>
        <v>0</v>
      </c>
      <c r="T54" s="216">
        <f>-VLOOKUP($B54,'недельное планирование'!$B:$CA,T$3,FALSE)</f>
        <v>0</v>
      </c>
      <c r="U54" s="162">
        <f t="shared" si="62"/>
        <v>0</v>
      </c>
      <c r="V54" s="212">
        <f t="shared" si="63"/>
        <v>0</v>
      </c>
      <c r="W54" s="216">
        <f>-VLOOKUP($B54,'недельное планирование'!$B:$CA,W$3,FALSE)</f>
        <v>660</v>
      </c>
      <c r="X54" s="162">
        <f t="shared" si="64"/>
        <v>4623.9861949956858</v>
      </c>
      <c r="Y54" s="212">
        <f t="shared" si="65"/>
        <v>1651.4236410698886</v>
      </c>
      <c r="Z54" s="216">
        <f>-VLOOKUP($B54,'недельное планирование'!$B:$CA,Z$3,FALSE)</f>
        <v>0</v>
      </c>
      <c r="AA54" s="162">
        <f t="shared" si="66"/>
        <v>0</v>
      </c>
      <c r="AB54" s="212">
        <f t="shared" si="67"/>
        <v>0</v>
      </c>
      <c r="AC54" s="216">
        <f>-VLOOKUP($B54,'недельное планирование'!$B:$CA,AC$3,FALSE)</f>
        <v>330</v>
      </c>
      <c r="AD54" s="162">
        <f t="shared" si="68"/>
        <v>2311.9930974978429</v>
      </c>
      <c r="AE54" s="212">
        <f t="shared" si="69"/>
        <v>825.71182053494431</v>
      </c>
      <c r="AF54" s="216">
        <f>-VLOOKUP($B54,'недельное планирование'!$B:$CA,AF$3,FALSE)</f>
        <v>0</v>
      </c>
      <c r="AG54" s="162">
        <f t="shared" si="70"/>
        <v>0</v>
      </c>
      <c r="AH54" s="212">
        <f t="shared" si="71"/>
        <v>0</v>
      </c>
      <c r="AI54" s="216" t="e">
        <f>-VLOOKUP($B54,'недельное планирование'!$B:$CA,AI$3,FALSE)</f>
        <v>#N/A</v>
      </c>
      <c r="AJ54" s="162" t="e">
        <f t="shared" si="72"/>
        <v>#N/A</v>
      </c>
      <c r="AK54" s="212" t="e">
        <f t="shared" si="73"/>
        <v>#N/A</v>
      </c>
      <c r="AL54" s="216" t="e">
        <f>-VLOOKUP($B54,'недельное планирование'!$B:$CA,AL$3,FALSE)</f>
        <v>#N/A</v>
      </c>
      <c r="AM54" s="162" t="e">
        <f t="shared" si="74"/>
        <v>#N/A</v>
      </c>
      <c r="AN54" s="212" t="e">
        <f t="shared" si="75"/>
        <v>#N/A</v>
      </c>
      <c r="AO54" s="216" t="e">
        <f>-VLOOKUP($B54,'недельное планирование'!$B:$CA,AO$3,FALSE)</f>
        <v>#N/A</v>
      </c>
      <c r="AP54" s="162" t="e">
        <f t="shared" si="76"/>
        <v>#N/A</v>
      </c>
      <c r="AQ54" s="212" t="e">
        <f t="shared" si="77"/>
        <v>#N/A</v>
      </c>
    </row>
    <row r="55" spans="1:43" ht="24" customHeight="1">
      <c r="A55" s="140" t="s">
        <v>20</v>
      </c>
      <c r="B55" s="228" t="s">
        <v>161</v>
      </c>
      <c r="C55" s="239">
        <v>2.8</v>
      </c>
      <c r="D55" s="239">
        <v>580</v>
      </c>
      <c r="E55" s="216">
        <f>-VLOOKUP($B55,'недельное планирование'!$B:$CA,E$3,FALSE)</f>
        <v>336</v>
      </c>
      <c r="F55" s="162">
        <f t="shared" si="52"/>
        <v>2354.0293356341676</v>
      </c>
      <c r="G55" s="212">
        <f t="shared" si="53"/>
        <v>840.72476272648873</v>
      </c>
      <c r="H55" s="216">
        <f>-VLOOKUP($B55,'недельное планирование'!$B:$CA,H$3,FALSE)</f>
        <v>0</v>
      </c>
      <c r="I55" s="162">
        <f t="shared" si="54"/>
        <v>0</v>
      </c>
      <c r="J55" s="212">
        <f t="shared" si="55"/>
        <v>0</v>
      </c>
      <c r="K55" s="216">
        <f>-VLOOKUP($B55,'недельное планирование'!$B:$CA,K$3,FALSE)</f>
        <v>340</v>
      </c>
      <c r="L55" s="162">
        <f t="shared" si="56"/>
        <v>2382.0534943917173</v>
      </c>
      <c r="M55" s="212">
        <f t="shared" si="57"/>
        <v>850.73339085418456</v>
      </c>
      <c r="N55" s="216">
        <f>-VLOOKUP($B55,'недельное планирование'!$B:$CA,N$3,FALSE)</f>
        <v>660</v>
      </c>
      <c r="O55" s="162">
        <f t="shared" si="58"/>
        <v>4623.9861949956858</v>
      </c>
      <c r="P55" s="212">
        <f t="shared" si="59"/>
        <v>1651.4236410698886</v>
      </c>
      <c r="Q55" s="216">
        <f>-VLOOKUP($B55,'недельное планирование'!$B:$CA,Q$3,FALSE)</f>
        <v>0</v>
      </c>
      <c r="R55" s="162">
        <f t="shared" si="60"/>
        <v>0</v>
      </c>
      <c r="S55" s="212">
        <f t="shared" si="61"/>
        <v>0</v>
      </c>
      <c r="T55" s="216">
        <f>-VLOOKUP($B55,'недельное планирование'!$B:$CA,T$3,FALSE)</f>
        <v>0</v>
      </c>
      <c r="U55" s="162">
        <f t="shared" si="62"/>
        <v>0</v>
      </c>
      <c r="V55" s="212">
        <f t="shared" si="63"/>
        <v>0</v>
      </c>
      <c r="W55" s="216">
        <f>-VLOOKUP($B55,'недельное планирование'!$B:$CA,W$3,FALSE)</f>
        <v>330</v>
      </c>
      <c r="X55" s="162">
        <f t="shared" si="64"/>
        <v>2311.9930974978429</v>
      </c>
      <c r="Y55" s="212">
        <f t="shared" si="65"/>
        <v>825.71182053494431</v>
      </c>
      <c r="Z55" s="216">
        <f>-VLOOKUP($B55,'недельное планирование'!$B:$CA,Z$3,FALSE)</f>
        <v>330</v>
      </c>
      <c r="AA55" s="162">
        <f t="shared" si="66"/>
        <v>2311.9930974978429</v>
      </c>
      <c r="AB55" s="212">
        <f t="shared" si="67"/>
        <v>825.71182053494431</v>
      </c>
      <c r="AC55" s="216">
        <f>-VLOOKUP($B55,'недельное планирование'!$B:$CA,AC$3,FALSE)</f>
        <v>0</v>
      </c>
      <c r="AD55" s="162">
        <f t="shared" si="68"/>
        <v>0</v>
      </c>
      <c r="AE55" s="212">
        <f t="shared" si="69"/>
        <v>0</v>
      </c>
      <c r="AF55" s="216">
        <f>-VLOOKUP($B55,'недельное планирование'!$B:$CA,AF$3,FALSE)</f>
        <v>0</v>
      </c>
      <c r="AG55" s="162">
        <f t="shared" si="70"/>
        <v>0</v>
      </c>
      <c r="AH55" s="212">
        <f t="shared" si="71"/>
        <v>0</v>
      </c>
      <c r="AI55" s="216" t="e">
        <f>-VLOOKUP($B55,'недельное планирование'!$B:$CA,AI$3,FALSE)</f>
        <v>#N/A</v>
      </c>
      <c r="AJ55" s="162" t="e">
        <f t="shared" si="72"/>
        <v>#N/A</v>
      </c>
      <c r="AK55" s="212" t="e">
        <f t="shared" si="73"/>
        <v>#N/A</v>
      </c>
      <c r="AL55" s="216" t="e">
        <f>-VLOOKUP($B55,'недельное планирование'!$B:$CA,AL$3,FALSE)</f>
        <v>#N/A</v>
      </c>
      <c r="AM55" s="162" t="e">
        <f t="shared" si="74"/>
        <v>#N/A</v>
      </c>
      <c r="AN55" s="212" t="e">
        <f t="shared" si="75"/>
        <v>#N/A</v>
      </c>
      <c r="AO55" s="216" t="e">
        <f>-VLOOKUP($B55,'недельное планирование'!$B:$CA,AO$3,FALSE)</f>
        <v>#N/A</v>
      </c>
      <c r="AP55" s="162" t="e">
        <f t="shared" si="76"/>
        <v>#N/A</v>
      </c>
      <c r="AQ55" s="212" t="e">
        <f t="shared" si="77"/>
        <v>#N/A</v>
      </c>
    </row>
    <row r="56" spans="1:43" ht="24" customHeight="1">
      <c r="A56" s="140" t="s">
        <v>19</v>
      </c>
      <c r="B56" s="228" t="s">
        <v>136</v>
      </c>
      <c r="C56" s="239">
        <v>2.8</v>
      </c>
      <c r="D56" s="239">
        <v>580</v>
      </c>
      <c r="E56" s="216">
        <f>-VLOOKUP($B56,'недельное планирование'!$B:$CA,E$3,FALSE)</f>
        <v>0</v>
      </c>
      <c r="F56" s="162">
        <f t="shared" si="52"/>
        <v>0</v>
      </c>
      <c r="G56" s="212">
        <f t="shared" si="53"/>
        <v>0</v>
      </c>
      <c r="H56" s="216">
        <f>-VLOOKUP($B56,'недельное планирование'!$B:$CA,H$3,FALSE)</f>
        <v>0</v>
      </c>
      <c r="I56" s="162">
        <f t="shared" si="54"/>
        <v>0</v>
      </c>
      <c r="J56" s="212">
        <f t="shared" si="55"/>
        <v>0</v>
      </c>
      <c r="K56" s="216">
        <f>-VLOOKUP($B56,'недельное планирование'!$B:$CA,K$3,FALSE)</f>
        <v>4</v>
      </c>
      <c r="L56" s="162">
        <f t="shared" si="56"/>
        <v>28.024158757549614</v>
      </c>
      <c r="M56" s="212">
        <f t="shared" si="57"/>
        <v>10.008628127696291</v>
      </c>
      <c r="N56" s="216">
        <f>-VLOOKUP($B56,'недельное планирование'!$B:$CA,N$3,FALSE)</f>
        <v>0</v>
      </c>
      <c r="O56" s="162">
        <f t="shared" si="58"/>
        <v>0</v>
      </c>
      <c r="P56" s="212">
        <f t="shared" si="59"/>
        <v>0</v>
      </c>
      <c r="Q56" s="216">
        <f>-VLOOKUP($B56,'недельное планирование'!$B:$CA,Q$3,FALSE)</f>
        <v>0</v>
      </c>
      <c r="R56" s="162">
        <f t="shared" si="60"/>
        <v>0</v>
      </c>
      <c r="S56" s="212">
        <f t="shared" si="61"/>
        <v>0</v>
      </c>
      <c r="T56" s="216">
        <f>-VLOOKUP($B56,'недельное планирование'!$B:$CA,T$3,FALSE)</f>
        <v>0</v>
      </c>
      <c r="U56" s="162">
        <f t="shared" si="62"/>
        <v>0</v>
      </c>
      <c r="V56" s="212">
        <f t="shared" si="63"/>
        <v>0</v>
      </c>
      <c r="W56" s="216">
        <f>-VLOOKUP($B56,'недельное планирование'!$B:$CA,W$3,FALSE)</f>
        <v>0</v>
      </c>
      <c r="X56" s="162">
        <f t="shared" si="64"/>
        <v>0</v>
      </c>
      <c r="Y56" s="212">
        <f t="shared" si="65"/>
        <v>0</v>
      </c>
      <c r="Z56" s="216">
        <f>-VLOOKUP($B56,'недельное планирование'!$B:$CA,Z$3,FALSE)</f>
        <v>0</v>
      </c>
      <c r="AA56" s="162">
        <f t="shared" si="66"/>
        <v>0</v>
      </c>
      <c r="AB56" s="212">
        <f t="shared" si="67"/>
        <v>0</v>
      </c>
      <c r="AC56" s="216">
        <f>-VLOOKUP($B56,'недельное планирование'!$B:$CA,AC$3,FALSE)</f>
        <v>0</v>
      </c>
      <c r="AD56" s="162">
        <f t="shared" si="68"/>
        <v>0</v>
      </c>
      <c r="AE56" s="212">
        <f t="shared" si="69"/>
        <v>0</v>
      </c>
      <c r="AF56" s="216">
        <f>-VLOOKUP($B56,'недельное планирование'!$B:$CA,AF$3,FALSE)</f>
        <v>0</v>
      </c>
      <c r="AG56" s="162">
        <f t="shared" si="70"/>
        <v>0</v>
      </c>
      <c r="AH56" s="212">
        <f t="shared" si="71"/>
        <v>0</v>
      </c>
      <c r="AI56" s="216" t="e">
        <f>-VLOOKUP($B56,'недельное планирование'!$B:$CA,AI$3,FALSE)</f>
        <v>#N/A</v>
      </c>
      <c r="AJ56" s="162" t="e">
        <f t="shared" si="72"/>
        <v>#N/A</v>
      </c>
      <c r="AK56" s="212" t="e">
        <f t="shared" si="73"/>
        <v>#N/A</v>
      </c>
      <c r="AL56" s="216" t="e">
        <f>-VLOOKUP($B56,'недельное планирование'!$B:$CA,AL$3,FALSE)</f>
        <v>#N/A</v>
      </c>
      <c r="AM56" s="162" t="e">
        <f t="shared" si="74"/>
        <v>#N/A</v>
      </c>
      <c r="AN56" s="212" t="e">
        <f t="shared" si="75"/>
        <v>#N/A</v>
      </c>
      <c r="AO56" s="216" t="e">
        <f>-VLOOKUP($B56,'недельное планирование'!$B:$CA,AO$3,FALSE)</f>
        <v>#N/A</v>
      </c>
      <c r="AP56" s="162" t="e">
        <f t="shared" si="76"/>
        <v>#N/A</v>
      </c>
      <c r="AQ56" s="212" t="e">
        <f t="shared" si="77"/>
        <v>#N/A</v>
      </c>
    </row>
    <row r="57" spans="1:43" ht="24" customHeight="1">
      <c r="A57" s="140" t="s">
        <v>19</v>
      </c>
      <c r="B57" s="228" t="s">
        <v>137</v>
      </c>
      <c r="C57" s="239">
        <v>2.8</v>
      </c>
      <c r="D57" s="239">
        <v>580</v>
      </c>
      <c r="E57" s="216">
        <f>-VLOOKUP($B57,'недельное планирование'!$B:$CA,E$3,FALSE)</f>
        <v>0</v>
      </c>
      <c r="F57" s="162">
        <f t="shared" si="52"/>
        <v>0</v>
      </c>
      <c r="G57" s="212">
        <f t="shared" si="53"/>
        <v>0</v>
      </c>
      <c r="H57" s="216">
        <f>-VLOOKUP($B57,'недельное планирование'!$B:$CA,H$3,FALSE)</f>
        <v>0</v>
      </c>
      <c r="I57" s="162">
        <f t="shared" si="54"/>
        <v>0</v>
      </c>
      <c r="J57" s="212">
        <f t="shared" si="55"/>
        <v>0</v>
      </c>
      <c r="K57" s="216">
        <f>-VLOOKUP($B57,'недельное планирование'!$B:$CA,K$3,FALSE)</f>
        <v>4</v>
      </c>
      <c r="L57" s="162">
        <f t="shared" si="56"/>
        <v>28.024158757549614</v>
      </c>
      <c r="M57" s="212">
        <f t="shared" si="57"/>
        <v>10.008628127696291</v>
      </c>
      <c r="N57" s="216">
        <f>-VLOOKUP($B57,'недельное планирование'!$B:$CA,N$3,FALSE)</f>
        <v>0</v>
      </c>
      <c r="O57" s="162">
        <f t="shared" si="58"/>
        <v>0</v>
      </c>
      <c r="P57" s="212">
        <f t="shared" si="59"/>
        <v>0</v>
      </c>
      <c r="Q57" s="216">
        <f>-VLOOKUP($B57,'недельное планирование'!$B:$CA,Q$3,FALSE)</f>
        <v>0</v>
      </c>
      <c r="R57" s="162">
        <f t="shared" si="60"/>
        <v>0</v>
      </c>
      <c r="S57" s="212">
        <f t="shared" si="61"/>
        <v>0</v>
      </c>
      <c r="T57" s="216">
        <f>-VLOOKUP($B57,'недельное планирование'!$B:$CA,T$3,FALSE)</f>
        <v>0</v>
      </c>
      <c r="U57" s="162">
        <f t="shared" si="62"/>
        <v>0</v>
      </c>
      <c r="V57" s="212">
        <f t="shared" si="63"/>
        <v>0</v>
      </c>
      <c r="W57" s="216">
        <f>-VLOOKUP($B57,'недельное планирование'!$B:$CA,W$3,FALSE)</f>
        <v>0</v>
      </c>
      <c r="X57" s="162">
        <f t="shared" si="64"/>
        <v>0</v>
      </c>
      <c r="Y57" s="212">
        <f t="shared" si="65"/>
        <v>0</v>
      </c>
      <c r="Z57" s="216">
        <f>-VLOOKUP($B57,'недельное планирование'!$B:$CA,Z$3,FALSE)</f>
        <v>0</v>
      </c>
      <c r="AA57" s="162">
        <f t="shared" si="66"/>
        <v>0</v>
      </c>
      <c r="AB57" s="212">
        <f t="shared" si="67"/>
        <v>0</v>
      </c>
      <c r="AC57" s="216">
        <f>-VLOOKUP($B57,'недельное планирование'!$B:$CA,AC$3,FALSE)</f>
        <v>0</v>
      </c>
      <c r="AD57" s="162">
        <f t="shared" si="68"/>
        <v>0</v>
      </c>
      <c r="AE57" s="212">
        <f t="shared" si="69"/>
        <v>0</v>
      </c>
      <c r="AF57" s="216">
        <f>-VLOOKUP($B57,'недельное планирование'!$B:$CA,AF$3,FALSE)</f>
        <v>0</v>
      </c>
      <c r="AG57" s="162">
        <f t="shared" si="70"/>
        <v>0</v>
      </c>
      <c r="AH57" s="212">
        <f t="shared" si="71"/>
        <v>0</v>
      </c>
      <c r="AI57" s="216" t="e">
        <f>-VLOOKUP($B57,'недельное планирование'!$B:$CA,AI$3,FALSE)</f>
        <v>#N/A</v>
      </c>
      <c r="AJ57" s="162" t="e">
        <f t="shared" si="72"/>
        <v>#N/A</v>
      </c>
      <c r="AK57" s="212" t="e">
        <f t="shared" si="73"/>
        <v>#N/A</v>
      </c>
      <c r="AL57" s="216" t="e">
        <f>-VLOOKUP($B57,'недельное планирование'!$B:$CA,AL$3,FALSE)</f>
        <v>#N/A</v>
      </c>
      <c r="AM57" s="162" t="e">
        <f t="shared" si="74"/>
        <v>#N/A</v>
      </c>
      <c r="AN57" s="212" t="e">
        <f t="shared" si="75"/>
        <v>#N/A</v>
      </c>
      <c r="AO57" s="216" t="e">
        <f>-VLOOKUP($B57,'недельное планирование'!$B:$CA,AO$3,FALSE)</f>
        <v>#N/A</v>
      </c>
      <c r="AP57" s="162" t="e">
        <f t="shared" si="76"/>
        <v>#N/A</v>
      </c>
      <c r="AQ57" s="212" t="e">
        <f t="shared" si="77"/>
        <v>#N/A</v>
      </c>
    </row>
    <row r="58" spans="1:43" ht="24" customHeight="1">
      <c r="A58" s="140" t="s">
        <v>19</v>
      </c>
      <c r="B58" s="228" t="s">
        <v>138</v>
      </c>
      <c r="C58" s="239">
        <v>2.8</v>
      </c>
      <c r="D58" s="239">
        <v>580</v>
      </c>
      <c r="E58" s="216">
        <f>-VLOOKUP($B58,'недельное планирование'!$B:$CA,E$3,FALSE)</f>
        <v>0</v>
      </c>
      <c r="F58" s="162">
        <f t="shared" si="52"/>
        <v>0</v>
      </c>
      <c r="G58" s="212">
        <f t="shared" si="53"/>
        <v>0</v>
      </c>
      <c r="H58" s="216">
        <f>-VLOOKUP($B58,'недельное планирование'!$B:$CA,H$3,FALSE)</f>
        <v>0</v>
      </c>
      <c r="I58" s="162">
        <f t="shared" si="54"/>
        <v>0</v>
      </c>
      <c r="J58" s="212">
        <f t="shared" si="55"/>
        <v>0</v>
      </c>
      <c r="K58" s="216">
        <f>-VLOOKUP($B58,'недельное планирование'!$B:$CA,K$3,FALSE)</f>
        <v>0</v>
      </c>
      <c r="L58" s="162">
        <f t="shared" si="56"/>
        <v>0</v>
      </c>
      <c r="M58" s="212">
        <f t="shared" si="57"/>
        <v>0</v>
      </c>
      <c r="N58" s="216">
        <f>-VLOOKUP($B58,'недельное планирование'!$B:$CA,N$3,FALSE)</f>
        <v>0</v>
      </c>
      <c r="O58" s="162">
        <f t="shared" si="58"/>
        <v>0</v>
      </c>
      <c r="P58" s="212">
        <f t="shared" si="59"/>
        <v>0</v>
      </c>
      <c r="Q58" s="216">
        <f>-VLOOKUP($B58,'недельное планирование'!$B:$CA,Q$3,FALSE)</f>
        <v>0</v>
      </c>
      <c r="R58" s="162">
        <f t="shared" si="60"/>
        <v>0</v>
      </c>
      <c r="S58" s="212">
        <f t="shared" si="61"/>
        <v>0</v>
      </c>
      <c r="T58" s="216">
        <f>-VLOOKUP($B58,'недельное планирование'!$B:$CA,T$3,FALSE)</f>
        <v>36</v>
      </c>
      <c r="U58" s="162">
        <f t="shared" si="62"/>
        <v>252.21742881794657</v>
      </c>
      <c r="V58" s="212">
        <f t="shared" si="63"/>
        <v>90.077653149266638</v>
      </c>
      <c r="W58" s="216">
        <f>-VLOOKUP($B58,'недельное планирование'!$B:$CA,W$3,FALSE)</f>
        <v>0</v>
      </c>
      <c r="X58" s="162">
        <f t="shared" si="64"/>
        <v>0</v>
      </c>
      <c r="Y58" s="212">
        <f t="shared" si="65"/>
        <v>0</v>
      </c>
      <c r="Z58" s="216">
        <f>-VLOOKUP($B58,'недельное планирование'!$B:$CA,Z$3,FALSE)</f>
        <v>39</v>
      </c>
      <c r="AA58" s="162">
        <f t="shared" si="66"/>
        <v>273.23554788610869</v>
      </c>
      <c r="AB58" s="212">
        <f t="shared" si="67"/>
        <v>97.584124245038879</v>
      </c>
      <c r="AC58" s="216">
        <f>-VLOOKUP($B58,'недельное планирование'!$B:$CA,AC$3,FALSE)</f>
        <v>0</v>
      </c>
      <c r="AD58" s="162">
        <f t="shared" si="68"/>
        <v>0</v>
      </c>
      <c r="AE58" s="212">
        <f t="shared" si="69"/>
        <v>0</v>
      </c>
      <c r="AF58" s="216">
        <f>-VLOOKUP($B58,'недельное планирование'!$B:$CA,AF$3,FALSE)</f>
        <v>0</v>
      </c>
      <c r="AG58" s="162">
        <f t="shared" si="70"/>
        <v>0</v>
      </c>
      <c r="AH58" s="212">
        <f t="shared" si="71"/>
        <v>0</v>
      </c>
      <c r="AI58" s="216" t="e">
        <f>-VLOOKUP($B58,'недельное планирование'!$B:$CA,AI$3,FALSE)</f>
        <v>#N/A</v>
      </c>
      <c r="AJ58" s="162" t="e">
        <f t="shared" si="72"/>
        <v>#N/A</v>
      </c>
      <c r="AK58" s="212" t="e">
        <f t="shared" si="73"/>
        <v>#N/A</v>
      </c>
      <c r="AL58" s="216" t="e">
        <f>-VLOOKUP($B58,'недельное планирование'!$B:$CA,AL$3,FALSE)</f>
        <v>#N/A</v>
      </c>
      <c r="AM58" s="162" t="e">
        <f t="shared" si="74"/>
        <v>#N/A</v>
      </c>
      <c r="AN58" s="212" t="e">
        <f t="shared" si="75"/>
        <v>#N/A</v>
      </c>
      <c r="AO58" s="216" t="e">
        <f>-VLOOKUP($B58,'недельное планирование'!$B:$CA,AO$3,FALSE)</f>
        <v>#N/A</v>
      </c>
      <c r="AP58" s="162" t="e">
        <f t="shared" si="76"/>
        <v>#N/A</v>
      </c>
      <c r="AQ58" s="212" t="e">
        <f t="shared" si="77"/>
        <v>#N/A</v>
      </c>
    </row>
    <row r="59" spans="1:43" ht="24" customHeight="1">
      <c r="A59" s="140" t="s">
        <v>19</v>
      </c>
      <c r="B59" s="228" t="s">
        <v>148</v>
      </c>
      <c r="C59" s="239">
        <v>2.8</v>
      </c>
      <c r="D59" s="239">
        <v>580</v>
      </c>
      <c r="E59" s="216">
        <f>-VLOOKUP($B59,'недельное планирование'!$B:$CA,E$3,FALSE)</f>
        <v>330</v>
      </c>
      <c r="F59" s="162">
        <f t="shared" si="52"/>
        <v>2311.9930974978429</v>
      </c>
      <c r="G59" s="212">
        <f t="shared" si="53"/>
        <v>825.71182053494431</v>
      </c>
      <c r="H59" s="216">
        <f>-VLOOKUP($B59,'недельное планирование'!$B:$CA,H$3,FALSE)</f>
        <v>0</v>
      </c>
      <c r="I59" s="162">
        <f t="shared" si="54"/>
        <v>0</v>
      </c>
      <c r="J59" s="212">
        <f t="shared" si="55"/>
        <v>0</v>
      </c>
      <c r="K59" s="216">
        <f>-VLOOKUP($B59,'недельное планирование'!$B:$CA,K$3,FALSE)</f>
        <v>0</v>
      </c>
      <c r="L59" s="162">
        <f t="shared" si="56"/>
        <v>0</v>
      </c>
      <c r="M59" s="212">
        <f t="shared" si="57"/>
        <v>0</v>
      </c>
      <c r="N59" s="216">
        <f>-VLOOKUP($B59,'недельное планирование'!$B:$CA,N$3,FALSE)</f>
        <v>330</v>
      </c>
      <c r="O59" s="162">
        <f t="shared" si="58"/>
        <v>2311.9930974978429</v>
      </c>
      <c r="P59" s="212">
        <f t="shared" si="59"/>
        <v>825.71182053494431</v>
      </c>
      <c r="Q59" s="216">
        <f>-VLOOKUP($B59,'недельное планирование'!$B:$CA,Q$3,FALSE)</f>
        <v>0</v>
      </c>
      <c r="R59" s="162">
        <f t="shared" si="60"/>
        <v>0</v>
      </c>
      <c r="S59" s="212">
        <f t="shared" si="61"/>
        <v>0</v>
      </c>
      <c r="T59" s="216">
        <f>-VLOOKUP($B59,'недельное планирование'!$B:$CA,T$3,FALSE)</f>
        <v>65</v>
      </c>
      <c r="U59" s="162">
        <f t="shared" si="62"/>
        <v>455.39257981018125</v>
      </c>
      <c r="V59" s="212">
        <f t="shared" si="63"/>
        <v>162.64020707506472</v>
      </c>
      <c r="W59" s="216">
        <f>-VLOOKUP($B59,'недельное планирование'!$B:$CA,W$3,FALSE)</f>
        <v>0</v>
      </c>
      <c r="X59" s="162">
        <f t="shared" si="64"/>
        <v>0</v>
      </c>
      <c r="Y59" s="212">
        <f t="shared" si="65"/>
        <v>0</v>
      </c>
      <c r="Z59" s="216">
        <f>-VLOOKUP($B59,'недельное планирование'!$B:$CA,Z$3,FALSE)</f>
        <v>330</v>
      </c>
      <c r="AA59" s="162">
        <f t="shared" si="66"/>
        <v>2311.9930974978429</v>
      </c>
      <c r="AB59" s="212">
        <f t="shared" si="67"/>
        <v>825.71182053494431</v>
      </c>
      <c r="AC59" s="216">
        <f>-VLOOKUP($B59,'недельное планирование'!$B:$CA,AC$3,FALSE)</f>
        <v>0</v>
      </c>
      <c r="AD59" s="162">
        <f t="shared" si="68"/>
        <v>0</v>
      </c>
      <c r="AE59" s="212">
        <f t="shared" si="69"/>
        <v>0</v>
      </c>
      <c r="AF59" s="216">
        <f>-VLOOKUP($B59,'недельное планирование'!$B:$CA,AF$3,FALSE)</f>
        <v>0</v>
      </c>
      <c r="AG59" s="162">
        <f t="shared" si="70"/>
        <v>0</v>
      </c>
      <c r="AH59" s="212">
        <f t="shared" si="71"/>
        <v>0</v>
      </c>
      <c r="AI59" s="216" t="e">
        <f>-VLOOKUP($B59,'недельное планирование'!$B:$CA,AI$3,FALSE)</f>
        <v>#N/A</v>
      </c>
      <c r="AJ59" s="162" t="e">
        <f t="shared" si="72"/>
        <v>#N/A</v>
      </c>
      <c r="AK59" s="212" t="e">
        <f t="shared" si="73"/>
        <v>#N/A</v>
      </c>
      <c r="AL59" s="216" t="e">
        <f>-VLOOKUP($B59,'недельное планирование'!$B:$CA,AL$3,FALSE)</f>
        <v>#N/A</v>
      </c>
      <c r="AM59" s="162" t="e">
        <f t="shared" si="74"/>
        <v>#N/A</v>
      </c>
      <c r="AN59" s="212" t="e">
        <f t="shared" si="75"/>
        <v>#N/A</v>
      </c>
      <c r="AO59" s="216" t="e">
        <f>-VLOOKUP($B59,'недельное планирование'!$B:$CA,AO$3,FALSE)</f>
        <v>#N/A</v>
      </c>
      <c r="AP59" s="162" t="e">
        <f t="shared" si="76"/>
        <v>#N/A</v>
      </c>
      <c r="AQ59" s="212" t="e">
        <f t="shared" si="77"/>
        <v>#N/A</v>
      </c>
    </row>
    <row r="60" spans="1:43" ht="24" customHeight="1">
      <c r="A60" s="140" t="s">
        <v>20</v>
      </c>
      <c r="B60" s="228" t="s">
        <v>179</v>
      </c>
      <c r="C60" s="239">
        <v>2.8</v>
      </c>
      <c r="D60" s="239">
        <v>580</v>
      </c>
      <c r="E60" s="216">
        <f>-VLOOKUP($B60,'недельное планирование'!$B:$CA,E$3,FALSE)</f>
        <v>0</v>
      </c>
      <c r="F60" s="162">
        <f t="shared" si="52"/>
        <v>0</v>
      </c>
      <c r="G60" s="212">
        <f t="shared" si="53"/>
        <v>0</v>
      </c>
      <c r="H60" s="216">
        <f>-VLOOKUP($B60,'недельное планирование'!$B:$CA,H$3,FALSE)</f>
        <v>405</v>
      </c>
      <c r="I60" s="162">
        <f t="shared" si="54"/>
        <v>2837.4460742018987</v>
      </c>
      <c r="J60" s="212">
        <f t="shared" si="55"/>
        <v>1013.3735979292496</v>
      </c>
      <c r="K60" s="216">
        <f>-VLOOKUP($B60,'недельное планирование'!$B:$CA,K$3,FALSE)</f>
        <v>0</v>
      </c>
      <c r="L60" s="162">
        <f t="shared" si="56"/>
        <v>0</v>
      </c>
      <c r="M60" s="212">
        <f t="shared" si="57"/>
        <v>0</v>
      </c>
      <c r="N60" s="216">
        <f>-VLOOKUP($B60,'недельное планирование'!$B:$CA,N$3,FALSE)</f>
        <v>0</v>
      </c>
      <c r="O60" s="162">
        <f t="shared" si="58"/>
        <v>0</v>
      </c>
      <c r="P60" s="212">
        <f t="shared" si="59"/>
        <v>0</v>
      </c>
      <c r="Q60" s="216">
        <f>-VLOOKUP($B60,'недельное планирование'!$B:$CA,Q$3,FALSE)</f>
        <v>0</v>
      </c>
      <c r="R60" s="162">
        <f t="shared" si="60"/>
        <v>0</v>
      </c>
      <c r="S60" s="212">
        <f t="shared" si="61"/>
        <v>0</v>
      </c>
      <c r="T60" s="216">
        <f>-VLOOKUP($B60,'недельное планирование'!$B:$CA,T$3,FALSE)</f>
        <v>30</v>
      </c>
      <c r="U60" s="162">
        <f t="shared" si="62"/>
        <v>210.1811906816221</v>
      </c>
      <c r="V60" s="212">
        <f t="shared" si="63"/>
        <v>75.064710957722212</v>
      </c>
      <c r="W60" s="216">
        <f>-VLOOKUP($B60,'недельное планирование'!$B:$CA,W$3,FALSE)</f>
        <v>0</v>
      </c>
      <c r="X60" s="162">
        <f t="shared" si="64"/>
        <v>0</v>
      </c>
      <c r="Y60" s="212">
        <f t="shared" si="65"/>
        <v>0</v>
      </c>
      <c r="Z60" s="216">
        <f>-VLOOKUP($B60,'недельное планирование'!$B:$CA,Z$3,FALSE)</f>
        <v>0</v>
      </c>
      <c r="AA60" s="162">
        <f t="shared" si="66"/>
        <v>0</v>
      </c>
      <c r="AB60" s="212">
        <f t="shared" si="67"/>
        <v>0</v>
      </c>
      <c r="AC60" s="216">
        <f>-VLOOKUP($B60,'недельное планирование'!$B:$CA,AC$3,FALSE)</f>
        <v>330</v>
      </c>
      <c r="AD60" s="162">
        <f t="shared" si="68"/>
        <v>2311.9930974978429</v>
      </c>
      <c r="AE60" s="212">
        <f t="shared" si="69"/>
        <v>825.71182053494431</v>
      </c>
      <c r="AF60" s="216">
        <f>-VLOOKUP($B60,'недельное планирование'!$B:$CA,AF$3,FALSE)</f>
        <v>0</v>
      </c>
      <c r="AG60" s="162">
        <f t="shared" si="70"/>
        <v>0</v>
      </c>
      <c r="AH60" s="212">
        <f t="shared" si="71"/>
        <v>0</v>
      </c>
      <c r="AI60" s="216" t="e">
        <f>-VLOOKUP($B60,'недельное планирование'!$B:$CA,AI$3,FALSE)</f>
        <v>#N/A</v>
      </c>
      <c r="AJ60" s="162" t="e">
        <f t="shared" si="72"/>
        <v>#N/A</v>
      </c>
      <c r="AK60" s="212" t="e">
        <f t="shared" si="73"/>
        <v>#N/A</v>
      </c>
      <c r="AL60" s="216" t="e">
        <f>-VLOOKUP($B60,'недельное планирование'!$B:$CA,AL$3,FALSE)</f>
        <v>#N/A</v>
      </c>
      <c r="AM60" s="162" t="e">
        <f t="shared" si="74"/>
        <v>#N/A</v>
      </c>
      <c r="AN60" s="212" t="e">
        <f t="shared" si="75"/>
        <v>#N/A</v>
      </c>
      <c r="AO60" s="216" t="e">
        <f>-VLOOKUP($B60,'недельное планирование'!$B:$CA,AO$3,FALSE)</f>
        <v>#N/A</v>
      </c>
      <c r="AP60" s="162" t="e">
        <f t="shared" si="76"/>
        <v>#N/A</v>
      </c>
      <c r="AQ60" s="212" t="e">
        <f t="shared" si="77"/>
        <v>#N/A</v>
      </c>
    </row>
    <row r="61" spans="1:43" ht="24" customHeight="1">
      <c r="A61" s="140" t="s">
        <v>174</v>
      </c>
      <c r="B61" s="228" t="s">
        <v>175</v>
      </c>
      <c r="C61" s="239">
        <v>2.8</v>
      </c>
      <c r="D61" s="239">
        <v>580</v>
      </c>
      <c r="E61" s="216">
        <f>-VLOOKUP($B61,'недельное планирование'!$B:$CA,E$3,FALSE)</f>
        <v>0</v>
      </c>
      <c r="F61" s="162">
        <f t="shared" si="52"/>
        <v>0</v>
      </c>
      <c r="G61" s="212">
        <f t="shared" si="53"/>
        <v>0</v>
      </c>
      <c r="H61" s="216">
        <f>-VLOOKUP($B61,'недельное планирование'!$B:$CA,H$3,FALSE)</f>
        <v>0</v>
      </c>
      <c r="I61" s="162">
        <f t="shared" si="54"/>
        <v>0</v>
      </c>
      <c r="J61" s="212">
        <f t="shared" si="55"/>
        <v>0</v>
      </c>
      <c r="K61" s="216">
        <f>-VLOOKUP($B61,'недельное планирование'!$B:$CA,K$3,FALSE)</f>
        <v>200</v>
      </c>
      <c r="L61" s="162">
        <f t="shared" si="56"/>
        <v>1401.2079378774811</v>
      </c>
      <c r="M61" s="212">
        <f t="shared" si="57"/>
        <v>500.43140638481441</v>
      </c>
      <c r="N61" s="216">
        <f>-VLOOKUP($B61,'недельное планирование'!$B:$CA,N$3,FALSE)</f>
        <v>0</v>
      </c>
      <c r="O61" s="162">
        <f t="shared" si="58"/>
        <v>0</v>
      </c>
      <c r="P61" s="212">
        <f t="shared" si="59"/>
        <v>0</v>
      </c>
      <c r="Q61" s="216">
        <f>-VLOOKUP($B61,'недельное планирование'!$B:$CA,Q$3,FALSE)</f>
        <v>0</v>
      </c>
      <c r="R61" s="162">
        <f t="shared" si="60"/>
        <v>0</v>
      </c>
      <c r="S61" s="212">
        <f t="shared" si="61"/>
        <v>0</v>
      </c>
      <c r="T61" s="216">
        <f>-VLOOKUP($B61,'недельное планирование'!$B:$CA,T$3,FALSE)</f>
        <v>220</v>
      </c>
      <c r="U61" s="162">
        <f t="shared" si="62"/>
        <v>1541.3287316652286</v>
      </c>
      <c r="V61" s="212">
        <f t="shared" si="63"/>
        <v>550.47454702329605</v>
      </c>
      <c r="W61" s="216">
        <f>-VLOOKUP($B61,'недельное планирование'!$B:$CA,W$3,FALSE)</f>
        <v>0</v>
      </c>
      <c r="X61" s="162">
        <f t="shared" si="64"/>
        <v>0</v>
      </c>
      <c r="Y61" s="212">
        <f t="shared" si="65"/>
        <v>0</v>
      </c>
      <c r="Z61" s="216">
        <f>-VLOOKUP($B61,'недельное планирование'!$B:$CA,Z$3,FALSE)</f>
        <v>0</v>
      </c>
      <c r="AA61" s="162">
        <f t="shared" si="66"/>
        <v>0</v>
      </c>
      <c r="AB61" s="212">
        <f t="shared" si="67"/>
        <v>0</v>
      </c>
      <c r="AC61" s="216">
        <f>-VLOOKUP($B61,'недельное планирование'!$B:$CA,AC$3,FALSE)</f>
        <v>330</v>
      </c>
      <c r="AD61" s="162">
        <f t="shared" si="68"/>
        <v>2311.9930974978429</v>
      </c>
      <c r="AE61" s="212">
        <f t="shared" si="69"/>
        <v>825.71182053494431</v>
      </c>
      <c r="AF61" s="216">
        <f>-VLOOKUP($B61,'недельное планирование'!$B:$CA,AF$3,FALSE)</f>
        <v>0</v>
      </c>
      <c r="AG61" s="162">
        <f t="shared" si="70"/>
        <v>0</v>
      </c>
      <c r="AH61" s="212">
        <f t="shared" si="71"/>
        <v>0</v>
      </c>
      <c r="AI61" s="216">
        <f>-VLOOKUP($B61,'недельное планирование'!$B:$CA,AI$3,FALSE)</f>
        <v>1177.1750000000006</v>
      </c>
      <c r="AJ61" s="162">
        <f t="shared" si="72"/>
        <v>8247.3347713546209</v>
      </c>
      <c r="AK61" s="212">
        <f t="shared" si="73"/>
        <v>2945.4767040552215</v>
      </c>
      <c r="AL61" s="216">
        <f>-VLOOKUP($B61,'недельное планирование'!$B:$CA,AL$3,FALSE)</f>
        <v>1177.1750000000006</v>
      </c>
      <c r="AM61" s="162">
        <f t="shared" si="74"/>
        <v>8247.3347713546209</v>
      </c>
      <c r="AN61" s="212">
        <f t="shared" si="75"/>
        <v>2945.4767040552215</v>
      </c>
      <c r="AO61" s="216">
        <f>-VLOOKUP($B61,'недельное планирование'!$B:$CA,AO$3,FALSE)</f>
        <v>1177.1750000000006</v>
      </c>
      <c r="AP61" s="162">
        <f t="shared" si="76"/>
        <v>8247.3347713546209</v>
      </c>
      <c r="AQ61" s="212">
        <f t="shared" si="77"/>
        <v>2945.4767040552215</v>
      </c>
    </row>
    <row r="62" spans="1:43" ht="24" customHeight="1">
      <c r="A62" s="140"/>
      <c r="B62" s="228"/>
      <c r="C62" s="239"/>
      <c r="D62" s="239"/>
      <c r="E62" s="216"/>
      <c r="F62" s="162"/>
      <c r="G62" s="212"/>
      <c r="H62" s="216"/>
      <c r="I62" s="162"/>
      <c r="J62" s="212"/>
      <c r="K62" s="216"/>
      <c r="L62" s="162"/>
      <c r="M62" s="212"/>
      <c r="N62" s="216"/>
      <c r="O62" s="162"/>
      <c r="P62" s="212"/>
      <c r="Q62" s="216"/>
      <c r="R62" s="162"/>
      <c r="S62" s="212"/>
      <c r="T62" s="216"/>
      <c r="U62" s="162"/>
      <c r="V62" s="212"/>
      <c r="W62" s="216"/>
      <c r="X62" s="162"/>
      <c r="Y62" s="212"/>
      <c r="Z62" s="216"/>
      <c r="AA62" s="162"/>
      <c r="AB62" s="212"/>
      <c r="AC62" s="216"/>
      <c r="AD62" s="162"/>
      <c r="AE62" s="212"/>
      <c r="AF62" s="216"/>
      <c r="AG62" s="162"/>
      <c r="AH62" s="212"/>
      <c r="AI62" s="216"/>
      <c r="AJ62" s="162"/>
      <c r="AK62" s="212"/>
      <c r="AL62" s="216"/>
      <c r="AM62" s="162"/>
      <c r="AN62" s="212"/>
      <c r="AO62" s="216"/>
      <c r="AP62" s="162"/>
      <c r="AQ62" s="212"/>
    </row>
    <row r="63" spans="1:43" s="211" customFormat="1" ht="24" customHeight="1">
      <c r="C63" s="238"/>
      <c r="D63" s="238"/>
      <c r="E63" s="214"/>
      <c r="F63" s="207"/>
      <c r="G63" s="207"/>
      <c r="H63" s="214"/>
      <c r="I63" s="207"/>
      <c r="J63" s="207"/>
      <c r="K63" s="214"/>
      <c r="L63" s="207"/>
      <c r="M63" s="207"/>
      <c r="N63" s="214"/>
      <c r="O63" s="207"/>
      <c r="P63" s="207"/>
      <c r="Q63" s="214"/>
      <c r="R63" s="207"/>
      <c r="S63" s="207"/>
      <c r="T63" s="214"/>
      <c r="U63" s="207"/>
      <c r="V63" s="207"/>
      <c r="W63" s="214"/>
      <c r="X63" s="207"/>
      <c r="Y63" s="207"/>
      <c r="Z63" s="214"/>
      <c r="AA63" s="207"/>
      <c r="AB63" s="207"/>
      <c r="AC63" s="214"/>
      <c r="AD63" s="207"/>
      <c r="AE63" s="207"/>
      <c r="AF63" s="214"/>
      <c r="AG63" s="207"/>
      <c r="AH63" s="207"/>
      <c r="AI63" s="214"/>
      <c r="AJ63" s="207"/>
      <c r="AK63" s="207"/>
      <c r="AL63" s="214"/>
      <c r="AM63" s="207"/>
      <c r="AN63" s="207"/>
      <c r="AO63" s="214"/>
      <c r="AP63" s="207"/>
      <c r="AQ63" s="207"/>
    </row>
    <row r="64" spans="1:43" ht="24" customHeight="1">
      <c r="A64" s="143" t="s">
        <v>19</v>
      </c>
      <c r="B64" s="143" t="s">
        <v>108</v>
      </c>
      <c r="C64" s="239">
        <v>3.4</v>
      </c>
      <c r="D64" s="239">
        <v>652</v>
      </c>
      <c r="E64" s="216">
        <f>-VLOOKUP($B64,'недельное планирование'!$B:$CA,E$3,FALSE)</f>
        <v>0</v>
      </c>
      <c r="F64" s="162">
        <f>$D64*100/($C64+$C$3)*E64/1000*$C64/$C$2</f>
        <v>0</v>
      </c>
      <c r="G64" s="212">
        <f>$D64*100/($C64+$C$3)*E64/1000-F64</f>
        <v>0</v>
      </c>
      <c r="H64" s="216">
        <f>-VLOOKUP($B64,'недельное планирование'!$B:$CA,H$3,FALSE)</f>
        <v>0</v>
      </c>
      <c r="I64" s="162">
        <f>$D64*100/($C64+$C$3)*H64/1000*$C64/$C$2</f>
        <v>0</v>
      </c>
      <c r="J64" s="212">
        <f>$D64*100/($C64+$C$3)*H64/1000-I64</f>
        <v>0</v>
      </c>
      <c r="K64" s="216">
        <f>-VLOOKUP($B64,'недельное планирование'!$B:$CA,K$3,FALSE)</f>
        <v>0</v>
      </c>
      <c r="L64" s="162">
        <f>$D64*100/($C64+$C$3)*K64/1000*$C64/$C$2</f>
        <v>0</v>
      </c>
      <c r="M64" s="212">
        <f>$D64*100/($C64+$C$3)*K64/1000-L64</f>
        <v>0</v>
      </c>
      <c r="N64" s="216">
        <f>-VLOOKUP($B64,'недельное планирование'!$B:$CA,N$3,FALSE)</f>
        <v>0</v>
      </c>
      <c r="O64" s="162">
        <f>$D64*100/($C64+$C$3)*N64/1000*$C64/$C$2</f>
        <v>0</v>
      </c>
      <c r="P64" s="212">
        <f>$D64*100/($C64+$C$3)*N64/1000-O64</f>
        <v>0</v>
      </c>
      <c r="Q64" s="216">
        <f>-VLOOKUP($B64,'недельное планирование'!$B:$CA,Q$3,FALSE)</f>
        <v>0</v>
      </c>
      <c r="R64" s="162">
        <f>$D64*100/($C64+$C$3)*Q64/1000*$C64/$C$2</f>
        <v>0</v>
      </c>
      <c r="S64" s="212">
        <f>$D64*100/($C64+$C$3)*Q64/1000-R64</f>
        <v>0</v>
      </c>
      <c r="T64" s="216">
        <f>-VLOOKUP($B64,'недельное планирование'!$B:$CA,T$3,FALSE)</f>
        <v>0</v>
      </c>
      <c r="U64" s="162">
        <f>$D64*100/($C64+$C$3)*T64/1000*$C64/$C$2</f>
        <v>0</v>
      </c>
      <c r="V64" s="212">
        <f>$D64*100/($C64+$C$3)*T64/1000-U64</f>
        <v>0</v>
      </c>
      <c r="W64" s="216">
        <f>-VLOOKUP($B64,'недельное планирование'!$B:$CA,W$3,FALSE)</f>
        <v>0</v>
      </c>
      <c r="X64" s="162">
        <f>$D64*100/($C64+$C$3)*W64/1000*$C64/$C$2</f>
        <v>0</v>
      </c>
      <c r="Y64" s="212">
        <f>$D64*100/($C64+$C$3)*W64/1000-X64</f>
        <v>0</v>
      </c>
      <c r="Z64" s="216">
        <f>-VLOOKUP($B64,'недельное планирование'!$B:$CA,Z$3,FALSE)</f>
        <v>0</v>
      </c>
      <c r="AA64" s="162">
        <f>$D64*100/($C64+$C$3)*Z64/1000*$C64/$C$2</f>
        <v>0</v>
      </c>
      <c r="AB64" s="212">
        <f>$D64*100/($C64+$C$3)*Z64/1000-AA64</f>
        <v>0</v>
      </c>
      <c r="AC64" s="216">
        <f>-VLOOKUP($B64,'недельное планирование'!$B:$CA,AC$3,FALSE)</f>
        <v>0</v>
      </c>
      <c r="AD64" s="162">
        <f>$D64*100/($C64+$C$3)*AC64/1000*$C64/$C$2</f>
        <v>0</v>
      </c>
      <c r="AE64" s="212">
        <f>$D64*100/($C64+$C$3)*AC64/1000-AD64</f>
        <v>0</v>
      </c>
      <c r="AF64" s="216">
        <f>-VLOOKUP($B64,'недельное планирование'!$B:$CA,AF$3,FALSE)</f>
        <v>0</v>
      </c>
      <c r="AG64" s="162">
        <f>$D64*100/($C64+$C$3)*AF64/1000*$C64/$C$2</f>
        <v>0</v>
      </c>
      <c r="AH64" s="212">
        <f>$D64*100/($C64+$C$3)*AF64/1000-AG64</f>
        <v>0</v>
      </c>
      <c r="AI64" s="216" t="e">
        <f>-VLOOKUP($B64,'недельное планирование'!$B:$CA,AI$3,FALSE)</f>
        <v>#N/A</v>
      </c>
      <c r="AJ64" s="162" t="e">
        <f>$D64*100/($C64+$C$3)*AI64/1000*$C64/$C$2</f>
        <v>#N/A</v>
      </c>
      <c r="AK64" s="212" t="e">
        <f>$D64*100/($C64+$C$3)*AI64/1000-AJ64</f>
        <v>#N/A</v>
      </c>
      <c r="AL64" s="216" t="e">
        <f>-VLOOKUP($B64,'недельное планирование'!$B:$CA,AL$3,FALSE)</f>
        <v>#N/A</v>
      </c>
      <c r="AM64" s="162" t="e">
        <f>$D64*100/($C64+$C$3)*AL64/1000*$C64/$C$2</f>
        <v>#N/A</v>
      </c>
      <c r="AN64" s="212" t="e">
        <f>$D64*100/($C64+$C$3)*AL64/1000-AM64</f>
        <v>#N/A</v>
      </c>
      <c r="AO64" s="216" t="e">
        <f>-VLOOKUP($B64,'недельное планирование'!$B:$CA,AO$3,FALSE)</f>
        <v>#N/A</v>
      </c>
      <c r="AP64" s="162" t="e">
        <f>$D64*100/($C64+$C$3)*AO64/1000*$C64/$C$2</f>
        <v>#N/A</v>
      </c>
      <c r="AQ64" s="212" t="e">
        <f>$D64*100/($C64+$C$3)*AO64/1000-AP64</f>
        <v>#N/A</v>
      </c>
    </row>
    <row r="65" spans="1:43" ht="24" customHeight="1">
      <c r="A65" s="143"/>
      <c r="B65" s="143"/>
      <c r="C65" s="239"/>
      <c r="D65" s="239"/>
      <c r="E65" s="216"/>
      <c r="F65" s="162"/>
      <c r="G65" s="212"/>
      <c r="H65" s="216"/>
      <c r="I65" s="162"/>
      <c r="J65" s="212"/>
      <c r="K65" s="216"/>
      <c r="L65" s="162"/>
      <c r="M65" s="212"/>
      <c r="N65" s="216"/>
      <c r="O65" s="162"/>
      <c r="P65" s="212"/>
      <c r="Q65" s="216"/>
      <c r="R65" s="162"/>
      <c r="S65" s="212"/>
      <c r="T65" s="216"/>
      <c r="U65" s="162"/>
      <c r="V65" s="212"/>
      <c r="W65" s="216"/>
      <c r="X65" s="162"/>
      <c r="Y65" s="212"/>
      <c r="Z65" s="216"/>
      <c r="AA65" s="162"/>
      <c r="AB65" s="212"/>
      <c r="AC65" s="216"/>
      <c r="AD65" s="162"/>
      <c r="AE65" s="212"/>
      <c r="AF65" s="216"/>
      <c r="AG65" s="162"/>
      <c r="AH65" s="212"/>
      <c r="AI65" s="216"/>
      <c r="AJ65" s="162"/>
      <c r="AK65" s="212"/>
      <c r="AL65" s="216"/>
      <c r="AM65" s="162"/>
      <c r="AN65" s="212"/>
      <c r="AO65" s="216"/>
      <c r="AP65" s="162"/>
      <c r="AQ65" s="212"/>
    </row>
    <row r="66" spans="1:43" s="211" customFormat="1" ht="24" customHeight="1">
      <c r="C66" s="238"/>
      <c r="D66" s="238"/>
      <c r="E66" s="214"/>
      <c r="F66" s="207"/>
      <c r="G66" s="207"/>
      <c r="H66" s="214"/>
      <c r="I66" s="207"/>
      <c r="J66" s="207"/>
      <c r="K66" s="214"/>
      <c r="L66" s="207"/>
      <c r="M66" s="207"/>
      <c r="N66" s="214"/>
      <c r="O66" s="207"/>
      <c r="P66" s="207"/>
      <c r="Q66" s="214"/>
      <c r="R66" s="207"/>
      <c r="S66" s="207"/>
      <c r="T66" s="214"/>
      <c r="U66" s="207"/>
      <c r="V66" s="207"/>
      <c r="W66" s="214"/>
      <c r="X66" s="207"/>
      <c r="Y66" s="207"/>
      <c r="Z66" s="214"/>
      <c r="AA66" s="207"/>
      <c r="AB66" s="207"/>
      <c r="AC66" s="214"/>
      <c r="AD66" s="207"/>
      <c r="AE66" s="207"/>
      <c r="AF66" s="214"/>
      <c r="AG66" s="207"/>
      <c r="AH66" s="207"/>
      <c r="AI66" s="214"/>
      <c r="AJ66" s="207"/>
      <c r="AK66" s="207"/>
      <c r="AL66" s="214"/>
      <c r="AM66" s="207"/>
      <c r="AN66" s="207"/>
      <c r="AO66" s="214"/>
      <c r="AP66" s="207"/>
      <c r="AQ66" s="207"/>
    </row>
    <row r="67" spans="1:43" ht="24" customHeight="1">
      <c r="A67" s="229" t="s">
        <v>46</v>
      </c>
      <c r="B67" s="227" t="s">
        <v>121</v>
      </c>
      <c r="C67" s="239">
        <v>4</v>
      </c>
      <c r="D67" s="239">
        <v>419</v>
      </c>
      <c r="E67" s="216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2">
        <f t="shared" ref="G67:G79" si="79">$D67*100/($C67+$C$3)*E67/1000-F67</f>
        <v>0</v>
      </c>
      <c r="H67" s="216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2">
        <f t="shared" ref="J67:J79" si="81">$D67*100/($C67+$C$3)*H67/1000-I67</f>
        <v>0</v>
      </c>
      <c r="K67" s="216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2">
        <f t="shared" ref="M67:M79" si="83">$D67*100/($C67+$C$3)*K67/1000-L67</f>
        <v>-116.00288392213406</v>
      </c>
      <c r="N67" s="216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2">
        <f t="shared" ref="P67:P79" si="85">$D67*100/($C67+$C$3)*N67/1000-O67</f>
        <v>-120.8363374188898</v>
      </c>
      <c r="Q67" s="216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2">
        <f t="shared" ref="S67:S79" si="87">$D67*100/($C67+$C$3)*Q67/1000-R67</f>
        <v>0</v>
      </c>
      <c r="T67" s="216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2">
        <f t="shared" ref="V67:V79" si="89">$D67*100/($C67+$C$3)*T67/1000-U67</f>
        <v>0</v>
      </c>
      <c r="W67" s="216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2">
        <f t="shared" ref="Y67:Y79" si="91">$D67*100/($C67+$C$3)*W67/1000-X67</f>
        <v>0</v>
      </c>
      <c r="Z67" s="216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2">
        <f t="shared" ref="AB67:AB79" si="93">$D67*100/($C67+$C$3)*Z67/1000-AA67</f>
        <v>-45.313626532083731</v>
      </c>
      <c r="AC67" s="216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2">
        <f t="shared" ref="AE67:AE79" si="95">$D67*100/($C67+$C$3)*AC67/1000-AD67</f>
        <v>0</v>
      </c>
      <c r="AF67" s="216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2">
        <f t="shared" ref="AH67:AH79" si="97">$D67*100/($C67+$C$3)*AF67/1000-AG67</f>
        <v>-302.09084354722472</v>
      </c>
      <c r="AI67" s="216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2" t="e">
        <f t="shared" ref="AK67:AK79" si="99">$D67*100/($C67+$C$3)*AI67/1000-AJ67</f>
        <v>#N/A</v>
      </c>
      <c r="AL67" s="216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2" t="e">
        <f t="shared" ref="AN67:AN79" si="101">$D67*100/($C67+$C$3)*AL67/1000-AM67</f>
        <v>#N/A</v>
      </c>
      <c r="AO67" s="216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2" t="e">
        <f t="shared" ref="AQ67:AQ79" si="103">$D67*100/($C67+$C$3)*AO67/1000-AP67</f>
        <v>#N/A</v>
      </c>
    </row>
    <row r="68" spans="1:43" ht="24" customHeight="1">
      <c r="A68" s="229" t="s">
        <v>46</v>
      </c>
      <c r="B68" s="227" t="s">
        <v>95</v>
      </c>
      <c r="C68" s="239">
        <v>4</v>
      </c>
      <c r="D68" s="239">
        <v>419</v>
      </c>
      <c r="E68" s="216">
        <f>-VLOOKUP($B68,'недельное планирование'!$B:$CA,E$3,FALSE)</f>
        <v>0</v>
      </c>
      <c r="F68" s="162">
        <f t="shared" si="78"/>
        <v>0</v>
      </c>
      <c r="G68" s="212">
        <f t="shared" si="79"/>
        <v>0</v>
      </c>
      <c r="H68" s="216">
        <f>-VLOOKUP($B68,'недельное планирование'!$B:$CA,H$3,FALSE)</f>
        <v>0</v>
      </c>
      <c r="I68" s="162">
        <f t="shared" si="80"/>
        <v>0</v>
      </c>
      <c r="J68" s="212">
        <f t="shared" si="81"/>
        <v>0</v>
      </c>
      <c r="K68" s="216">
        <f>-VLOOKUP($B68,'недельное планирование'!$B:$CA,K$3,FALSE)</f>
        <v>0</v>
      </c>
      <c r="L68" s="162">
        <f t="shared" si="82"/>
        <v>0</v>
      </c>
      <c r="M68" s="212">
        <f t="shared" si="83"/>
        <v>0</v>
      </c>
      <c r="N68" s="216">
        <f>-VLOOKUP($B68,'недельное планирование'!$B:$CA,N$3,FALSE)</f>
        <v>300</v>
      </c>
      <c r="O68" s="162">
        <f t="shared" si="84"/>
        <v>1812.5450612833456</v>
      </c>
      <c r="P68" s="212">
        <f t="shared" si="85"/>
        <v>-90.627253064167462</v>
      </c>
      <c r="Q68" s="216">
        <f>-VLOOKUP($B68,'недельное планирование'!$B:$CA,Q$3,FALSE)</f>
        <v>0</v>
      </c>
      <c r="R68" s="162">
        <f t="shared" si="86"/>
        <v>0</v>
      </c>
      <c r="S68" s="212">
        <f t="shared" si="87"/>
        <v>0</v>
      </c>
      <c r="T68" s="216">
        <f>-VLOOKUP($B68,'недельное планирование'!$B:$CA,T$3,FALSE)</f>
        <v>0</v>
      </c>
      <c r="U68" s="162">
        <f t="shared" si="88"/>
        <v>0</v>
      </c>
      <c r="V68" s="212">
        <f t="shared" si="89"/>
        <v>0</v>
      </c>
      <c r="W68" s="216">
        <f>-VLOOKUP($B68,'недельное планирование'!$B:$CA,W$3,FALSE)</f>
        <v>0</v>
      </c>
      <c r="X68" s="162">
        <f t="shared" si="90"/>
        <v>0</v>
      </c>
      <c r="Y68" s="212">
        <f t="shared" si="91"/>
        <v>0</v>
      </c>
      <c r="Z68" s="216">
        <f>-VLOOKUP($B68,'недельное планирование'!$B:$CA,Z$3,FALSE)</f>
        <v>0</v>
      </c>
      <c r="AA68" s="162">
        <f t="shared" si="92"/>
        <v>0</v>
      </c>
      <c r="AB68" s="212">
        <f t="shared" si="93"/>
        <v>0</v>
      </c>
      <c r="AC68" s="216">
        <f>-VLOOKUP($B68,'недельное планирование'!$B:$CA,AC$3,FALSE)</f>
        <v>0</v>
      </c>
      <c r="AD68" s="162">
        <f t="shared" si="94"/>
        <v>0</v>
      </c>
      <c r="AE68" s="212">
        <f t="shared" si="95"/>
        <v>0</v>
      </c>
      <c r="AF68" s="216">
        <f>-VLOOKUP($B68,'недельное планирование'!$B:$CA,AF$3,FALSE)</f>
        <v>0</v>
      </c>
      <c r="AG68" s="162">
        <f t="shared" si="96"/>
        <v>0</v>
      </c>
      <c r="AH68" s="212">
        <f t="shared" si="97"/>
        <v>0</v>
      </c>
      <c r="AI68" s="216" t="e">
        <f>-VLOOKUP($B68,'недельное планирование'!$B:$CA,AI$3,FALSE)</f>
        <v>#N/A</v>
      </c>
      <c r="AJ68" s="162" t="e">
        <f t="shared" si="98"/>
        <v>#N/A</v>
      </c>
      <c r="AK68" s="212" t="e">
        <f t="shared" si="99"/>
        <v>#N/A</v>
      </c>
      <c r="AL68" s="216" t="e">
        <f>-VLOOKUP($B68,'недельное планирование'!$B:$CA,AL$3,FALSE)</f>
        <v>#N/A</v>
      </c>
      <c r="AM68" s="162" t="e">
        <f t="shared" si="100"/>
        <v>#N/A</v>
      </c>
      <c r="AN68" s="212" t="e">
        <f t="shared" si="101"/>
        <v>#N/A</v>
      </c>
      <c r="AO68" s="216" t="e">
        <f>-VLOOKUP($B68,'недельное планирование'!$B:$CA,AO$3,FALSE)</f>
        <v>#N/A</v>
      </c>
      <c r="AP68" s="162" t="e">
        <f t="shared" si="102"/>
        <v>#N/A</v>
      </c>
      <c r="AQ68" s="212" t="e">
        <f t="shared" si="103"/>
        <v>#N/A</v>
      </c>
    </row>
    <row r="69" spans="1:43" ht="24" customHeight="1">
      <c r="A69" s="229" t="s">
        <v>46</v>
      </c>
      <c r="B69" s="227" t="s">
        <v>94</v>
      </c>
      <c r="C69" s="239">
        <v>4</v>
      </c>
      <c r="D69" s="239">
        <v>419</v>
      </c>
      <c r="E69" s="216">
        <f>-VLOOKUP($B69,'недельное планирование'!$B:$CA,E$3,FALSE)</f>
        <v>0</v>
      </c>
      <c r="F69" s="162">
        <f t="shared" si="78"/>
        <v>0</v>
      </c>
      <c r="G69" s="212">
        <f t="shared" si="79"/>
        <v>0</v>
      </c>
      <c r="H69" s="216">
        <f>-VLOOKUP($B69,'недельное планирование'!$B:$CA,H$3,FALSE)</f>
        <v>0</v>
      </c>
      <c r="I69" s="162">
        <f t="shared" si="80"/>
        <v>0</v>
      </c>
      <c r="J69" s="212">
        <f t="shared" si="81"/>
        <v>0</v>
      </c>
      <c r="K69" s="216">
        <f>-VLOOKUP($B69,'недельное планирование'!$B:$CA,K$3,FALSE)</f>
        <v>0</v>
      </c>
      <c r="L69" s="162">
        <f t="shared" si="82"/>
        <v>0</v>
      </c>
      <c r="M69" s="212">
        <f t="shared" si="83"/>
        <v>0</v>
      </c>
      <c r="N69" s="216">
        <f>-VLOOKUP($B69,'недельное планирование'!$B:$CA,N$3,FALSE)</f>
        <v>400</v>
      </c>
      <c r="O69" s="162">
        <f t="shared" si="84"/>
        <v>2416.7267483777941</v>
      </c>
      <c r="P69" s="212">
        <f t="shared" si="85"/>
        <v>-120.8363374188898</v>
      </c>
      <c r="Q69" s="216">
        <f>-VLOOKUP($B69,'недельное планирование'!$B:$CA,Q$3,FALSE)</f>
        <v>0</v>
      </c>
      <c r="R69" s="162">
        <f t="shared" si="86"/>
        <v>0</v>
      </c>
      <c r="S69" s="212">
        <f t="shared" si="87"/>
        <v>0</v>
      </c>
      <c r="T69" s="216">
        <f>-VLOOKUP($B69,'недельное планирование'!$B:$CA,T$3,FALSE)</f>
        <v>0</v>
      </c>
      <c r="U69" s="162">
        <f t="shared" si="88"/>
        <v>0</v>
      </c>
      <c r="V69" s="212">
        <f t="shared" si="89"/>
        <v>0</v>
      </c>
      <c r="W69" s="216">
        <f>-VLOOKUP($B69,'недельное планирование'!$B:$CA,W$3,FALSE)</f>
        <v>0</v>
      </c>
      <c r="X69" s="162">
        <f t="shared" si="90"/>
        <v>0</v>
      </c>
      <c r="Y69" s="212">
        <f t="shared" si="91"/>
        <v>0</v>
      </c>
      <c r="Z69" s="216">
        <f>-VLOOKUP($B69,'недельное планирование'!$B:$CA,Z$3,FALSE)</f>
        <v>0</v>
      </c>
      <c r="AA69" s="162">
        <f t="shared" si="92"/>
        <v>0</v>
      </c>
      <c r="AB69" s="212">
        <f t="shared" si="93"/>
        <v>0</v>
      </c>
      <c r="AC69" s="216">
        <f>-VLOOKUP($B69,'недельное планирование'!$B:$CA,AC$3,FALSE)</f>
        <v>0</v>
      </c>
      <c r="AD69" s="162">
        <f t="shared" si="94"/>
        <v>0</v>
      </c>
      <c r="AE69" s="212">
        <f t="shared" si="95"/>
        <v>0</v>
      </c>
      <c r="AF69" s="216">
        <f>-VLOOKUP($B69,'недельное планирование'!$B:$CA,AF$3,FALSE)</f>
        <v>0</v>
      </c>
      <c r="AG69" s="162">
        <f t="shared" si="96"/>
        <v>0</v>
      </c>
      <c r="AH69" s="212">
        <f t="shared" si="97"/>
        <v>0</v>
      </c>
      <c r="AI69" s="216" t="e">
        <f>-VLOOKUP($B69,'недельное планирование'!$B:$CA,AI$3,FALSE)</f>
        <v>#N/A</v>
      </c>
      <c r="AJ69" s="162" t="e">
        <f t="shared" si="98"/>
        <v>#N/A</v>
      </c>
      <c r="AK69" s="212" t="e">
        <f t="shared" si="99"/>
        <v>#N/A</v>
      </c>
      <c r="AL69" s="216" t="e">
        <f>-VLOOKUP($B69,'недельное планирование'!$B:$CA,AL$3,FALSE)</f>
        <v>#N/A</v>
      </c>
      <c r="AM69" s="162" t="e">
        <f t="shared" si="100"/>
        <v>#N/A</v>
      </c>
      <c r="AN69" s="212" t="e">
        <f t="shared" si="101"/>
        <v>#N/A</v>
      </c>
      <c r="AO69" s="216" t="e">
        <f>-VLOOKUP($B69,'недельное планирование'!$B:$CA,AO$3,FALSE)</f>
        <v>#N/A</v>
      </c>
      <c r="AP69" s="162" t="e">
        <f t="shared" si="102"/>
        <v>#N/A</v>
      </c>
      <c r="AQ69" s="212" t="e">
        <f t="shared" si="103"/>
        <v>#N/A</v>
      </c>
    </row>
    <row r="70" spans="1:43" ht="24" customHeight="1">
      <c r="A70" s="229" t="s">
        <v>46</v>
      </c>
      <c r="B70" s="227" t="s">
        <v>33</v>
      </c>
      <c r="C70" s="239">
        <v>4</v>
      </c>
      <c r="D70" s="239">
        <v>419</v>
      </c>
      <c r="E70" s="216">
        <f>-VLOOKUP($B70,'недельное планирование'!$B:$CA,E$3,FALSE)</f>
        <v>2500</v>
      </c>
      <c r="F70" s="162">
        <f t="shared" si="78"/>
        <v>15104.542177361212</v>
      </c>
      <c r="G70" s="212">
        <f t="shared" si="79"/>
        <v>-755.2271088680609</v>
      </c>
      <c r="H70" s="216">
        <f>-VLOOKUP($B70,'недельное планирование'!$B:$CA,H$3,FALSE)</f>
        <v>0</v>
      </c>
      <c r="I70" s="162">
        <f t="shared" si="80"/>
        <v>0</v>
      </c>
      <c r="J70" s="212">
        <f t="shared" si="81"/>
        <v>0</v>
      </c>
      <c r="K70" s="216">
        <f>-VLOOKUP($B70,'недельное планирование'!$B:$CA,K$3,FALSE)</f>
        <v>651</v>
      </c>
      <c r="L70" s="162">
        <f t="shared" si="82"/>
        <v>3933.2227829848603</v>
      </c>
      <c r="M70" s="212">
        <f t="shared" si="83"/>
        <v>-196.66113914924335</v>
      </c>
      <c r="N70" s="216">
        <f>-VLOOKUP($B70,'недельное планирование'!$B:$CA,N$3,FALSE)</f>
        <v>2000</v>
      </c>
      <c r="O70" s="162">
        <f t="shared" si="84"/>
        <v>12083.633741888971</v>
      </c>
      <c r="P70" s="212">
        <f t="shared" si="85"/>
        <v>-604.18168709444944</v>
      </c>
      <c r="Q70" s="216">
        <f>-VLOOKUP($B70,'недельное планирование'!$B:$CA,Q$3,FALSE)</f>
        <v>0</v>
      </c>
      <c r="R70" s="162">
        <f t="shared" si="86"/>
        <v>0</v>
      </c>
      <c r="S70" s="212">
        <f t="shared" si="87"/>
        <v>0</v>
      </c>
      <c r="T70" s="216">
        <f>-VLOOKUP($B70,'недельное планирование'!$B:$CA,T$3,FALSE)</f>
        <v>1000</v>
      </c>
      <c r="U70" s="162">
        <f t="shared" si="88"/>
        <v>6041.8168709444853</v>
      </c>
      <c r="V70" s="212">
        <f t="shared" si="89"/>
        <v>-302.09084354722472</v>
      </c>
      <c r="W70" s="216">
        <f>-VLOOKUP($B70,'недельное планирование'!$B:$CA,W$3,FALSE)</f>
        <v>0</v>
      </c>
      <c r="X70" s="162">
        <f t="shared" si="90"/>
        <v>0</v>
      </c>
      <c r="Y70" s="212">
        <f t="shared" si="91"/>
        <v>0</v>
      </c>
      <c r="Z70" s="216">
        <f>-VLOOKUP($B70,'недельное планирование'!$B:$CA,Z$3,FALSE)</f>
        <v>1300</v>
      </c>
      <c r="AA70" s="162">
        <f t="shared" si="92"/>
        <v>7854.3619322278309</v>
      </c>
      <c r="AB70" s="212">
        <f t="shared" si="93"/>
        <v>-392.71809661139196</v>
      </c>
      <c r="AC70" s="216">
        <f>-VLOOKUP($B70,'недельное планирование'!$B:$CA,AC$3,FALSE)</f>
        <v>0</v>
      </c>
      <c r="AD70" s="162">
        <f t="shared" si="94"/>
        <v>0</v>
      </c>
      <c r="AE70" s="212">
        <f t="shared" si="95"/>
        <v>0</v>
      </c>
      <c r="AF70" s="216">
        <f>-VLOOKUP($B70,'недельное планирование'!$B:$CA,AF$3,FALSE)</f>
        <v>2000</v>
      </c>
      <c r="AG70" s="162">
        <f t="shared" si="96"/>
        <v>12083.633741888971</v>
      </c>
      <c r="AH70" s="212">
        <f t="shared" si="97"/>
        <v>-604.18168709444944</v>
      </c>
      <c r="AI70" s="216" t="e">
        <f>-VLOOKUP($B70,'недельное планирование'!$B:$CA,AI$3,FALSE)</f>
        <v>#N/A</v>
      </c>
      <c r="AJ70" s="162" t="e">
        <f t="shared" si="98"/>
        <v>#N/A</v>
      </c>
      <c r="AK70" s="212" t="e">
        <f t="shared" si="99"/>
        <v>#N/A</v>
      </c>
      <c r="AL70" s="216" t="e">
        <f>-VLOOKUP($B70,'недельное планирование'!$B:$CA,AL$3,FALSE)</f>
        <v>#N/A</v>
      </c>
      <c r="AM70" s="162" t="e">
        <f t="shared" si="100"/>
        <v>#N/A</v>
      </c>
      <c r="AN70" s="212" t="e">
        <f t="shared" si="101"/>
        <v>#N/A</v>
      </c>
      <c r="AO70" s="216" t="e">
        <f>-VLOOKUP($B70,'недельное планирование'!$B:$CA,AO$3,FALSE)</f>
        <v>#N/A</v>
      </c>
      <c r="AP70" s="162" t="e">
        <f t="shared" si="102"/>
        <v>#N/A</v>
      </c>
      <c r="AQ70" s="212" t="e">
        <f t="shared" si="103"/>
        <v>#N/A</v>
      </c>
    </row>
    <row r="71" spans="1:43" ht="24" customHeight="1">
      <c r="A71" s="229" t="s">
        <v>88</v>
      </c>
      <c r="B71" s="227" t="s">
        <v>140</v>
      </c>
      <c r="C71" s="239">
        <v>4</v>
      </c>
      <c r="D71" s="239">
        <v>419</v>
      </c>
      <c r="E71" s="216">
        <f>-VLOOKUP($B71,'недельное планирование'!$B:$CA,E$3,FALSE)</f>
        <v>0</v>
      </c>
      <c r="F71" s="162">
        <f t="shared" si="78"/>
        <v>0</v>
      </c>
      <c r="G71" s="212">
        <f t="shared" si="79"/>
        <v>0</v>
      </c>
      <c r="H71" s="216">
        <f>-VLOOKUP($B71,'недельное планирование'!$B:$CA,H$3,FALSE)</f>
        <v>0</v>
      </c>
      <c r="I71" s="162">
        <f t="shared" si="80"/>
        <v>0</v>
      </c>
      <c r="J71" s="212">
        <f t="shared" si="81"/>
        <v>0</v>
      </c>
      <c r="K71" s="216">
        <f>-VLOOKUP($B71,'недельное планирование'!$B:$CA,K$3,FALSE)</f>
        <v>0</v>
      </c>
      <c r="L71" s="162">
        <f t="shared" si="82"/>
        <v>0</v>
      </c>
      <c r="M71" s="212">
        <f t="shared" si="83"/>
        <v>0</v>
      </c>
      <c r="N71" s="216">
        <f>-VLOOKUP($B71,'недельное планирование'!$B:$CA,N$3,FALSE)</f>
        <v>0</v>
      </c>
      <c r="O71" s="162">
        <f t="shared" si="84"/>
        <v>0</v>
      </c>
      <c r="P71" s="212">
        <f t="shared" si="85"/>
        <v>0</v>
      </c>
      <c r="Q71" s="216">
        <f>-VLOOKUP($B71,'недельное планирование'!$B:$CA,Q$3,FALSE)</f>
        <v>0</v>
      </c>
      <c r="R71" s="162">
        <f t="shared" si="86"/>
        <v>0</v>
      </c>
      <c r="S71" s="212">
        <f t="shared" si="87"/>
        <v>0</v>
      </c>
      <c r="T71" s="216">
        <f>-VLOOKUP($B71,'недельное планирование'!$B:$CA,T$3,FALSE)</f>
        <v>0</v>
      </c>
      <c r="U71" s="162">
        <f t="shared" si="88"/>
        <v>0</v>
      </c>
      <c r="V71" s="212">
        <f t="shared" si="89"/>
        <v>0</v>
      </c>
      <c r="W71" s="216">
        <f>-VLOOKUP($B71,'недельное планирование'!$B:$CA,W$3,FALSE)</f>
        <v>0</v>
      </c>
      <c r="X71" s="162">
        <f t="shared" si="90"/>
        <v>0</v>
      </c>
      <c r="Y71" s="212">
        <f t="shared" si="91"/>
        <v>0</v>
      </c>
      <c r="Z71" s="216">
        <f>-VLOOKUP($B71,'недельное планирование'!$B:$CA,Z$3,FALSE)</f>
        <v>0</v>
      </c>
      <c r="AA71" s="162">
        <f t="shared" si="92"/>
        <v>0</v>
      </c>
      <c r="AB71" s="212">
        <f t="shared" si="93"/>
        <v>0</v>
      </c>
      <c r="AC71" s="216">
        <f>-VLOOKUP($B71,'недельное планирование'!$B:$CA,AC$3,FALSE)</f>
        <v>0</v>
      </c>
      <c r="AD71" s="162">
        <f t="shared" si="94"/>
        <v>0</v>
      </c>
      <c r="AE71" s="212">
        <f t="shared" si="95"/>
        <v>0</v>
      </c>
      <c r="AF71" s="216">
        <f>-VLOOKUP($B71,'недельное планирование'!$B:$CA,AF$3,FALSE)</f>
        <v>0</v>
      </c>
      <c r="AG71" s="162">
        <f t="shared" si="96"/>
        <v>0</v>
      </c>
      <c r="AH71" s="212">
        <f t="shared" si="97"/>
        <v>0</v>
      </c>
      <c r="AI71" s="216" t="e">
        <f>-VLOOKUP($B71,'недельное планирование'!$B:$CA,AI$3,FALSE)</f>
        <v>#N/A</v>
      </c>
      <c r="AJ71" s="162" t="e">
        <f t="shared" si="98"/>
        <v>#N/A</v>
      </c>
      <c r="AK71" s="212" t="e">
        <f t="shared" si="99"/>
        <v>#N/A</v>
      </c>
      <c r="AL71" s="216" t="e">
        <f>-VLOOKUP($B71,'недельное планирование'!$B:$CA,AL$3,FALSE)</f>
        <v>#N/A</v>
      </c>
      <c r="AM71" s="162" t="e">
        <f t="shared" si="100"/>
        <v>#N/A</v>
      </c>
      <c r="AN71" s="212" t="e">
        <f t="shared" si="101"/>
        <v>#N/A</v>
      </c>
      <c r="AO71" s="216" t="e">
        <f>-VLOOKUP($B71,'недельное планирование'!$B:$CA,AO$3,FALSE)</f>
        <v>#N/A</v>
      </c>
      <c r="AP71" s="162" t="e">
        <f t="shared" si="102"/>
        <v>#N/A</v>
      </c>
      <c r="AQ71" s="212" t="e">
        <f t="shared" si="103"/>
        <v>#N/A</v>
      </c>
    </row>
    <row r="72" spans="1:43" ht="24" customHeight="1">
      <c r="A72" s="229" t="s">
        <v>19</v>
      </c>
      <c r="B72" s="227" t="s">
        <v>87</v>
      </c>
      <c r="C72" s="239">
        <v>4</v>
      </c>
      <c r="D72" s="239">
        <v>419</v>
      </c>
      <c r="E72" s="216">
        <f>-VLOOKUP($B72,'недельное планирование'!$B:$CA,E$3,FALSE)</f>
        <v>300</v>
      </c>
      <c r="F72" s="162">
        <f t="shared" si="78"/>
        <v>1812.5450612833456</v>
      </c>
      <c r="G72" s="212">
        <f t="shared" si="79"/>
        <v>-90.627253064167462</v>
      </c>
      <c r="H72" s="216">
        <f>-VLOOKUP($B72,'недельное планирование'!$B:$CA,H$3,FALSE)</f>
        <v>0</v>
      </c>
      <c r="I72" s="162">
        <f t="shared" si="80"/>
        <v>0</v>
      </c>
      <c r="J72" s="212">
        <f t="shared" si="81"/>
        <v>0</v>
      </c>
      <c r="K72" s="216">
        <f>-VLOOKUP($B72,'недельное планирование'!$B:$CA,K$3,FALSE)</f>
        <v>0</v>
      </c>
      <c r="L72" s="162">
        <f t="shared" si="82"/>
        <v>0</v>
      </c>
      <c r="M72" s="212">
        <f t="shared" si="83"/>
        <v>0</v>
      </c>
      <c r="N72" s="216">
        <f>-VLOOKUP($B72,'недельное планирование'!$B:$CA,N$3,FALSE)</f>
        <v>100</v>
      </c>
      <c r="O72" s="162">
        <f t="shared" si="84"/>
        <v>604.18168709444853</v>
      </c>
      <c r="P72" s="212">
        <f t="shared" si="85"/>
        <v>-30.209084354722449</v>
      </c>
      <c r="Q72" s="216">
        <f>-VLOOKUP($B72,'недельное планирование'!$B:$CA,Q$3,FALSE)</f>
        <v>0</v>
      </c>
      <c r="R72" s="162">
        <f t="shared" si="86"/>
        <v>0</v>
      </c>
      <c r="S72" s="212">
        <f t="shared" si="87"/>
        <v>0</v>
      </c>
      <c r="T72" s="216">
        <f>-VLOOKUP($B72,'недельное планирование'!$B:$CA,T$3,FALSE)</f>
        <v>200</v>
      </c>
      <c r="U72" s="162">
        <f t="shared" si="88"/>
        <v>1208.3633741888971</v>
      </c>
      <c r="V72" s="212">
        <f t="shared" si="89"/>
        <v>-60.418168709444899</v>
      </c>
      <c r="W72" s="216">
        <f>-VLOOKUP($B72,'недельное планирование'!$B:$CA,W$3,FALSE)</f>
        <v>0</v>
      </c>
      <c r="X72" s="162">
        <f t="shared" si="90"/>
        <v>0</v>
      </c>
      <c r="Y72" s="212">
        <f t="shared" si="91"/>
        <v>0</v>
      </c>
      <c r="Z72" s="216">
        <f>-VLOOKUP($B72,'недельное планирование'!$B:$CA,Z$3,FALSE)</f>
        <v>110</v>
      </c>
      <c r="AA72" s="162">
        <f t="shared" si="92"/>
        <v>664.59985580389343</v>
      </c>
      <c r="AB72" s="212">
        <f t="shared" si="93"/>
        <v>-33.229992790194729</v>
      </c>
      <c r="AC72" s="216">
        <f>-VLOOKUP($B72,'недельное планирование'!$B:$CA,AC$3,FALSE)</f>
        <v>0</v>
      </c>
      <c r="AD72" s="162">
        <f t="shared" si="94"/>
        <v>0</v>
      </c>
      <c r="AE72" s="212">
        <f t="shared" si="95"/>
        <v>0</v>
      </c>
      <c r="AF72" s="216">
        <f>-VLOOKUP($B72,'недельное планирование'!$B:$CA,AF$3,FALSE)</f>
        <v>200</v>
      </c>
      <c r="AG72" s="162">
        <f t="shared" si="96"/>
        <v>1208.3633741888971</v>
      </c>
      <c r="AH72" s="212">
        <f t="shared" si="97"/>
        <v>-60.418168709444899</v>
      </c>
      <c r="AI72" s="216">
        <f>-VLOOKUP($B72,'недельное планирование'!$B:$CA,AI$3,FALSE)</f>
        <v>331.75124999999997</v>
      </c>
      <c r="AJ72" s="162">
        <f t="shared" si="98"/>
        <v>2004.3802992069216</v>
      </c>
      <c r="AK72" s="212">
        <f t="shared" si="99"/>
        <v>-100.21901496034616</v>
      </c>
      <c r="AL72" s="216">
        <f>-VLOOKUP($B72,'недельное планирование'!$B:$CA,AL$3,FALSE)</f>
        <v>331.75124999999997</v>
      </c>
      <c r="AM72" s="162">
        <f t="shared" si="100"/>
        <v>2004.3802992069216</v>
      </c>
      <c r="AN72" s="212">
        <f t="shared" si="101"/>
        <v>-100.21901496034616</v>
      </c>
      <c r="AO72" s="216">
        <f>-VLOOKUP($B72,'недельное планирование'!$B:$CA,AO$3,FALSE)</f>
        <v>331.75124999999997</v>
      </c>
      <c r="AP72" s="162">
        <f t="shared" si="102"/>
        <v>2004.3802992069216</v>
      </c>
      <c r="AQ72" s="212">
        <f t="shared" si="103"/>
        <v>-100.21901496034616</v>
      </c>
    </row>
    <row r="73" spans="1:43" ht="24" customHeight="1">
      <c r="A73" s="229" t="s">
        <v>46</v>
      </c>
      <c r="B73" s="227" t="s">
        <v>124</v>
      </c>
      <c r="C73" s="239">
        <v>4</v>
      </c>
      <c r="D73" s="239">
        <v>419</v>
      </c>
      <c r="E73" s="216">
        <f>-VLOOKUP($B73,'недельное планирование'!$B:$CA,E$3,FALSE)</f>
        <v>900</v>
      </c>
      <c r="F73" s="162">
        <f t="shared" si="78"/>
        <v>5437.6351838500368</v>
      </c>
      <c r="G73" s="212">
        <f t="shared" si="79"/>
        <v>-271.8817591925017</v>
      </c>
      <c r="H73" s="216">
        <f>-VLOOKUP($B73,'недельное планирование'!$B:$CA,H$3,FALSE)</f>
        <v>0</v>
      </c>
      <c r="I73" s="162">
        <f t="shared" si="80"/>
        <v>0</v>
      </c>
      <c r="J73" s="212">
        <f t="shared" si="81"/>
        <v>0</v>
      </c>
      <c r="K73" s="216">
        <f>-VLOOKUP($B73,'недельное планирование'!$B:$CA,K$3,FALSE)</f>
        <v>0</v>
      </c>
      <c r="L73" s="162">
        <f t="shared" si="82"/>
        <v>0</v>
      </c>
      <c r="M73" s="212">
        <f t="shared" si="83"/>
        <v>0</v>
      </c>
      <c r="N73" s="216">
        <f>-VLOOKUP($B73,'недельное планирование'!$B:$CA,N$3,FALSE)</f>
        <v>500</v>
      </c>
      <c r="O73" s="162">
        <f t="shared" si="84"/>
        <v>3020.9084354722427</v>
      </c>
      <c r="P73" s="212">
        <f t="shared" si="85"/>
        <v>-151.04542177361236</v>
      </c>
      <c r="Q73" s="216">
        <f>-VLOOKUP($B73,'недельное планирование'!$B:$CA,Q$3,FALSE)</f>
        <v>0</v>
      </c>
      <c r="R73" s="162">
        <f t="shared" si="86"/>
        <v>0</v>
      </c>
      <c r="S73" s="212">
        <f t="shared" si="87"/>
        <v>0</v>
      </c>
      <c r="T73" s="216">
        <f>-VLOOKUP($B73,'недельное планирование'!$B:$CA,T$3,FALSE)</f>
        <v>1500</v>
      </c>
      <c r="U73" s="162">
        <f t="shared" si="88"/>
        <v>9062.7253064167271</v>
      </c>
      <c r="V73" s="212">
        <f t="shared" si="89"/>
        <v>-453.13626532083617</v>
      </c>
      <c r="W73" s="216">
        <f>-VLOOKUP($B73,'недельное планирование'!$B:$CA,W$3,FALSE)</f>
        <v>0</v>
      </c>
      <c r="X73" s="162">
        <f t="shared" si="90"/>
        <v>0</v>
      </c>
      <c r="Y73" s="212">
        <f t="shared" si="91"/>
        <v>0</v>
      </c>
      <c r="Z73" s="216">
        <f>-VLOOKUP($B73,'недельное планирование'!$B:$CA,Z$3,FALSE)</f>
        <v>100</v>
      </c>
      <c r="AA73" s="162">
        <f t="shared" si="92"/>
        <v>604.18168709444853</v>
      </c>
      <c r="AB73" s="212">
        <f t="shared" si="93"/>
        <v>-30.209084354722449</v>
      </c>
      <c r="AC73" s="216">
        <f>-VLOOKUP($B73,'недельное планирование'!$B:$CA,AC$3,FALSE)</f>
        <v>0</v>
      </c>
      <c r="AD73" s="162">
        <f t="shared" si="94"/>
        <v>0</v>
      </c>
      <c r="AE73" s="212">
        <f t="shared" si="95"/>
        <v>0</v>
      </c>
      <c r="AF73" s="216">
        <f>-VLOOKUP($B73,'недельное планирование'!$B:$CA,AF$3,FALSE)</f>
        <v>1000</v>
      </c>
      <c r="AG73" s="162">
        <f t="shared" si="96"/>
        <v>6041.8168709444853</v>
      </c>
      <c r="AH73" s="212">
        <f t="shared" si="97"/>
        <v>-302.09084354722472</v>
      </c>
      <c r="AI73" s="216">
        <f>-VLOOKUP($B73,'недельное планирование'!$B:$CA,AI$3,FALSE)</f>
        <v>2746.3450000000003</v>
      </c>
      <c r="AJ73" s="162">
        <f t="shared" si="98"/>
        <v>16592.913554434032</v>
      </c>
      <c r="AK73" s="212">
        <f t="shared" si="99"/>
        <v>-829.64567772170085</v>
      </c>
      <c r="AL73" s="216">
        <f>-VLOOKUP($B73,'недельное планирование'!$B:$CA,AL$3,FALSE)</f>
        <v>2746.3450000000003</v>
      </c>
      <c r="AM73" s="162">
        <f t="shared" si="100"/>
        <v>16592.913554434032</v>
      </c>
      <c r="AN73" s="212">
        <f t="shared" si="101"/>
        <v>-829.64567772170085</v>
      </c>
      <c r="AO73" s="216">
        <f>-VLOOKUP($B73,'недельное планирование'!$B:$CA,AO$3,FALSE)</f>
        <v>2746.3450000000003</v>
      </c>
      <c r="AP73" s="162">
        <f t="shared" si="102"/>
        <v>16592.913554434032</v>
      </c>
      <c r="AQ73" s="212">
        <f t="shared" si="103"/>
        <v>-829.64567772170085</v>
      </c>
    </row>
    <row r="74" spans="1:43" ht="24" customHeight="1">
      <c r="A74" s="229" t="s">
        <v>46</v>
      </c>
      <c r="B74" s="227" t="s">
        <v>131</v>
      </c>
      <c r="C74" s="239">
        <v>4</v>
      </c>
      <c r="D74" s="239">
        <v>419</v>
      </c>
      <c r="E74" s="216">
        <f>-VLOOKUP($B74,'недельное планирование'!$B:$CA,E$3,FALSE)</f>
        <v>115</v>
      </c>
      <c r="F74" s="162">
        <f t="shared" si="78"/>
        <v>694.80894015861577</v>
      </c>
      <c r="G74" s="212">
        <f t="shared" si="79"/>
        <v>-34.740447007930811</v>
      </c>
      <c r="H74" s="216">
        <f>-VLOOKUP($B74,'недельное планирование'!$B:$CA,H$3,FALSE)</f>
        <v>0</v>
      </c>
      <c r="I74" s="162">
        <f t="shared" si="80"/>
        <v>0</v>
      </c>
      <c r="J74" s="212">
        <f t="shared" si="81"/>
        <v>0</v>
      </c>
      <c r="K74" s="216">
        <f>-VLOOKUP($B74,'недельное планирование'!$B:$CA,K$3,FALSE)</f>
        <v>63</v>
      </c>
      <c r="L74" s="162">
        <f t="shared" si="82"/>
        <v>380.63446286950256</v>
      </c>
      <c r="M74" s="212">
        <f t="shared" si="83"/>
        <v>-19.031723143475119</v>
      </c>
      <c r="N74" s="216">
        <f>-VLOOKUP($B74,'недельное планирование'!$B:$CA,N$3,FALSE)</f>
        <v>0</v>
      </c>
      <c r="O74" s="162">
        <f t="shared" si="84"/>
        <v>0</v>
      </c>
      <c r="P74" s="212">
        <f t="shared" si="85"/>
        <v>0</v>
      </c>
      <c r="Q74" s="216">
        <f>-VLOOKUP($B74,'недельное планирование'!$B:$CA,Q$3,FALSE)</f>
        <v>0</v>
      </c>
      <c r="R74" s="162">
        <f t="shared" si="86"/>
        <v>0</v>
      </c>
      <c r="S74" s="212">
        <f t="shared" si="87"/>
        <v>0</v>
      </c>
      <c r="T74" s="216">
        <f>-VLOOKUP($B74,'недельное планирование'!$B:$CA,T$3,FALSE)</f>
        <v>150</v>
      </c>
      <c r="U74" s="162">
        <f t="shared" si="88"/>
        <v>906.2725306416728</v>
      </c>
      <c r="V74" s="212">
        <f t="shared" si="89"/>
        <v>-45.313626532083731</v>
      </c>
      <c r="W74" s="216">
        <f>-VLOOKUP($B74,'недельное планирование'!$B:$CA,W$3,FALSE)</f>
        <v>0</v>
      </c>
      <c r="X74" s="162">
        <f t="shared" si="90"/>
        <v>0</v>
      </c>
      <c r="Y74" s="212">
        <f t="shared" si="91"/>
        <v>0</v>
      </c>
      <c r="Z74" s="216">
        <f>-VLOOKUP($B74,'недельное планирование'!$B:$CA,Z$3,FALSE)</f>
        <v>100</v>
      </c>
      <c r="AA74" s="162">
        <f t="shared" si="92"/>
        <v>604.18168709444853</v>
      </c>
      <c r="AB74" s="212">
        <f t="shared" si="93"/>
        <v>-30.209084354722449</v>
      </c>
      <c r="AC74" s="216">
        <f>-VLOOKUP($B74,'недельное планирование'!$B:$CA,AC$3,FALSE)</f>
        <v>0</v>
      </c>
      <c r="AD74" s="162">
        <f t="shared" si="94"/>
        <v>0</v>
      </c>
      <c r="AE74" s="212">
        <f t="shared" si="95"/>
        <v>0</v>
      </c>
      <c r="AF74" s="216">
        <f>-VLOOKUP($B74,'недельное планирование'!$B:$CA,AF$3,FALSE)</f>
        <v>100</v>
      </c>
      <c r="AG74" s="162">
        <f t="shared" si="96"/>
        <v>604.18168709444853</v>
      </c>
      <c r="AH74" s="212">
        <f t="shared" si="97"/>
        <v>-30.209084354722449</v>
      </c>
      <c r="AI74" s="216">
        <f>-VLOOKUP($B74,'недельное планирование'!$B:$CA,AI$3,FALSE)</f>
        <v>203.67499999999998</v>
      </c>
      <c r="AJ74" s="162">
        <f t="shared" si="98"/>
        <v>1230.5670511896178</v>
      </c>
      <c r="AK74" s="212">
        <f t="shared" si="99"/>
        <v>-61.528352559480936</v>
      </c>
      <c r="AL74" s="216">
        <f>-VLOOKUP($B74,'недельное планирование'!$B:$CA,AL$3,FALSE)</f>
        <v>203.67499999999998</v>
      </c>
      <c r="AM74" s="162">
        <f t="shared" si="100"/>
        <v>1230.5670511896178</v>
      </c>
      <c r="AN74" s="212">
        <f t="shared" si="101"/>
        <v>-61.528352559480936</v>
      </c>
      <c r="AO74" s="216">
        <f>-VLOOKUP($B74,'недельное планирование'!$B:$CA,AO$3,FALSE)</f>
        <v>203.67499999999998</v>
      </c>
      <c r="AP74" s="162">
        <f t="shared" si="102"/>
        <v>1230.5670511896178</v>
      </c>
      <c r="AQ74" s="212">
        <f t="shared" si="103"/>
        <v>-61.528352559480936</v>
      </c>
    </row>
    <row r="75" spans="1:43" ht="24" customHeight="1">
      <c r="A75" s="229" t="s">
        <v>46</v>
      </c>
      <c r="B75" s="227" t="s">
        <v>132</v>
      </c>
      <c r="C75" s="239">
        <v>4</v>
      </c>
      <c r="D75" s="239">
        <v>419</v>
      </c>
      <c r="E75" s="216">
        <f>-VLOOKUP($B75,'недельное планирование'!$B:$CA,E$3,FALSE)</f>
        <v>200</v>
      </c>
      <c r="F75" s="162">
        <f t="shared" si="78"/>
        <v>1208.3633741888971</v>
      </c>
      <c r="G75" s="212">
        <f t="shared" si="79"/>
        <v>-60.418168709444899</v>
      </c>
      <c r="H75" s="216">
        <f>-VLOOKUP($B75,'недельное планирование'!$B:$CA,H$3,FALSE)</f>
        <v>0</v>
      </c>
      <c r="I75" s="162">
        <f t="shared" si="80"/>
        <v>0</v>
      </c>
      <c r="J75" s="212">
        <f t="shared" si="81"/>
        <v>0</v>
      </c>
      <c r="K75" s="216">
        <f>-VLOOKUP($B75,'недельное планирование'!$B:$CA,K$3,FALSE)</f>
        <v>150</v>
      </c>
      <c r="L75" s="162">
        <f t="shared" si="82"/>
        <v>906.2725306416728</v>
      </c>
      <c r="M75" s="212">
        <f t="shared" si="83"/>
        <v>-45.313626532083731</v>
      </c>
      <c r="N75" s="216">
        <f>-VLOOKUP($B75,'недельное планирование'!$B:$CA,N$3,FALSE)</f>
        <v>0</v>
      </c>
      <c r="O75" s="162">
        <f t="shared" si="84"/>
        <v>0</v>
      </c>
      <c r="P75" s="212">
        <f t="shared" si="85"/>
        <v>0</v>
      </c>
      <c r="Q75" s="216">
        <f>-VLOOKUP($B75,'недельное планирование'!$B:$CA,Q$3,FALSE)</f>
        <v>0</v>
      </c>
      <c r="R75" s="162">
        <f t="shared" si="86"/>
        <v>0</v>
      </c>
      <c r="S75" s="212">
        <f t="shared" si="87"/>
        <v>0</v>
      </c>
      <c r="T75" s="216">
        <f>-VLOOKUP($B75,'недельное планирование'!$B:$CA,T$3,FALSE)</f>
        <v>200</v>
      </c>
      <c r="U75" s="162">
        <f t="shared" si="88"/>
        <v>1208.3633741888971</v>
      </c>
      <c r="V75" s="212">
        <f t="shared" si="89"/>
        <v>-60.418168709444899</v>
      </c>
      <c r="W75" s="216">
        <f>-VLOOKUP($B75,'недельное планирование'!$B:$CA,W$3,FALSE)</f>
        <v>0</v>
      </c>
      <c r="X75" s="162">
        <f t="shared" si="90"/>
        <v>0</v>
      </c>
      <c r="Y75" s="212">
        <f t="shared" si="91"/>
        <v>0</v>
      </c>
      <c r="Z75" s="216">
        <f>-VLOOKUP($B75,'недельное планирование'!$B:$CA,Z$3,FALSE)</f>
        <v>1</v>
      </c>
      <c r="AA75" s="162">
        <f t="shared" si="92"/>
        <v>6.0418168709444853</v>
      </c>
      <c r="AB75" s="212">
        <f t="shared" si="93"/>
        <v>-0.30209084354722471</v>
      </c>
      <c r="AC75" s="216">
        <f>-VLOOKUP($B75,'недельное планирование'!$B:$CA,AC$3,FALSE)</f>
        <v>0</v>
      </c>
      <c r="AD75" s="162">
        <f t="shared" si="94"/>
        <v>0</v>
      </c>
      <c r="AE75" s="212">
        <f t="shared" si="95"/>
        <v>0</v>
      </c>
      <c r="AF75" s="216">
        <f>-VLOOKUP($B75,'недельное планирование'!$B:$CA,AF$3,FALSE)</f>
        <v>100</v>
      </c>
      <c r="AG75" s="162">
        <f t="shared" si="96"/>
        <v>604.18168709444853</v>
      </c>
      <c r="AH75" s="212">
        <f t="shared" si="97"/>
        <v>-30.209084354722449</v>
      </c>
      <c r="AI75" s="216" t="e">
        <f>-VLOOKUP($B75,'недельное планирование'!$B:$CA,AI$3,FALSE)</f>
        <v>#N/A</v>
      </c>
      <c r="AJ75" s="162" t="e">
        <f t="shared" si="98"/>
        <v>#N/A</v>
      </c>
      <c r="AK75" s="212" t="e">
        <f t="shared" si="99"/>
        <v>#N/A</v>
      </c>
      <c r="AL75" s="216" t="e">
        <f>-VLOOKUP($B75,'недельное планирование'!$B:$CA,AL$3,FALSE)</f>
        <v>#N/A</v>
      </c>
      <c r="AM75" s="162" t="e">
        <f t="shared" si="100"/>
        <v>#N/A</v>
      </c>
      <c r="AN75" s="212" t="e">
        <f t="shared" si="101"/>
        <v>#N/A</v>
      </c>
      <c r="AO75" s="216" t="e">
        <f>-VLOOKUP($B75,'недельное планирование'!$B:$CA,AO$3,FALSE)</f>
        <v>#N/A</v>
      </c>
      <c r="AP75" s="162" t="e">
        <f t="shared" si="102"/>
        <v>#N/A</v>
      </c>
      <c r="AQ75" s="212" t="e">
        <f t="shared" si="103"/>
        <v>#N/A</v>
      </c>
    </row>
    <row r="76" spans="1:43" ht="24" customHeight="1">
      <c r="A76" s="229" t="s">
        <v>46</v>
      </c>
      <c r="B76" s="227" t="s">
        <v>164</v>
      </c>
      <c r="C76" s="239">
        <v>4</v>
      </c>
      <c r="D76" s="239">
        <v>419</v>
      </c>
      <c r="E76" s="216">
        <f>-VLOOKUP($B76,'недельное планирование'!$B:$CA,E$3,FALSE)</f>
        <v>58</v>
      </c>
      <c r="F76" s="162">
        <f t="shared" si="78"/>
        <v>350.42537851478011</v>
      </c>
      <c r="G76" s="212">
        <f t="shared" si="79"/>
        <v>-17.521268925739037</v>
      </c>
      <c r="H76" s="216">
        <f>-VLOOKUP($B76,'недельное планирование'!$B:$CA,H$3,FALSE)</f>
        <v>0</v>
      </c>
      <c r="I76" s="162">
        <f t="shared" si="80"/>
        <v>0</v>
      </c>
      <c r="J76" s="212">
        <f t="shared" si="81"/>
        <v>0</v>
      </c>
      <c r="K76" s="216">
        <f>-VLOOKUP($B76,'недельное планирование'!$B:$CA,K$3,FALSE)</f>
        <v>50</v>
      </c>
      <c r="L76" s="162">
        <f t="shared" si="82"/>
        <v>302.09084354722427</v>
      </c>
      <c r="M76" s="212">
        <f t="shared" si="83"/>
        <v>-15.104542177361225</v>
      </c>
      <c r="N76" s="216">
        <f>-VLOOKUP($B76,'недельное планирование'!$B:$CA,N$3,FALSE)</f>
        <v>100</v>
      </c>
      <c r="O76" s="162">
        <f t="shared" si="84"/>
        <v>604.18168709444853</v>
      </c>
      <c r="P76" s="212">
        <f t="shared" si="85"/>
        <v>-30.209084354722449</v>
      </c>
      <c r="Q76" s="216">
        <f>-VLOOKUP($B76,'недельное планирование'!$B:$CA,Q$3,FALSE)</f>
        <v>0</v>
      </c>
      <c r="R76" s="162">
        <f t="shared" si="86"/>
        <v>0</v>
      </c>
      <c r="S76" s="212">
        <f t="shared" si="87"/>
        <v>0</v>
      </c>
      <c r="T76" s="216">
        <f>-VLOOKUP($B76,'недельное планирование'!$B:$CA,T$3,FALSE)</f>
        <v>100</v>
      </c>
      <c r="U76" s="162">
        <f t="shared" si="88"/>
        <v>604.18168709444853</v>
      </c>
      <c r="V76" s="212">
        <f t="shared" si="89"/>
        <v>-30.209084354722449</v>
      </c>
      <c r="W76" s="216">
        <f>-VLOOKUP($B76,'недельное планирование'!$B:$CA,W$3,FALSE)</f>
        <v>0</v>
      </c>
      <c r="X76" s="162">
        <f t="shared" si="90"/>
        <v>0</v>
      </c>
      <c r="Y76" s="212">
        <f t="shared" si="91"/>
        <v>0</v>
      </c>
      <c r="Z76" s="216">
        <f>-VLOOKUP($B76,'недельное планирование'!$B:$CA,Z$3,FALSE)</f>
        <v>50</v>
      </c>
      <c r="AA76" s="162">
        <f t="shared" si="92"/>
        <v>302.09084354722427</v>
      </c>
      <c r="AB76" s="212">
        <f t="shared" si="93"/>
        <v>-15.104542177361225</v>
      </c>
      <c r="AC76" s="216">
        <f>-VLOOKUP($B76,'недельное планирование'!$B:$CA,AC$3,FALSE)</f>
        <v>0</v>
      </c>
      <c r="AD76" s="162">
        <f t="shared" si="94"/>
        <v>0</v>
      </c>
      <c r="AE76" s="212">
        <f t="shared" si="95"/>
        <v>0</v>
      </c>
      <c r="AF76" s="216">
        <f>-VLOOKUP($B76,'недельное планирование'!$B:$CA,AF$3,FALSE)</f>
        <v>100</v>
      </c>
      <c r="AG76" s="162">
        <f t="shared" si="96"/>
        <v>604.18168709444853</v>
      </c>
      <c r="AH76" s="212">
        <f t="shared" si="97"/>
        <v>-30.209084354722449</v>
      </c>
      <c r="AI76" s="216">
        <f>-VLOOKUP($B76,'недельное планирование'!$B:$CA,AI$3,FALSE)</f>
        <v>270</v>
      </c>
      <c r="AJ76" s="162">
        <f t="shared" si="98"/>
        <v>1631.2905551550109</v>
      </c>
      <c r="AK76" s="212">
        <f t="shared" si="99"/>
        <v>-81.564527757750511</v>
      </c>
      <c r="AL76" s="216">
        <f>-VLOOKUP($B76,'недельное планирование'!$B:$CA,AL$3,FALSE)</f>
        <v>270</v>
      </c>
      <c r="AM76" s="162">
        <f t="shared" si="100"/>
        <v>1631.2905551550109</v>
      </c>
      <c r="AN76" s="212">
        <f t="shared" si="101"/>
        <v>-81.564527757750511</v>
      </c>
      <c r="AO76" s="216">
        <f>-VLOOKUP($B76,'недельное планирование'!$B:$CA,AO$3,FALSE)</f>
        <v>270</v>
      </c>
      <c r="AP76" s="162">
        <f t="shared" si="102"/>
        <v>1631.2905551550109</v>
      </c>
      <c r="AQ76" s="212">
        <f t="shared" si="103"/>
        <v>-81.564527757750511</v>
      </c>
    </row>
    <row r="77" spans="1:43" ht="24" customHeight="1">
      <c r="A77" s="229" t="s">
        <v>46</v>
      </c>
      <c r="B77" s="227" t="s">
        <v>106</v>
      </c>
      <c r="C77" s="239">
        <v>4</v>
      </c>
      <c r="D77" s="239">
        <v>419</v>
      </c>
      <c r="E77" s="216">
        <f>-VLOOKUP($B77,'недельное планирование'!$B:$CA,E$3,FALSE)</f>
        <v>1000</v>
      </c>
      <c r="F77" s="162">
        <f t="shared" si="78"/>
        <v>6041.8168709444853</v>
      </c>
      <c r="G77" s="212">
        <f t="shared" si="79"/>
        <v>-302.09084354722472</v>
      </c>
      <c r="H77" s="216">
        <f>-VLOOKUP($B77,'недельное планирование'!$B:$CA,H$3,FALSE)</f>
        <v>0</v>
      </c>
      <c r="I77" s="162">
        <f t="shared" si="80"/>
        <v>0</v>
      </c>
      <c r="J77" s="212">
        <f t="shared" si="81"/>
        <v>0</v>
      </c>
      <c r="K77" s="216">
        <f>-VLOOKUP($B77,'недельное планирование'!$B:$CA,K$3,FALSE)</f>
        <v>112</v>
      </c>
      <c r="L77" s="162">
        <f t="shared" si="82"/>
        <v>676.68348954578232</v>
      </c>
      <c r="M77" s="212">
        <f t="shared" si="83"/>
        <v>-33.834174477289139</v>
      </c>
      <c r="N77" s="216">
        <f>-VLOOKUP($B77,'недельное планирование'!$B:$CA,N$3,FALSE)</f>
        <v>30</v>
      </c>
      <c r="O77" s="162">
        <f t="shared" si="84"/>
        <v>181.25450612833453</v>
      </c>
      <c r="P77" s="212">
        <f t="shared" si="85"/>
        <v>-9.0627253064167235</v>
      </c>
      <c r="Q77" s="216">
        <f>-VLOOKUP($B77,'недельное планирование'!$B:$CA,Q$3,FALSE)</f>
        <v>0</v>
      </c>
      <c r="R77" s="162">
        <f t="shared" si="86"/>
        <v>0</v>
      </c>
      <c r="S77" s="212">
        <f t="shared" si="87"/>
        <v>0</v>
      </c>
      <c r="T77" s="216">
        <f>-VLOOKUP($B77,'недельное планирование'!$B:$CA,T$3,FALSE)</f>
        <v>600</v>
      </c>
      <c r="U77" s="162">
        <f t="shared" si="88"/>
        <v>3625.0901225666912</v>
      </c>
      <c r="V77" s="212">
        <f t="shared" si="89"/>
        <v>-181.25450612833492</v>
      </c>
      <c r="W77" s="216">
        <f>-VLOOKUP($B77,'недельное планирование'!$B:$CA,W$3,FALSE)</f>
        <v>0</v>
      </c>
      <c r="X77" s="162">
        <f t="shared" si="90"/>
        <v>0</v>
      </c>
      <c r="Y77" s="212">
        <f t="shared" si="91"/>
        <v>0</v>
      </c>
      <c r="Z77" s="216">
        <f>-VLOOKUP($B77,'недельное планирование'!$B:$CA,Z$3,FALSE)</f>
        <v>630</v>
      </c>
      <c r="AA77" s="162">
        <f t="shared" si="92"/>
        <v>3806.3446286950261</v>
      </c>
      <c r="AB77" s="212">
        <f t="shared" si="93"/>
        <v>-190.31723143475165</v>
      </c>
      <c r="AC77" s="216">
        <f>-VLOOKUP($B77,'недельное планирование'!$B:$CA,AC$3,FALSE)</f>
        <v>0</v>
      </c>
      <c r="AD77" s="162">
        <f t="shared" si="94"/>
        <v>0</v>
      </c>
      <c r="AE77" s="212">
        <f t="shared" si="95"/>
        <v>0</v>
      </c>
      <c r="AF77" s="216">
        <f>-VLOOKUP($B77,'недельное планирование'!$B:$CA,AF$3,FALSE)</f>
        <v>1000</v>
      </c>
      <c r="AG77" s="162">
        <f t="shared" si="96"/>
        <v>6041.8168709444853</v>
      </c>
      <c r="AH77" s="212">
        <f t="shared" si="97"/>
        <v>-302.09084354722472</v>
      </c>
      <c r="AI77" s="216">
        <f>-VLOOKUP($B77,'недельное планирование'!$B:$CA,AI$3,FALSE)</f>
        <v>3720.6285714285709</v>
      </c>
      <c r="AJ77" s="162">
        <f t="shared" si="98"/>
        <v>22479.356473375217</v>
      </c>
      <c r="AK77" s="212">
        <f t="shared" si="99"/>
        <v>-1123.9678236687614</v>
      </c>
      <c r="AL77" s="216">
        <f>-VLOOKUP($B77,'недельное планирование'!$B:$CA,AL$3,FALSE)</f>
        <v>3720.6285714285709</v>
      </c>
      <c r="AM77" s="162">
        <f t="shared" si="100"/>
        <v>22479.356473375217</v>
      </c>
      <c r="AN77" s="212">
        <f t="shared" si="101"/>
        <v>-1123.9678236687614</v>
      </c>
      <c r="AO77" s="216">
        <f>-VLOOKUP($B77,'недельное планирование'!$B:$CA,AO$3,FALSE)</f>
        <v>3120.6285714285709</v>
      </c>
      <c r="AP77" s="162">
        <f t="shared" si="102"/>
        <v>18854.266350808528</v>
      </c>
      <c r="AQ77" s="212">
        <f t="shared" si="103"/>
        <v>-942.71331754042694</v>
      </c>
    </row>
    <row r="78" spans="1:43" ht="24" customHeight="1">
      <c r="A78" s="229" t="s">
        <v>46</v>
      </c>
      <c r="B78" s="227" t="s">
        <v>154</v>
      </c>
      <c r="C78" s="239">
        <v>4</v>
      </c>
      <c r="D78" s="239">
        <v>419</v>
      </c>
      <c r="E78" s="216">
        <f>-VLOOKUP($B78,'недельное планирование'!$B:$CA,E$3,FALSE)</f>
        <v>0</v>
      </c>
      <c r="F78" s="162">
        <f t="shared" si="78"/>
        <v>0</v>
      </c>
      <c r="G78" s="212">
        <f t="shared" si="79"/>
        <v>0</v>
      </c>
      <c r="H78" s="216">
        <f>-VLOOKUP($B78,'недельное планирование'!$B:$CA,H$3,FALSE)</f>
        <v>0</v>
      </c>
      <c r="I78" s="162">
        <f t="shared" si="80"/>
        <v>0</v>
      </c>
      <c r="J78" s="212">
        <f t="shared" si="81"/>
        <v>0</v>
      </c>
      <c r="K78" s="216">
        <f>-VLOOKUP($B78,'недельное планирование'!$B:$CA,K$3,FALSE)</f>
        <v>0</v>
      </c>
      <c r="L78" s="162">
        <f t="shared" si="82"/>
        <v>0</v>
      </c>
      <c r="M78" s="212">
        <f t="shared" si="83"/>
        <v>0</v>
      </c>
      <c r="N78" s="216">
        <f>-VLOOKUP($B78,'недельное планирование'!$B:$CA,N$3,FALSE)</f>
        <v>4</v>
      </c>
      <c r="O78" s="162">
        <f t="shared" si="84"/>
        <v>24.167267483777941</v>
      </c>
      <c r="P78" s="212">
        <f t="shared" si="85"/>
        <v>-1.2083633741888988</v>
      </c>
      <c r="Q78" s="216">
        <f>-VLOOKUP($B78,'недельное планирование'!$B:$CA,Q$3,FALSE)</f>
        <v>0</v>
      </c>
      <c r="R78" s="162">
        <f t="shared" si="86"/>
        <v>0</v>
      </c>
      <c r="S78" s="212">
        <f t="shared" si="87"/>
        <v>0</v>
      </c>
      <c r="T78" s="216">
        <f>-VLOOKUP($B78,'недельное планирование'!$B:$CA,T$3,FALSE)</f>
        <v>0</v>
      </c>
      <c r="U78" s="162">
        <f t="shared" si="88"/>
        <v>0</v>
      </c>
      <c r="V78" s="212">
        <f t="shared" si="89"/>
        <v>0</v>
      </c>
      <c r="W78" s="216">
        <f>-VLOOKUP($B78,'недельное планирование'!$B:$CA,W$3,FALSE)</f>
        <v>0</v>
      </c>
      <c r="X78" s="162">
        <f t="shared" si="90"/>
        <v>0</v>
      </c>
      <c r="Y78" s="212">
        <f t="shared" si="91"/>
        <v>0</v>
      </c>
      <c r="Z78" s="216">
        <f>-VLOOKUP($B78,'недельное планирование'!$B:$CA,Z$3,FALSE)</f>
        <v>0</v>
      </c>
      <c r="AA78" s="162">
        <f t="shared" si="92"/>
        <v>0</v>
      </c>
      <c r="AB78" s="212">
        <f t="shared" si="93"/>
        <v>0</v>
      </c>
      <c r="AC78" s="216">
        <f>-VLOOKUP($B78,'недельное планирование'!$B:$CA,AC$3,FALSE)</f>
        <v>0</v>
      </c>
      <c r="AD78" s="162">
        <f t="shared" si="94"/>
        <v>0</v>
      </c>
      <c r="AE78" s="212">
        <f t="shared" si="95"/>
        <v>0</v>
      </c>
      <c r="AF78" s="216">
        <f>-VLOOKUP($B78,'недельное планирование'!$B:$CA,AF$3,FALSE)</f>
        <v>0</v>
      </c>
      <c r="AG78" s="162">
        <f t="shared" si="96"/>
        <v>0</v>
      </c>
      <c r="AH78" s="212">
        <f t="shared" si="97"/>
        <v>0</v>
      </c>
      <c r="AI78" s="216" t="e">
        <f>-VLOOKUP($B78,'недельное планирование'!$B:$CA,AI$3,FALSE)</f>
        <v>#N/A</v>
      </c>
      <c r="AJ78" s="162" t="e">
        <f t="shared" si="98"/>
        <v>#N/A</v>
      </c>
      <c r="AK78" s="212" t="e">
        <f t="shared" si="99"/>
        <v>#N/A</v>
      </c>
      <c r="AL78" s="216" t="e">
        <f>-VLOOKUP($B78,'недельное планирование'!$B:$CA,AL$3,FALSE)</f>
        <v>#N/A</v>
      </c>
      <c r="AM78" s="162" t="e">
        <f t="shared" si="100"/>
        <v>#N/A</v>
      </c>
      <c r="AN78" s="212" t="e">
        <f t="shared" si="101"/>
        <v>#N/A</v>
      </c>
      <c r="AO78" s="216" t="e">
        <f>-VLOOKUP($B78,'недельное планирование'!$B:$CA,AO$3,FALSE)</f>
        <v>#N/A</v>
      </c>
      <c r="AP78" s="162" t="e">
        <f t="shared" si="102"/>
        <v>#N/A</v>
      </c>
      <c r="AQ78" s="212" t="e">
        <f t="shared" si="103"/>
        <v>#N/A</v>
      </c>
    </row>
    <row r="79" spans="1:43" ht="24" customHeight="1">
      <c r="A79" s="229" t="s">
        <v>46</v>
      </c>
      <c r="B79" s="227" t="s">
        <v>107</v>
      </c>
      <c r="C79" s="239">
        <v>4</v>
      </c>
      <c r="D79" s="239">
        <v>419</v>
      </c>
      <c r="E79" s="216">
        <f>-VLOOKUP($B79,'недельное планирование'!$B:$CA,E$3,FALSE)</f>
        <v>3</v>
      </c>
      <c r="F79" s="162">
        <f t="shared" si="78"/>
        <v>18.125450612833454</v>
      </c>
      <c r="G79" s="212">
        <f t="shared" si="79"/>
        <v>-0.90627253064167235</v>
      </c>
      <c r="H79" s="216">
        <f>-VLOOKUP($B79,'недельное планирование'!$B:$CA,H$3,FALSE)</f>
        <v>0</v>
      </c>
      <c r="I79" s="162">
        <f t="shared" si="80"/>
        <v>0</v>
      </c>
      <c r="J79" s="212">
        <f t="shared" si="81"/>
        <v>0</v>
      </c>
      <c r="K79" s="216">
        <f>-VLOOKUP($B79,'недельное планирование'!$B:$CA,K$3,FALSE)</f>
        <v>81</v>
      </c>
      <c r="L79" s="162">
        <f t="shared" si="82"/>
        <v>489.38716654650335</v>
      </c>
      <c r="M79" s="212">
        <f t="shared" si="83"/>
        <v>-24.46935832732521</v>
      </c>
      <c r="N79" s="216">
        <f>-VLOOKUP($B79,'недельное планирование'!$B:$CA,N$3,FALSE)</f>
        <v>0</v>
      </c>
      <c r="O79" s="162">
        <f t="shared" si="84"/>
        <v>0</v>
      </c>
      <c r="P79" s="212">
        <f t="shared" si="85"/>
        <v>0</v>
      </c>
      <c r="Q79" s="216">
        <f>-VLOOKUP($B79,'недельное планирование'!$B:$CA,Q$3,FALSE)</f>
        <v>0</v>
      </c>
      <c r="R79" s="162">
        <f t="shared" si="86"/>
        <v>0</v>
      </c>
      <c r="S79" s="212">
        <f t="shared" si="87"/>
        <v>0</v>
      </c>
      <c r="T79" s="216">
        <f>-VLOOKUP($B79,'недельное планирование'!$B:$CA,T$3,FALSE)</f>
        <v>50</v>
      </c>
      <c r="U79" s="162">
        <f t="shared" si="88"/>
        <v>302.09084354722427</v>
      </c>
      <c r="V79" s="212">
        <f t="shared" si="89"/>
        <v>-15.104542177361225</v>
      </c>
      <c r="W79" s="216">
        <f>-VLOOKUP($B79,'недельное планирование'!$B:$CA,W$3,FALSE)</f>
        <v>0</v>
      </c>
      <c r="X79" s="162">
        <f t="shared" si="90"/>
        <v>0</v>
      </c>
      <c r="Y79" s="212">
        <f t="shared" si="91"/>
        <v>0</v>
      </c>
      <c r="Z79" s="216">
        <f>-VLOOKUP($B79,'недельное планирование'!$B:$CA,Z$3,FALSE)</f>
        <v>32</v>
      </c>
      <c r="AA79" s="162">
        <f t="shared" si="92"/>
        <v>193.33813987022353</v>
      </c>
      <c r="AB79" s="212">
        <f t="shared" si="93"/>
        <v>-9.6669069935111906</v>
      </c>
      <c r="AC79" s="216">
        <f>-VLOOKUP($B79,'недельное планирование'!$B:$CA,AC$3,FALSE)</f>
        <v>0</v>
      </c>
      <c r="AD79" s="162">
        <f t="shared" si="94"/>
        <v>0</v>
      </c>
      <c r="AE79" s="212">
        <f t="shared" si="95"/>
        <v>0</v>
      </c>
      <c r="AF79" s="216">
        <f>-VLOOKUP($B79,'недельное планирование'!$B:$CA,AF$3,FALSE)</f>
        <v>0</v>
      </c>
      <c r="AG79" s="162">
        <f t="shared" si="96"/>
        <v>0</v>
      </c>
      <c r="AH79" s="212">
        <f t="shared" si="97"/>
        <v>0</v>
      </c>
      <c r="AI79" s="216">
        <f>-VLOOKUP($B79,'недельное планирование'!$B:$CA,AI$3,FALSE)</f>
        <v>660.05250000000001</v>
      </c>
      <c r="AJ79" s="162">
        <f t="shared" si="98"/>
        <v>3987.9163302090851</v>
      </c>
      <c r="AK79" s="212">
        <f t="shared" si="99"/>
        <v>-199.39581651045455</v>
      </c>
      <c r="AL79" s="216">
        <f>-VLOOKUP($B79,'недельное планирование'!$B:$CA,AL$3,FALSE)</f>
        <v>660.05250000000001</v>
      </c>
      <c r="AM79" s="162">
        <f t="shared" si="100"/>
        <v>3987.9163302090851</v>
      </c>
      <c r="AN79" s="212">
        <f t="shared" si="101"/>
        <v>-199.39581651045455</v>
      </c>
      <c r="AO79" s="216">
        <f>-VLOOKUP($B79,'недельное планирование'!$B:$CA,AO$3,FALSE)</f>
        <v>660.05250000000001</v>
      </c>
      <c r="AP79" s="162">
        <f t="shared" si="102"/>
        <v>3987.9163302090851</v>
      </c>
      <c r="AQ79" s="212">
        <f t="shared" si="103"/>
        <v>-199.39581651045455</v>
      </c>
    </row>
    <row r="80" spans="1:43" ht="24" customHeight="1">
      <c r="A80" s="229"/>
      <c r="B80" s="227"/>
      <c r="C80" s="239"/>
      <c r="D80" s="239"/>
      <c r="E80" s="216"/>
      <c r="F80" s="162"/>
      <c r="G80" s="212"/>
      <c r="H80" s="216"/>
      <c r="I80" s="162"/>
      <c r="J80" s="212"/>
      <c r="K80" s="216"/>
      <c r="L80" s="162"/>
      <c r="M80" s="212"/>
      <c r="N80" s="216"/>
      <c r="O80" s="162"/>
      <c r="P80" s="212"/>
      <c r="Q80" s="216"/>
      <c r="R80" s="162"/>
      <c r="S80" s="212"/>
      <c r="T80" s="216"/>
      <c r="U80" s="162"/>
      <c r="V80" s="212"/>
      <c r="W80" s="216"/>
      <c r="X80" s="162"/>
      <c r="Y80" s="212"/>
      <c r="Z80" s="216"/>
      <c r="AA80" s="162"/>
      <c r="AB80" s="212"/>
      <c r="AC80" s="216"/>
      <c r="AD80" s="162"/>
      <c r="AE80" s="212"/>
      <c r="AF80" s="216"/>
      <c r="AG80" s="162"/>
      <c r="AH80" s="212"/>
      <c r="AI80" s="216"/>
      <c r="AJ80" s="162"/>
      <c r="AK80" s="212"/>
      <c r="AL80" s="216"/>
      <c r="AM80" s="162"/>
      <c r="AN80" s="212"/>
      <c r="AO80" s="216"/>
      <c r="AP80" s="162"/>
      <c r="AQ80" s="212"/>
    </row>
    <row r="81" spans="1:43" ht="24" customHeight="1">
      <c r="A81" s="139" t="s">
        <v>46</v>
      </c>
      <c r="B81" s="219" t="s">
        <v>168</v>
      </c>
      <c r="C81" s="239"/>
      <c r="D81" s="239"/>
      <c r="E81" s="216">
        <f>-VLOOKUP($B81,'недельное планирование'!$B:$CA,E$3,FALSE)</f>
        <v>32.559999999999995</v>
      </c>
      <c r="F81" s="162">
        <f>$D81*100/($C81+$C$3)*E81/1000*$C81/$C$2</f>
        <v>0</v>
      </c>
      <c r="G81" s="212">
        <f>$D81*100/($C81+$C$3)*E81/1000-F81</f>
        <v>0</v>
      </c>
      <c r="H81" s="216">
        <f>-VLOOKUP($B81,'недельное планирование'!$B:$CA,H$3,FALSE)</f>
        <v>65</v>
      </c>
      <c r="I81" s="162">
        <f>$D81*100/($C81+$C$3)*H81/1000*$C81/$C$2</f>
        <v>0</v>
      </c>
      <c r="J81" s="212">
        <f>$D81*100/($C81+$C$3)*H81/1000-I81</f>
        <v>0</v>
      </c>
      <c r="K81" s="216">
        <f>-VLOOKUP($B81,'недельное планирование'!$B:$CA,K$3,FALSE)</f>
        <v>65</v>
      </c>
      <c r="L81" s="162">
        <f>$D81*100/($C81+$C$3)*K81/1000*$C81/$C$2</f>
        <v>0</v>
      </c>
      <c r="M81" s="212">
        <f>$D81*100/($C81+$C$3)*K81/1000-L81</f>
        <v>0</v>
      </c>
      <c r="N81" s="216">
        <f>-VLOOKUP($B81,'недельное планирование'!$B:$CA,N$3,FALSE)</f>
        <v>0</v>
      </c>
      <c r="O81" s="162">
        <f>$D81*100/($C81+$C$3)*N81/1000*$C81/$C$2</f>
        <v>0</v>
      </c>
      <c r="P81" s="212">
        <f>$D81*100/($C81+$C$3)*N81/1000-O81</f>
        <v>0</v>
      </c>
      <c r="Q81" s="216">
        <f>-VLOOKUP($B81,'недельное планирование'!$B:$CA,Q$3,FALSE)</f>
        <v>130</v>
      </c>
      <c r="R81" s="162">
        <f>$D81*100/($C81+$C$3)*Q81/1000*$C81/$C$2</f>
        <v>0</v>
      </c>
      <c r="S81" s="212">
        <f>$D81*100/($C81+$C$3)*Q81/1000-R81</f>
        <v>0</v>
      </c>
      <c r="T81" s="216">
        <f>-VLOOKUP($B81,'недельное планирование'!$B:$CA,T$3,FALSE)</f>
        <v>0</v>
      </c>
      <c r="U81" s="162">
        <f>$D81*100/($C81+$C$3)*T81/1000*$C81/$C$2</f>
        <v>0</v>
      </c>
      <c r="V81" s="212">
        <f>$D81*100/($C81+$C$3)*T81/1000-U81</f>
        <v>0</v>
      </c>
      <c r="W81" s="216">
        <f>-VLOOKUP($B81,'недельное планирование'!$B:$CA,W$3,FALSE)</f>
        <v>0</v>
      </c>
      <c r="X81" s="162">
        <f>$D81*100/($C81+$C$3)*W81/1000*$C81/$C$2</f>
        <v>0</v>
      </c>
      <c r="Y81" s="212">
        <f>$D81*100/($C81+$C$3)*W81/1000-X81</f>
        <v>0</v>
      </c>
      <c r="Z81" s="216">
        <f>-VLOOKUP($B81,'недельное планирование'!$B:$CA,Z$3,FALSE)</f>
        <v>0</v>
      </c>
      <c r="AA81" s="162">
        <f>$D81*100/($C81+$C$3)*Z81/1000*$C81/$C$2</f>
        <v>0</v>
      </c>
      <c r="AB81" s="212">
        <f>$D81*100/($C81+$C$3)*Z81/1000-AA81</f>
        <v>0</v>
      </c>
      <c r="AC81" s="216">
        <f>-VLOOKUP($B81,'недельное планирование'!$B:$CA,AC$3,FALSE)</f>
        <v>65</v>
      </c>
      <c r="AD81" s="162">
        <f>$D81*100/($C81+$C$3)*AC81/1000*$C81/$C$2</f>
        <v>0</v>
      </c>
      <c r="AE81" s="212">
        <f>$D81*100/($C81+$C$3)*AC81/1000-AD81</f>
        <v>0</v>
      </c>
      <c r="AF81" s="216">
        <f>-VLOOKUP($B81,'недельное планирование'!$B:$CA,AF$3,FALSE)</f>
        <v>0</v>
      </c>
      <c r="AG81" s="162">
        <f>$D81*100/($C81+$C$3)*AF81/1000*$C81/$C$2</f>
        <v>0</v>
      </c>
      <c r="AH81" s="212">
        <f>$D81*100/($C81+$C$3)*AF81/1000-AG81</f>
        <v>0</v>
      </c>
      <c r="AI81" s="216" t="e">
        <f>-VLOOKUP($B81,'недельное планирование'!$B:$CA,AI$3,FALSE)</f>
        <v>#N/A</v>
      </c>
      <c r="AJ81" s="162" t="e">
        <f>$D81*100/($C81+$C$3)*AI81/1000*$C81/$C$2</f>
        <v>#N/A</v>
      </c>
      <c r="AK81" s="212" t="e">
        <f>$D81*100/($C81+$C$3)*AI81/1000-AJ81</f>
        <v>#N/A</v>
      </c>
      <c r="AL81" s="216" t="e">
        <f>-VLOOKUP($B81,'недельное планирование'!$B:$CA,AL$3,FALSE)</f>
        <v>#N/A</v>
      </c>
      <c r="AM81" s="162" t="e">
        <f>$D81*100/($C81+$C$3)*AL81/1000*$C81/$C$2</f>
        <v>#N/A</v>
      </c>
      <c r="AN81" s="212" t="e">
        <f>$D81*100/($C81+$C$3)*AL81/1000-AM81</f>
        <v>#N/A</v>
      </c>
      <c r="AO81" s="216" t="e">
        <f>-VLOOKUP($B81,'недельное планирование'!$B:$CA,AO$3,FALSE)</f>
        <v>#N/A</v>
      </c>
      <c r="AP81" s="162" t="e">
        <f>$D81*100/($C81+$C$3)*AO81/1000*$C81/$C$2</f>
        <v>#N/A</v>
      </c>
      <c r="AQ81" s="212" t="e">
        <f>$D81*100/($C81+$C$3)*AO81/1000-AP81</f>
        <v>#N/A</v>
      </c>
    </row>
    <row r="82" spans="1:43" ht="24" customHeight="1">
      <c r="A82" s="139" t="s">
        <v>46</v>
      </c>
      <c r="B82" s="219" t="s">
        <v>162</v>
      </c>
      <c r="C82" s="239">
        <v>4</v>
      </c>
      <c r="D82" s="239">
        <v>506</v>
      </c>
      <c r="E82" s="216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2">
        <f>$D82*100/($C82+$C$3)*E82/1000-F82</f>
        <v>-66.951059841384449</v>
      </c>
      <c r="H82" s="216">
        <f>-VLOOKUP($B82,'недельное планирование'!$B:$CA,H$3,FALSE)</f>
        <v>240</v>
      </c>
      <c r="I82" s="162">
        <f>$D82*100/($C82+$C$3)*H82/1000*$C82/$C$2</f>
        <v>1751.1175198269646</v>
      </c>
      <c r="J82" s="212">
        <f>$D82*100/($C82+$C$3)*H82/1000-I82</f>
        <v>-87.55587599134833</v>
      </c>
      <c r="K82" s="216">
        <f>-VLOOKUP($B82,'недельное планирование'!$B:$CA,K$3,FALSE)</f>
        <v>200</v>
      </c>
      <c r="L82" s="162">
        <f>$D82*100/($C82+$C$3)*K82/1000*$C82/$C$2</f>
        <v>1459.2645998558039</v>
      </c>
      <c r="M82" s="212">
        <f>$D82*100/($C82+$C$3)*K82/1000-L82</f>
        <v>-72.963229992790275</v>
      </c>
      <c r="N82" s="216">
        <f>-VLOOKUP($B82,'недельное планирование'!$B:$CA,N$3,FALSE)</f>
        <v>0</v>
      </c>
      <c r="O82" s="162">
        <f>$D82*100/($C82+$C$3)*N82/1000*$C82/$C$2</f>
        <v>0</v>
      </c>
      <c r="P82" s="212">
        <f>$D82*100/($C82+$C$3)*N82/1000-O82</f>
        <v>0</v>
      </c>
      <c r="Q82" s="216">
        <f>-VLOOKUP($B82,'недельное планирование'!$B:$CA,Q$3,FALSE)</f>
        <v>360</v>
      </c>
      <c r="R82" s="162">
        <f>$D82*100/($C82+$C$3)*Q82/1000*$C82/$C$2</f>
        <v>2626.6762797404467</v>
      </c>
      <c r="S82" s="212">
        <f>$D82*100/($C82+$C$3)*Q82/1000-R82</f>
        <v>-131.33381398702249</v>
      </c>
      <c r="T82" s="216">
        <f>-VLOOKUP($B82,'недельное планирование'!$B:$CA,T$3,FALSE)</f>
        <v>0</v>
      </c>
      <c r="U82" s="162">
        <f>$D82*100/($C82+$C$3)*T82/1000*$C82/$C$2</f>
        <v>0</v>
      </c>
      <c r="V82" s="212">
        <f>$D82*100/($C82+$C$3)*T82/1000-U82</f>
        <v>0</v>
      </c>
      <c r="W82" s="216">
        <f>-VLOOKUP($B82,'недельное планирование'!$B:$CA,W$3,FALSE)</f>
        <v>0</v>
      </c>
      <c r="X82" s="162">
        <f>$D82*100/($C82+$C$3)*W82/1000*$C82/$C$2</f>
        <v>0</v>
      </c>
      <c r="Y82" s="212">
        <f>$D82*100/($C82+$C$3)*W82/1000-X82</f>
        <v>0</v>
      </c>
      <c r="Z82" s="216">
        <f>-VLOOKUP($B82,'недельное планирование'!$B:$CA,Z$3,FALSE)</f>
        <v>0</v>
      </c>
      <c r="AA82" s="162">
        <f>$D82*100/($C82+$C$3)*Z82/1000*$C82/$C$2</f>
        <v>0</v>
      </c>
      <c r="AB82" s="212">
        <f>$D82*100/($C82+$C$3)*Z82/1000-AA82</f>
        <v>0</v>
      </c>
      <c r="AC82" s="216">
        <f>-VLOOKUP($B82,'недельное планирование'!$B:$CA,AC$3,FALSE)</f>
        <v>240</v>
      </c>
      <c r="AD82" s="162">
        <f>$D82*100/($C82+$C$3)*AC82/1000*$C82/$C$2</f>
        <v>1751.1175198269646</v>
      </c>
      <c r="AE82" s="212">
        <f>$D82*100/($C82+$C$3)*AC82/1000-AD82</f>
        <v>-87.55587599134833</v>
      </c>
      <c r="AF82" s="216">
        <f>-VLOOKUP($B82,'недельное планирование'!$B:$CA,AF$3,FALSE)</f>
        <v>0</v>
      </c>
      <c r="AG82" s="162">
        <f>$D82*100/($C82+$C$3)*AF82/1000*$C82/$C$2</f>
        <v>0</v>
      </c>
      <c r="AH82" s="212">
        <f>$D82*100/($C82+$C$3)*AF82/1000-AG82</f>
        <v>0</v>
      </c>
      <c r="AI82" s="216">
        <f>-VLOOKUP($B82,'недельное планирование'!$B:$CA,AI$3,FALSE)</f>
        <v>1643.1825000000003</v>
      </c>
      <c r="AJ82" s="162">
        <f>$D82*100/($C82+$C$3)*AI82/1000*$C82/$C$2</f>
        <v>11989.1902667628</v>
      </c>
      <c r="AK82" s="212">
        <f>$D82*100/($C82+$C$3)*AI82/1000-AJ82</f>
        <v>-599.45951333814082</v>
      </c>
      <c r="AL82" s="216">
        <f>-VLOOKUP($B82,'недельное планирование'!$B:$CA,AL$3,FALSE)</f>
        <v>1643.1825000000003</v>
      </c>
      <c r="AM82" s="162">
        <f>$D82*100/($C82+$C$3)*AL82/1000*$C82/$C$2</f>
        <v>11989.1902667628</v>
      </c>
      <c r="AN82" s="212">
        <f>$D82*100/($C82+$C$3)*AL82/1000-AM82</f>
        <v>-599.45951333814082</v>
      </c>
      <c r="AO82" s="216">
        <f>-VLOOKUP($B82,'недельное планирование'!$B:$CA,AO$3,FALSE)</f>
        <v>1600.0625000000005</v>
      </c>
      <c r="AP82" s="162">
        <f>$D82*100/($C82+$C$3)*AO82/1000*$C82/$C$2</f>
        <v>11674.572819033889</v>
      </c>
      <c r="AQ82" s="212">
        <f>$D82*100/($C82+$C$3)*AO82/1000-AP82</f>
        <v>-583.72864095169462</v>
      </c>
    </row>
    <row r="83" spans="1:43" ht="24.75" customHeight="1">
      <c r="A83" s="139"/>
      <c r="B83" s="219"/>
      <c r="C83" s="239"/>
      <c r="D83" s="239"/>
      <c r="E83" s="216"/>
      <c r="F83" s="162"/>
      <c r="G83" s="212"/>
      <c r="H83" s="216"/>
      <c r="I83" s="162"/>
      <c r="J83" s="212"/>
      <c r="K83" s="216"/>
      <c r="L83" s="162"/>
      <c r="M83" s="212"/>
      <c r="N83" s="216"/>
      <c r="O83" s="162"/>
      <c r="P83" s="212"/>
      <c r="Q83" s="216"/>
      <c r="R83" s="162"/>
      <c r="S83" s="212"/>
      <c r="T83" s="216"/>
      <c r="U83" s="162"/>
      <c r="V83" s="212"/>
      <c r="W83" s="216"/>
      <c r="X83" s="162"/>
      <c r="Y83" s="212"/>
      <c r="Z83" s="216"/>
      <c r="AA83" s="162"/>
      <c r="AB83" s="212"/>
      <c r="AC83" s="216"/>
      <c r="AD83" s="162"/>
      <c r="AE83" s="212"/>
      <c r="AF83" s="216"/>
      <c r="AG83" s="162"/>
      <c r="AH83" s="212"/>
      <c r="AI83" s="216"/>
      <c r="AJ83" s="162"/>
      <c r="AK83" s="212"/>
      <c r="AL83" s="216"/>
      <c r="AM83" s="162"/>
      <c r="AN83" s="212"/>
      <c r="AO83" s="216"/>
      <c r="AP83" s="162"/>
      <c r="AQ83" s="212"/>
    </row>
    <row r="84" spans="1:43" ht="24" customHeight="1">
      <c r="A84" s="150" t="s">
        <v>20</v>
      </c>
      <c r="B84" s="220" t="s">
        <v>152</v>
      </c>
      <c r="C84" s="239"/>
      <c r="D84" s="239"/>
      <c r="E84" s="216">
        <f>-VLOOKUP($B84,'недельное планирование'!$B:$CA,E$3,FALSE)</f>
        <v>0</v>
      </c>
      <c r="F84" s="162">
        <f>$D84*100/($C84+$C$3)*E84/1000*$C84/$C$2</f>
        <v>0</v>
      </c>
      <c r="G84" s="212">
        <f>$D84*100/($C84+$C$3)*E84/1000-F84</f>
        <v>0</v>
      </c>
      <c r="H84" s="216">
        <f>-VLOOKUP($B84,'недельное планирование'!$B:$CA,H$3,FALSE)</f>
        <v>10</v>
      </c>
      <c r="I84" s="162">
        <f>$D84*100/($C84+$C$3)*H84/1000*$C84/$C$2</f>
        <v>0</v>
      </c>
      <c r="J84" s="212">
        <f>$D84*100/($C84+$C$3)*H84/1000-I84</f>
        <v>0</v>
      </c>
      <c r="K84" s="216">
        <f>-VLOOKUP($B84,'недельное планирование'!$B:$CA,K$3,FALSE)</f>
        <v>24</v>
      </c>
      <c r="L84" s="162">
        <f>$D84*100/($C84+$C$3)*K84/1000*$C84/$C$2</f>
        <v>0</v>
      </c>
      <c r="M84" s="212">
        <f>$D84*100/($C84+$C$3)*K84/1000-L84</f>
        <v>0</v>
      </c>
      <c r="N84" s="216">
        <f>-VLOOKUP($B84,'недельное планирование'!$B:$CA,N$3,FALSE)</f>
        <v>0</v>
      </c>
      <c r="O84" s="162">
        <f>$D84*100/($C84+$C$3)*N84/1000*$C84/$C$2</f>
        <v>0</v>
      </c>
      <c r="P84" s="212">
        <f>$D84*100/($C84+$C$3)*N84/1000-O84</f>
        <v>0</v>
      </c>
      <c r="Q84" s="216">
        <f>-VLOOKUP($B84,'недельное планирование'!$B:$CA,Q$3,FALSE)</f>
        <v>0</v>
      </c>
      <c r="R84" s="162">
        <f>$D84*100/($C84+$C$3)*Q84/1000*$C84/$C$2</f>
        <v>0</v>
      </c>
      <c r="S84" s="212">
        <f>$D84*100/($C84+$C$3)*Q84/1000-R84</f>
        <v>0</v>
      </c>
      <c r="T84" s="216">
        <f>-VLOOKUP($B84,'недельное планирование'!$B:$CA,T$3,FALSE)</f>
        <v>0</v>
      </c>
      <c r="U84" s="162">
        <f>$D84*100/($C84+$C$3)*T84/1000*$C84/$C$2</f>
        <v>0</v>
      </c>
      <c r="V84" s="212">
        <f>$D84*100/($C84+$C$3)*T84/1000-U84</f>
        <v>0</v>
      </c>
      <c r="W84" s="216">
        <f>-VLOOKUP($B84,'недельное планирование'!$B:$CA,W$3,FALSE)</f>
        <v>0</v>
      </c>
      <c r="X84" s="162">
        <f>$D84*100/($C84+$C$3)*W84/1000*$C84/$C$2</f>
        <v>0</v>
      </c>
      <c r="Y84" s="212">
        <f>$D84*100/($C84+$C$3)*W84/1000-X84</f>
        <v>0</v>
      </c>
      <c r="Z84" s="216">
        <f>-VLOOKUP($B84,'недельное планирование'!$B:$CA,Z$3,FALSE)</f>
        <v>0</v>
      </c>
      <c r="AA84" s="162">
        <f>$D84*100/($C84+$C$3)*Z84/1000*$C84/$C$2</f>
        <v>0</v>
      </c>
      <c r="AB84" s="212">
        <f>$D84*100/($C84+$C$3)*Z84/1000-AA84</f>
        <v>0</v>
      </c>
      <c r="AC84" s="216">
        <f>-VLOOKUP($B84,'недельное планирование'!$B:$CA,AC$3,FALSE)</f>
        <v>0</v>
      </c>
      <c r="AD84" s="162">
        <f>$D84*100/($C84+$C$3)*AC84/1000*$C84/$C$2</f>
        <v>0</v>
      </c>
      <c r="AE84" s="212">
        <f>$D84*100/($C84+$C$3)*AC84/1000-AD84</f>
        <v>0</v>
      </c>
      <c r="AF84" s="216">
        <f>-VLOOKUP($B84,'недельное планирование'!$B:$CA,AF$3,FALSE)</f>
        <v>0</v>
      </c>
      <c r="AG84" s="162">
        <f>$D84*100/($C84+$C$3)*AF84/1000*$C84/$C$2</f>
        <v>0</v>
      </c>
      <c r="AH84" s="212">
        <f>$D84*100/($C84+$C$3)*AF84/1000-AG84</f>
        <v>0</v>
      </c>
      <c r="AI84" s="216" t="e">
        <f>-VLOOKUP($B84,'недельное планирование'!$B:$CA,AI$3,FALSE)</f>
        <v>#N/A</v>
      </c>
      <c r="AJ84" s="162" t="e">
        <f>$D84*100/($C84+$C$3)*AI84/1000*$C84/$C$2</f>
        <v>#N/A</v>
      </c>
      <c r="AK84" s="212" t="e">
        <f>$D84*100/($C84+$C$3)*AI84/1000-AJ84</f>
        <v>#N/A</v>
      </c>
      <c r="AL84" s="216" t="e">
        <f>-VLOOKUP($B84,'недельное планирование'!$B:$CA,AL$3,FALSE)</f>
        <v>#N/A</v>
      </c>
      <c r="AM84" s="162" t="e">
        <f>$D84*100/($C84+$C$3)*AL84/1000*$C84/$C$2</f>
        <v>#N/A</v>
      </c>
      <c r="AN84" s="212" t="e">
        <f>$D84*100/($C84+$C$3)*AL84/1000-AM84</f>
        <v>#N/A</v>
      </c>
      <c r="AO84" s="216" t="e">
        <f>-VLOOKUP($B84,'недельное планирование'!$B:$CA,AO$3,FALSE)</f>
        <v>#N/A</v>
      </c>
      <c r="AP84" s="162" t="e">
        <f>$D84*100/($C84+$C$3)*AO84/1000*$C84/$C$2</f>
        <v>#N/A</v>
      </c>
      <c r="AQ84" s="212" t="e">
        <f>$D84*100/($C84+$C$3)*AO84/1000-AP84</f>
        <v>#N/A</v>
      </c>
    </row>
    <row r="85" spans="1:43" ht="24" customHeight="1">
      <c r="A85" s="150" t="s">
        <v>20</v>
      </c>
      <c r="B85" s="220" t="s">
        <v>275</v>
      </c>
      <c r="C85" s="239"/>
      <c r="D85" s="239"/>
      <c r="E85" s="216">
        <f>-VLOOKUP($B85,'недельное планирование'!$B:$CA,E$3,FALSE)</f>
        <v>0</v>
      </c>
      <c r="F85" s="162">
        <f>$D85*100/($C85+$C$3)*E85/1000*$C85/$C$2</f>
        <v>0</v>
      </c>
      <c r="G85" s="212">
        <f>$D85*100/($C85+$C$3)*E85/1000-F85</f>
        <v>0</v>
      </c>
      <c r="H85" s="216">
        <f>-VLOOKUP($B85,'недельное планирование'!$B:$CA,H$3,FALSE)</f>
        <v>75</v>
      </c>
      <c r="I85" s="162">
        <f>$D85*100/($C85+$C$3)*H85/1000*$C85/$C$2</f>
        <v>0</v>
      </c>
      <c r="J85" s="212">
        <f>$D85*100/($C85+$C$3)*H85/1000-I85</f>
        <v>0</v>
      </c>
      <c r="K85" s="216">
        <f>-VLOOKUP($B85,'недельное планирование'!$B:$CA,K$3,FALSE)</f>
        <v>0</v>
      </c>
      <c r="L85" s="162">
        <f>$D85*100/($C85+$C$3)*K85/1000*$C85/$C$2</f>
        <v>0</v>
      </c>
      <c r="M85" s="212">
        <f>$D85*100/($C85+$C$3)*K85/1000-L85</f>
        <v>0</v>
      </c>
      <c r="N85" s="216">
        <f>-VLOOKUP($B85,'недельное планирование'!$B:$CA,N$3,FALSE)</f>
        <v>0</v>
      </c>
      <c r="O85" s="162">
        <f>$D85*100/($C85+$C$3)*N85/1000*$C85/$C$2</f>
        <v>0</v>
      </c>
      <c r="P85" s="212">
        <f>$D85*100/($C85+$C$3)*N85/1000-O85</f>
        <v>0</v>
      </c>
      <c r="Q85" s="216">
        <f>-VLOOKUP($B85,'недельное планирование'!$B:$CA,Q$3,FALSE)</f>
        <v>600</v>
      </c>
      <c r="R85" s="162">
        <f>$D85*100/($C85+$C$3)*Q85/1000*$C85/$C$2</f>
        <v>0</v>
      </c>
      <c r="S85" s="212">
        <f>$D85*100/($C85+$C$3)*Q85/1000-R85</f>
        <v>0</v>
      </c>
      <c r="T85" s="216">
        <f>-VLOOKUP($B85,'недельное планирование'!$B:$CA,T$3,FALSE)</f>
        <v>0</v>
      </c>
      <c r="U85" s="162">
        <f>$D85*100/($C85+$C$3)*T85/1000*$C85/$C$2</f>
        <v>0</v>
      </c>
      <c r="V85" s="212">
        <f>$D85*100/($C85+$C$3)*T85/1000-U85</f>
        <v>0</v>
      </c>
      <c r="W85" s="216">
        <f>-VLOOKUP($B85,'недельное планирование'!$B:$CA,W$3,FALSE)</f>
        <v>0</v>
      </c>
      <c r="X85" s="162">
        <f>$D85*100/($C85+$C$3)*W85/1000*$C85/$C$2</f>
        <v>0</v>
      </c>
      <c r="Y85" s="212">
        <f>$D85*100/($C85+$C$3)*W85/1000-X85</f>
        <v>0</v>
      </c>
      <c r="Z85" s="216">
        <f>-VLOOKUP($B85,'недельное планирование'!$B:$CA,Z$3,FALSE)</f>
        <v>0</v>
      </c>
      <c r="AA85" s="162">
        <f>$D85*100/($C85+$C$3)*Z85/1000*$C85/$C$2</f>
        <v>0</v>
      </c>
      <c r="AB85" s="212">
        <f>$D85*100/($C85+$C$3)*Z85/1000-AA85</f>
        <v>0</v>
      </c>
      <c r="AC85" s="216">
        <f>-VLOOKUP($B85,'недельное планирование'!$B:$CA,AC$3,FALSE)</f>
        <v>600</v>
      </c>
      <c r="AD85" s="162">
        <f>$D85*100/($C85+$C$3)*AC85/1000*$C85/$C$2</f>
        <v>0</v>
      </c>
      <c r="AE85" s="212">
        <f>$D85*100/($C85+$C$3)*AC85/1000-AD85</f>
        <v>0</v>
      </c>
      <c r="AF85" s="216">
        <f>-VLOOKUP($B85,'недельное планирование'!$B:$CA,AF$3,FALSE)</f>
        <v>0</v>
      </c>
      <c r="AG85" s="162">
        <f>$D85*100/($C85+$C$3)*AF85/1000*$C85/$C$2</f>
        <v>0</v>
      </c>
      <c r="AH85" s="212">
        <f>$D85*100/($C85+$C$3)*AF85/1000-AG85</f>
        <v>0</v>
      </c>
      <c r="AI85" s="216" t="e">
        <f>-VLOOKUP($B85,'недельное планирование'!$B:$CA,AI$3,FALSE)</f>
        <v>#N/A</v>
      </c>
      <c r="AJ85" s="162" t="e">
        <f>$D85*100/($C85+$C$3)*AI85/1000*$C85/$C$2</f>
        <v>#N/A</v>
      </c>
      <c r="AK85" s="212" t="e">
        <f>$D85*100/($C85+$C$3)*AI85/1000-AJ85</f>
        <v>#N/A</v>
      </c>
      <c r="AL85" s="216" t="e">
        <f>-VLOOKUP($B85,'недельное планирование'!$B:$CA,AL$3,FALSE)</f>
        <v>#N/A</v>
      </c>
      <c r="AM85" s="162" t="e">
        <f>$D85*100/($C85+$C$3)*AL85/1000*$C85/$C$2</f>
        <v>#N/A</v>
      </c>
      <c r="AN85" s="212" t="e">
        <f>$D85*100/($C85+$C$3)*AL85/1000-AM85</f>
        <v>#N/A</v>
      </c>
      <c r="AO85" s="216" t="e">
        <f>-VLOOKUP($B85,'недельное планирование'!$B:$CA,AO$3,FALSE)</f>
        <v>#N/A</v>
      </c>
      <c r="AP85" s="162" t="e">
        <f>$D85*100/($C85+$C$3)*AO85/1000*$C85/$C$2</f>
        <v>#N/A</v>
      </c>
      <c r="AQ85" s="212" t="e">
        <f>$D85*100/($C85+$C$3)*AO85/1000-AP85</f>
        <v>#N/A</v>
      </c>
    </row>
    <row r="86" spans="1:43" ht="24" customHeight="1">
      <c r="A86" s="150" t="s">
        <v>20</v>
      </c>
      <c r="B86" s="220" t="s">
        <v>155</v>
      </c>
      <c r="C86" s="239"/>
      <c r="D86" s="239"/>
      <c r="E86" s="216">
        <f>-VLOOKUP($B86,'недельное планирование'!$B:$CA,E$3,FALSE)</f>
        <v>449.91999999999996</v>
      </c>
      <c r="F86" s="162">
        <f>$D86*100/($C86+$C$3)*E86/1000*$C86/$C$2</f>
        <v>0</v>
      </c>
      <c r="G86" s="212">
        <f>$D86*100/($C86+$C$3)*E86/1000-F86</f>
        <v>0</v>
      </c>
      <c r="H86" s="216">
        <f>-VLOOKUP($B86,'недельное планирование'!$B:$CA,H$3,FALSE)</f>
        <v>224</v>
      </c>
      <c r="I86" s="162">
        <f>$D86*100/($C86+$C$3)*H86/1000*$C86/$C$2</f>
        <v>0</v>
      </c>
      <c r="J86" s="212">
        <f>$D86*100/($C86+$C$3)*H86/1000-I86</f>
        <v>0</v>
      </c>
      <c r="K86" s="216">
        <f>-VLOOKUP($B86,'недельное планирование'!$B:$CA,K$3,FALSE)</f>
        <v>15</v>
      </c>
      <c r="L86" s="162">
        <f>$D86*100/($C86+$C$3)*K86/1000*$C86/$C$2</f>
        <v>0</v>
      </c>
      <c r="M86" s="212">
        <f>$D86*100/($C86+$C$3)*K86/1000-L86</f>
        <v>0</v>
      </c>
      <c r="N86" s="216">
        <f>-VLOOKUP($B86,'недельное планирование'!$B:$CA,N$3,FALSE)</f>
        <v>0</v>
      </c>
      <c r="O86" s="162">
        <f>$D86*100/($C86+$C$3)*N86/1000*$C86/$C$2</f>
        <v>0</v>
      </c>
      <c r="P86" s="212">
        <f>$D86*100/($C86+$C$3)*N86/1000-O86</f>
        <v>0</v>
      </c>
      <c r="Q86" s="216">
        <f>-VLOOKUP($B86,'недельное планирование'!$B:$CA,Q$3,FALSE)</f>
        <v>590</v>
      </c>
      <c r="R86" s="162">
        <f>$D86*100/($C86+$C$3)*Q86/1000*$C86/$C$2</f>
        <v>0</v>
      </c>
      <c r="S86" s="212">
        <f>$D86*100/($C86+$C$3)*Q86/1000-R86</f>
        <v>0</v>
      </c>
      <c r="T86" s="216">
        <f>-VLOOKUP($B86,'недельное планирование'!$B:$CA,T$3,FALSE)</f>
        <v>0</v>
      </c>
      <c r="U86" s="162">
        <f>$D86*100/($C86+$C$3)*T86/1000*$C86/$C$2</f>
        <v>0</v>
      </c>
      <c r="V86" s="212">
        <f>$D86*100/($C86+$C$3)*T86/1000-U86</f>
        <v>0</v>
      </c>
      <c r="W86" s="216">
        <f>-VLOOKUP($B86,'недельное планирование'!$B:$CA,W$3,FALSE)</f>
        <v>0</v>
      </c>
      <c r="X86" s="162">
        <f>$D86*100/($C86+$C$3)*W86/1000*$C86/$C$2</f>
        <v>0</v>
      </c>
      <c r="Y86" s="212">
        <f>$D86*100/($C86+$C$3)*W86/1000-X86</f>
        <v>0</v>
      </c>
      <c r="Z86" s="216">
        <f>-VLOOKUP($B86,'недельное планирование'!$B:$CA,Z$3,FALSE)</f>
        <v>0</v>
      </c>
      <c r="AA86" s="162">
        <f>$D86*100/($C86+$C$3)*Z86/1000*$C86/$C$2</f>
        <v>0</v>
      </c>
      <c r="AB86" s="212">
        <f>$D86*100/($C86+$C$3)*Z86/1000-AA86</f>
        <v>0</v>
      </c>
      <c r="AC86" s="216">
        <f>-VLOOKUP($B86,'недельное планирование'!$B:$CA,AC$3,FALSE)</f>
        <v>400</v>
      </c>
      <c r="AD86" s="162">
        <f>$D86*100/($C86+$C$3)*AC86/1000*$C86/$C$2</f>
        <v>0</v>
      </c>
      <c r="AE86" s="212">
        <f>$D86*100/($C86+$C$3)*AC86/1000-AD86</f>
        <v>0</v>
      </c>
      <c r="AF86" s="216">
        <f>-VLOOKUP($B86,'недельное планирование'!$B:$CA,AF$3,FALSE)</f>
        <v>0</v>
      </c>
      <c r="AG86" s="162">
        <f>$D86*100/($C86+$C$3)*AF86/1000*$C86/$C$2</f>
        <v>0</v>
      </c>
      <c r="AH86" s="212">
        <f>$D86*100/($C86+$C$3)*AF86/1000-AG86</f>
        <v>0</v>
      </c>
      <c r="AI86" s="216">
        <f>-VLOOKUP($B86,'недельное планирование'!$B:$CA,AI$3,FALSE)</f>
        <v>566.84000000000015</v>
      </c>
      <c r="AJ86" s="162">
        <f>$D86*100/($C86+$C$3)*AI86/1000*$C86/$C$2</f>
        <v>0</v>
      </c>
      <c r="AK86" s="212">
        <f>$D86*100/($C86+$C$3)*AI86/1000-AJ86</f>
        <v>0</v>
      </c>
      <c r="AL86" s="216">
        <f>-VLOOKUP($B86,'недельное планирование'!$B:$CA,AL$3,FALSE)</f>
        <v>566.84000000000015</v>
      </c>
      <c r="AM86" s="162">
        <f>$D86*100/($C86+$C$3)*AL86/1000*$C86/$C$2</f>
        <v>0</v>
      </c>
      <c r="AN86" s="212">
        <f>$D86*100/($C86+$C$3)*AL86/1000-AM86</f>
        <v>0</v>
      </c>
      <c r="AO86" s="216">
        <f>-VLOOKUP($B86,'недельное планирование'!$B:$CA,AO$3,FALSE)</f>
        <v>566.84000000000015</v>
      </c>
      <c r="AP86" s="162">
        <f>$D86*100/($C86+$C$3)*AO86/1000*$C86/$C$2</f>
        <v>0</v>
      </c>
      <c r="AQ86" s="212">
        <f>$D86*100/($C86+$C$3)*AO86/1000-AP86</f>
        <v>0</v>
      </c>
    </row>
    <row r="87" spans="1:43" ht="24" customHeight="1">
      <c r="A87" s="150" t="s">
        <v>20</v>
      </c>
      <c r="B87" s="220" t="s">
        <v>157</v>
      </c>
      <c r="C87" s="239"/>
      <c r="D87" s="239"/>
      <c r="E87" s="216">
        <f>-VLOOKUP($B87,'недельное планирование'!$B:$CA,E$3,FALSE)</f>
        <v>42</v>
      </c>
      <c r="F87" s="162">
        <f>$D87*100/($C87+$C$3)*E87/1000*$C87/$C$2</f>
        <v>0</v>
      </c>
      <c r="G87" s="212">
        <f>$D87*100/($C87+$C$3)*E87/1000-F87</f>
        <v>0</v>
      </c>
      <c r="H87" s="216">
        <f>-VLOOKUP($B87,'недельное планирование'!$B:$CA,H$3,FALSE)</f>
        <v>27</v>
      </c>
      <c r="I87" s="162">
        <f>$D87*100/($C87+$C$3)*H87/1000*$C87/$C$2</f>
        <v>0</v>
      </c>
      <c r="J87" s="212">
        <f>$D87*100/($C87+$C$3)*H87/1000-I87</f>
        <v>0</v>
      </c>
      <c r="K87" s="216">
        <f>-VLOOKUP($B87,'недельное планирование'!$B:$CA,K$3,FALSE)</f>
        <v>12</v>
      </c>
      <c r="L87" s="162">
        <f>$D87*100/($C87+$C$3)*K87/1000*$C87/$C$2</f>
        <v>0</v>
      </c>
      <c r="M87" s="212">
        <f>$D87*100/($C87+$C$3)*K87/1000-L87</f>
        <v>0</v>
      </c>
      <c r="N87" s="216">
        <f>-VLOOKUP($B87,'недельное планирование'!$B:$CA,N$3,FALSE)</f>
        <v>0</v>
      </c>
      <c r="O87" s="162">
        <f>$D87*100/($C87+$C$3)*N87/1000*$C87/$C$2</f>
        <v>0</v>
      </c>
      <c r="P87" s="212">
        <f>$D87*100/($C87+$C$3)*N87/1000-O87</f>
        <v>0</v>
      </c>
      <c r="Q87" s="216">
        <f>-VLOOKUP($B87,'недельное планирование'!$B:$CA,Q$3,FALSE)</f>
        <v>35</v>
      </c>
      <c r="R87" s="162">
        <f>$D87*100/($C87+$C$3)*Q87/1000*$C87/$C$2</f>
        <v>0</v>
      </c>
      <c r="S87" s="212">
        <f>$D87*100/($C87+$C$3)*Q87/1000-R87</f>
        <v>0</v>
      </c>
      <c r="T87" s="216">
        <f>-VLOOKUP($B87,'недельное планирование'!$B:$CA,T$3,FALSE)</f>
        <v>0</v>
      </c>
      <c r="U87" s="162">
        <f>$D87*100/($C87+$C$3)*T87/1000*$C87/$C$2</f>
        <v>0</v>
      </c>
      <c r="V87" s="212">
        <f>$D87*100/($C87+$C$3)*T87/1000-U87</f>
        <v>0</v>
      </c>
      <c r="W87" s="216">
        <f>-VLOOKUP($B87,'недельное планирование'!$B:$CA,W$3,FALSE)</f>
        <v>0</v>
      </c>
      <c r="X87" s="162">
        <f>$D87*100/($C87+$C$3)*W87/1000*$C87/$C$2</f>
        <v>0</v>
      </c>
      <c r="Y87" s="212">
        <f>$D87*100/($C87+$C$3)*W87/1000-X87</f>
        <v>0</v>
      </c>
      <c r="Z87" s="216">
        <f>-VLOOKUP($B87,'недельное планирование'!$B:$CA,Z$3,FALSE)</f>
        <v>0</v>
      </c>
      <c r="AA87" s="162">
        <f>$D87*100/($C87+$C$3)*Z87/1000*$C87/$C$2</f>
        <v>0</v>
      </c>
      <c r="AB87" s="212">
        <f>$D87*100/($C87+$C$3)*Z87/1000-AA87</f>
        <v>0</v>
      </c>
      <c r="AC87" s="216">
        <f>-VLOOKUP($B87,'недельное планирование'!$B:$CA,AC$3,FALSE)</f>
        <v>3</v>
      </c>
      <c r="AD87" s="162">
        <f>$D87*100/($C87+$C$3)*AC87/1000*$C87/$C$2</f>
        <v>0</v>
      </c>
      <c r="AE87" s="212">
        <f>$D87*100/($C87+$C$3)*AC87/1000-AD87</f>
        <v>0</v>
      </c>
      <c r="AF87" s="216">
        <f>-VLOOKUP($B87,'недельное планирование'!$B:$CA,AF$3,FALSE)</f>
        <v>0</v>
      </c>
      <c r="AG87" s="162">
        <f>$D87*100/($C87+$C$3)*AF87/1000*$C87/$C$2</f>
        <v>0</v>
      </c>
      <c r="AH87" s="212">
        <f>$D87*100/($C87+$C$3)*AF87/1000-AG87</f>
        <v>0</v>
      </c>
      <c r="AI87" s="216" t="e">
        <f>-VLOOKUP($B87,'недельное планирование'!$B:$CA,AI$3,FALSE)</f>
        <v>#N/A</v>
      </c>
      <c r="AJ87" s="162" t="e">
        <f>$D87*100/($C87+$C$3)*AI87/1000*$C87/$C$2</f>
        <v>#N/A</v>
      </c>
      <c r="AK87" s="212" t="e">
        <f>$D87*100/($C87+$C$3)*AI87/1000-AJ87</f>
        <v>#N/A</v>
      </c>
      <c r="AL87" s="216" t="e">
        <f>-VLOOKUP($B87,'недельное планирование'!$B:$CA,AL$3,FALSE)</f>
        <v>#N/A</v>
      </c>
      <c r="AM87" s="162" t="e">
        <f>$D87*100/($C87+$C$3)*AL87/1000*$C87/$C$2</f>
        <v>#N/A</v>
      </c>
      <c r="AN87" s="212" t="e">
        <f>$D87*100/($C87+$C$3)*AL87/1000-AM87</f>
        <v>#N/A</v>
      </c>
      <c r="AO87" s="216" t="e">
        <f>-VLOOKUP($B87,'недельное планирование'!$B:$CA,AO$3,FALSE)</f>
        <v>#N/A</v>
      </c>
      <c r="AP87" s="162" t="e">
        <f>$D87*100/($C87+$C$3)*AO87/1000*$C87/$C$2</f>
        <v>#N/A</v>
      </c>
      <c r="AQ87" s="212" t="e">
        <f>$D87*100/($C87+$C$3)*AO87/1000-AP87</f>
        <v>#N/A</v>
      </c>
    </row>
    <row r="88" spans="1:43" ht="24" customHeight="1">
      <c r="A88" s="150"/>
      <c r="B88" s="220"/>
      <c r="C88" s="239"/>
      <c r="D88" s="239"/>
      <c r="E88" s="216"/>
      <c r="F88" s="162"/>
      <c r="G88" s="212"/>
      <c r="H88" s="216"/>
      <c r="I88" s="162"/>
      <c r="J88" s="212"/>
      <c r="K88" s="216"/>
      <c r="L88" s="162"/>
      <c r="M88" s="212"/>
      <c r="N88" s="216"/>
      <c r="O88" s="162"/>
      <c r="P88" s="212"/>
      <c r="Q88" s="216"/>
      <c r="R88" s="162"/>
      <c r="S88" s="212"/>
      <c r="T88" s="216"/>
      <c r="U88" s="162"/>
      <c r="V88" s="212"/>
      <c r="W88" s="216"/>
      <c r="X88" s="162"/>
      <c r="Y88" s="212"/>
      <c r="Z88" s="216"/>
      <c r="AA88" s="162"/>
      <c r="AB88" s="212"/>
      <c r="AC88" s="216"/>
      <c r="AD88" s="162"/>
      <c r="AE88" s="212"/>
      <c r="AF88" s="216"/>
      <c r="AG88" s="162"/>
      <c r="AH88" s="212"/>
      <c r="AI88" s="216"/>
      <c r="AJ88" s="162"/>
      <c r="AK88" s="212"/>
      <c r="AL88" s="216"/>
      <c r="AM88" s="162"/>
      <c r="AN88" s="212"/>
      <c r="AO88" s="216"/>
      <c r="AP88" s="162"/>
      <c r="AQ88" s="212"/>
    </row>
    <row r="89" spans="1:43" s="211" customFormat="1" ht="24" customHeight="1">
      <c r="C89" s="238"/>
      <c r="D89" s="238"/>
      <c r="E89" s="214"/>
      <c r="F89" s="207"/>
      <c r="G89" s="207"/>
      <c r="H89" s="214"/>
      <c r="I89" s="207"/>
      <c r="J89" s="207"/>
      <c r="K89" s="214"/>
      <c r="L89" s="207"/>
      <c r="M89" s="207"/>
      <c r="N89" s="214"/>
      <c r="O89" s="207"/>
      <c r="P89" s="207"/>
      <c r="Q89" s="214"/>
      <c r="R89" s="207"/>
      <c r="S89" s="207"/>
      <c r="T89" s="214"/>
      <c r="U89" s="207"/>
      <c r="V89" s="207"/>
      <c r="W89" s="214"/>
      <c r="X89" s="207"/>
      <c r="Y89" s="207"/>
      <c r="Z89" s="214"/>
      <c r="AA89" s="207"/>
      <c r="AB89" s="207"/>
      <c r="AC89" s="214"/>
      <c r="AD89" s="207"/>
      <c r="AE89" s="207"/>
      <c r="AF89" s="214"/>
      <c r="AG89" s="207"/>
      <c r="AH89" s="207"/>
      <c r="AI89" s="214"/>
      <c r="AJ89" s="207"/>
      <c r="AK89" s="207"/>
      <c r="AL89" s="214"/>
      <c r="AM89" s="207"/>
      <c r="AN89" s="207"/>
      <c r="AO89" s="214"/>
      <c r="AP89" s="207"/>
      <c r="AQ89" s="207"/>
    </row>
    <row r="90" spans="1:43" ht="24" customHeight="1">
      <c r="A90" s="150" t="s">
        <v>19</v>
      </c>
      <c r="B90" s="220" t="s">
        <v>17</v>
      </c>
      <c r="C90" s="239">
        <v>36</v>
      </c>
      <c r="D90" s="239">
        <v>88.4</v>
      </c>
      <c r="E90" s="216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2">
        <f t="shared" ref="G90:G97" si="105">$D90*100/($C90+$C$3)*E90/1000-F90</f>
        <v>-953.0199544663185</v>
      </c>
      <c r="H90" s="216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2">
        <f t="shared" ref="J90:J97" si="107">$D90*100/($C90+$C$3)*H90/1000-I90</f>
        <v>0</v>
      </c>
      <c r="K90" s="216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2">
        <f t="shared" ref="M90:M97" si="109">$D90*100/($C90+$C$3)*K90/1000-L90</f>
        <v>-1715.4359180393733</v>
      </c>
      <c r="N90" s="216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2">
        <f t="shared" ref="P90:P97" si="111">$D90*100/($C90+$C$3)*N90/1000-O90</f>
        <v>-1906.039908932637</v>
      </c>
      <c r="Q90" s="216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2">
        <f t="shared" ref="S90:S97" si="113">$D90*100/($C90+$C$3)*Q90/1000-R90</f>
        <v>0</v>
      </c>
      <c r="T90" s="216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2">
        <f t="shared" ref="V90:V97" si="115">$D90*100/($C90+$C$3)*T90/1000-U90</f>
        <v>0</v>
      </c>
      <c r="W90" s="216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2">
        <f t="shared" ref="Y90:Y97" si="117">$D90*100/($C90+$C$3)*W90/1000-X90</f>
        <v>-1906.039908932637</v>
      </c>
      <c r="Z90" s="216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2">
        <f t="shared" ref="AB90:AB97" si="119">$D90*100/($C90+$C$3)*Z90/1000-AA90</f>
        <v>0</v>
      </c>
      <c r="AC90" s="216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2">
        <f t="shared" ref="AE90:AE97" si="121">$D90*100/($C90+$C$3)*AC90/1000-AD90</f>
        <v>0</v>
      </c>
      <c r="AF90" s="216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2">
        <f t="shared" ref="AH90:AH97" si="123">$D90*100/($C90+$C$3)*AF90/1000-AG90</f>
        <v>-1906.039908932637</v>
      </c>
      <c r="AI90" s="216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2" t="e">
        <f t="shared" ref="AK90:AK97" si="125">$D90*100/($C90+$C$3)*AI90/1000-AJ90</f>
        <v>#N/A</v>
      </c>
      <c r="AL90" s="216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2" t="e">
        <f t="shared" ref="AN90:AN97" si="127">$D90*100/($C90+$C$3)*AL90/1000-AM90</f>
        <v>#N/A</v>
      </c>
      <c r="AO90" s="216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2" t="e">
        <f t="shared" ref="AQ90:AQ97" si="129">$D90*100/($C90+$C$3)*AO90/1000-AP90</f>
        <v>#N/A</v>
      </c>
    </row>
    <row r="91" spans="1:43" ht="24" customHeight="1">
      <c r="A91" s="150" t="s">
        <v>19</v>
      </c>
      <c r="B91" s="220" t="s">
        <v>130</v>
      </c>
      <c r="C91" s="239">
        <v>36</v>
      </c>
      <c r="D91" s="239">
        <v>88.4</v>
      </c>
      <c r="E91" s="216">
        <f>-VLOOKUP($B91,'недельное планирование'!$B:$CA,E$3,FALSE)</f>
        <v>0</v>
      </c>
      <c r="F91" s="162">
        <f t="shared" si="104"/>
        <v>0</v>
      </c>
      <c r="G91" s="212">
        <f t="shared" si="105"/>
        <v>0</v>
      </c>
      <c r="H91" s="216">
        <f>-VLOOKUP($B91,'недельное планирование'!$B:$CA,H$3,FALSE)</f>
        <v>0</v>
      </c>
      <c r="I91" s="162">
        <f t="shared" si="106"/>
        <v>0</v>
      </c>
      <c r="J91" s="212">
        <f t="shared" si="107"/>
        <v>0</v>
      </c>
      <c r="K91" s="216">
        <f>-VLOOKUP($B91,'недельное планирование'!$B:$CA,K$3,FALSE)</f>
        <v>0</v>
      </c>
      <c r="L91" s="162">
        <f t="shared" si="108"/>
        <v>0</v>
      </c>
      <c r="M91" s="212">
        <f t="shared" si="109"/>
        <v>0</v>
      </c>
      <c r="N91" s="216">
        <f>-VLOOKUP($B91,'недельное планирование'!$B:$CA,N$3,FALSE)</f>
        <v>0</v>
      </c>
      <c r="O91" s="162">
        <f t="shared" si="110"/>
        <v>0</v>
      </c>
      <c r="P91" s="212">
        <f t="shared" si="111"/>
        <v>0</v>
      </c>
      <c r="Q91" s="216">
        <f>-VLOOKUP($B91,'недельное планирование'!$B:$CA,Q$3,FALSE)</f>
        <v>0</v>
      </c>
      <c r="R91" s="162">
        <f t="shared" si="112"/>
        <v>0</v>
      </c>
      <c r="S91" s="212">
        <f t="shared" si="113"/>
        <v>0</v>
      </c>
      <c r="T91" s="216">
        <f>-VLOOKUP($B91,'недельное планирование'!$B:$CA,T$3,FALSE)</f>
        <v>0</v>
      </c>
      <c r="U91" s="162">
        <f t="shared" si="114"/>
        <v>0</v>
      </c>
      <c r="V91" s="212">
        <f t="shared" si="115"/>
        <v>0</v>
      </c>
      <c r="W91" s="216">
        <f>-VLOOKUP($B91,'недельное планирование'!$B:$CA,W$3,FALSE)</f>
        <v>500</v>
      </c>
      <c r="X91" s="162">
        <f t="shared" si="116"/>
        <v>1065.4881478505424</v>
      </c>
      <c r="Y91" s="212">
        <f t="shared" si="117"/>
        <v>-953.0199544663185</v>
      </c>
      <c r="Z91" s="216">
        <f>-VLOOKUP($B91,'недельное планирование'!$B:$CA,Z$3,FALSE)</f>
        <v>0</v>
      </c>
      <c r="AA91" s="162">
        <f t="shared" si="118"/>
        <v>0</v>
      </c>
      <c r="AB91" s="212">
        <f t="shared" si="119"/>
        <v>0</v>
      </c>
      <c r="AC91" s="216">
        <f>-VLOOKUP($B91,'недельное планирование'!$B:$CA,AC$3,FALSE)</f>
        <v>0</v>
      </c>
      <c r="AD91" s="162">
        <f t="shared" si="120"/>
        <v>0</v>
      </c>
      <c r="AE91" s="212">
        <f t="shared" si="121"/>
        <v>0</v>
      </c>
      <c r="AF91" s="216">
        <f>-VLOOKUP($B91,'недельное планирование'!$B:$CA,AF$3,FALSE)</f>
        <v>0</v>
      </c>
      <c r="AG91" s="162">
        <f t="shared" si="122"/>
        <v>0</v>
      </c>
      <c r="AH91" s="212">
        <f t="shared" si="123"/>
        <v>0</v>
      </c>
      <c r="AI91" s="216" t="e">
        <f>-VLOOKUP($B91,'недельное планирование'!$B:$CA,AI$3,FALSE)</f>
        <v>#N/A</v>
      </c>
      <c r="AJ91" s="162" t="e">
        <f t="shared" si="124"/>
        <v>#N/A</v>
      </c>
      <c r="AK91" s="212" t="e">
        <f t="shared" si="125"/>
        <v>#N/A</v>
      </c>
      <c r="AL91" s="216" t="e">
        <f>-VLOOKUP($B91,'недельное планирование'!$B:$CA,AL$3,FALSE)</f>
        <v>#N/A</v>
      </c>
      <c r="AM91" s="162" t="e">
        <f t="shared" si="126"/>
        <v>#N/A</v>
      </c>
      <c r="AN91" s="212" t="e">
        <f t="shared" si="127"/>
        <v>#N/A</v>
      </c>
      <c r="AO91" s="216" t="e">
        <f>-VLOOKUP($B91,'недельное планирование'!$B:$CA,AO$3,FALSE)</f>
        <v>#N/A</v>
      </c>
      <c r="AP91" s="162" t="e">
        <f t="shared" si="128"/>
        <v>#N/A</v>
      </c>
      <c r="AQ91" s="212" t="e">
        <f t="shared" si="129"/>
        <v>#N/A</v>
      </c>
    </row>
    <row r="92" spans="1:43" ht="24" customHeight="1">
      <c r="A92" s="150" t="s">
        <v>19</v>
      </c>
      <c r="B92" s="220" t="s">
        <v>133</v>
      </c>
      <c r="C92" s="239">
        <v>36</v>
      </c>
      <c r="D92" s="239">
        <v>75.8</v>
      </c>
      <c r="E92" s="216">
        <f>-VLOOKUP($B92,'недельное планирование'!$B:$CA,E$3,FALSE)</f>
        <v>0</v>
      </c>
      <c r="F92" s="162">
        <f t="shared" si="104"/>
        <v>0</v>
      </c>
      <c r="G92" s="212">
        <f t="shared" si="105"/>
        <v>0</v>
      </c>
      <c r="H92" s="216">
        <f>-VLOOKUP($B92,'недельное планирование'!$B:$CA,H$3,FALSE)</f>
        <v>0</v>
      </c>
      <c r="I92" s="162">
        <f t="shared" si="106"/>
        <v>0</v>
      </c>
      <c r="J92" s="212">
        <f t="shared" si="107"/>
        <v>0</v>
      </c>
      <c r="K92" s="216">
        <f>-VLOOKUP($B92,'недельное планирование'!$B:$CA,K$3,FALSE)</f>
        <v>0</v>
      </c>
      <c r="L92" s="162">
        <f t="shared" si="108"/>
        <v>0</v>
      </c>
      <c r="M92" s="212">
        <f t="shared" si="109"/>
        <v>0</v>
      </c>
      <c r="N92" s="216">
        <f>-VLOOKUP($B92,'недельное планирование'!$B:$CA,N$3,FALSE)</f>
        <v>0</v>
      </c>
      <c r="O92" s="162">
        <f t="shared" si="110"/>
        <v>0</v>
      </c>
      <c r="P92" s="212">
        <f t="shared" si="111"/>
        <v>0</v>
      </c>
      <c r="Q92" s="216">
        <f>-VLOOKUP($B92,'недельное планирование'!$B:$CA,Q$3,FALSE)</f>
        <v>0</v>
      </c>
      <c r="R92" s="162">
        <f t="shared" si="112"/>
        <v>0</v>
      </c>
      <c r="S92" s="212">
        <f t="shared" si="113"/>
        <v>0</v>
      </c>
      <c r="T92" s="216">
        <f>-VLOOKUP($B92,'недельное планирование'!$B:$CA,T$3,FALSE)</f>
        <v>0</v>
      </c>
      <c r="U92" s="162">
        <f t="shared" si="114"/>
        <v>0</v>
      </c>
      <c r="V92" s="212">
        <f t="shared" si="115"/>
        <v>0</v>
      </c>
      <c r="W92" s="216">
        <f>-VLOOKUP($B92,'недельное планирование'!$B:$CA,W$3,FALSE)</f>
        <v>0</v>
      </c>
      <c r="X92" s="162">
        <f t="shared" si="116"/>
        <v>0</v>
      </c>
      <c r="Y92" s="212">
        <f t="shared" si="117"/>
        <v>0</v>
      </c>
      <c r="Z92" s="216">
        <f>-VLOOKUP($B92,'недельное планирование'!$B:$CA,Z$3,FALSE)</f>
        <v>600</v>
      </c>
      <c r="AA92" s="162">
        <f t="shared" si="118"/>
        <v>1096.34391321816</v>
      </c>
      <c r="AB92" s="212">
        <f t="shared" si="119"/>
        <v>-980.61872237846535</v>
      </c>
      <c r="AC92" s="216">
        <f>-VLOOKUP($B92,'недельное планирование'!$B:$CA,AC$3,FALSE)</f>
        <v>600</v>
      </c>
      <c r="AD92" s="162">
        <f t="shared" si="120"/>
        <v>1096.34391321816</v>
      </c>
      <c r="AE92" s="212">
        <f t="shared" si="121"/>
        <v>-980.61872237846535</v>
      </c>
      <c r="AF92" s="216">
        <f>-VLOOKUP($B92,'недельное планирование'!$B:$CA,AF$3,FALSE)</f>
        <v>0</v>
      </c>
      <c r="AG92" s="162">
        <f t="shared" si="122"/>
        <v>0</v>
      </c>
      <c r="AH92" s="212">
        <f t="shared" si="123"/>
        <v>0</v>
      </c>
      <c r="AI92" s="216" t="e">
        <f>-VLOOKUP($B92,'недельное планирование'!$B:$CA,AI$3,FALSE)</f>
        <v>#N/A</v>
      </c>
      <c r="AJ92" s="162" t="e">
        <f t="shared" si="124"/>
        <v>#N/A</v>
      </c>
      <c r="AK92" s="212" t="e">
        <f t="shared" si="125"/>
        <v>#N/A</v>
      </c>
      <c r="AL92" s="216" t="e">
        <f>-VLOOKUP($B92,'недельное планирование'!$B:$CA,AL$3,FALSE)</f>
        <v>#N/A</v>
      </c>
      <c r="AM92" s="162" t="e">
        <f t="shared" si="126"/>
        <v>#N/A</v>
      </c>
      <c r="AN92" s="212" t="e">
        <f t="shared" si="127"/>
        <v>#N/A</v>
      </c>
      <c r="AO92" s="216" t="e">
        <f>-VLOOKUP($B92,'недельное планирование'!$B:$CA,AO$3,FALSE)</f>
        <v>#N/A</v>
      </c>
      <c r="AP92" s="162" t="e">
        <f t="shared" si="128"/>
        <v>#N/A</v>
      </c>
      <c r="AQ92" s="212" t="e">
        <f t="shared" si="129"/>
        <v>#N/A</v>
      </c>
    </row>
    <row r="93" spans="1:43" ht="24" customHeight="1">
      <c r="A93" s="150" t="s">
        <v>20</v>
      </c>
      <c r="B93" s="220" t="s">
        <v>142</v>
      </c>
      <c r="C93" s="239">
        <v>36</v>
      </c>
      <c r="D93" s="239">
        <v>44.1</v>
      </c>
      <c r="E93" s="216">
        <f>-VLOOKUP($B93,'недельное планирование'!$B:$CA,E$3,FALSE)</f>
        <v>0</v>
      </c>
      <c r="F93" s="162">
        <f t="shared" si="104"/>
        <v>0</v>
      </c>
      <c r="G93" s="212">
        <f t="shared" si="105"/>
        <v>0</v>
      </c>
      <c r="H93" s="216">
        <f>-VLOOKUP($B93,'недельное планирование'!$B:$CA,H$3,FALSE)</f>
        <v>50</v>
      </c>
      <c r="I93" s="162">
        <f t="shared" si="106"/>
        <v>53.153877059059866</v>
      </c>
      <c r="J93" s="212">
        <f t="shared" si="107"/>
        <v>-47.543190036159103</v>
      </c>
      <c r="K93" s="216">
        <f>-VLOOKUP($B93,'недельное планирование'!$B:$CA,K$3,FALSE)</f>
        <v>50</v>
      </c>
      <c r="L93" s="162">
        <f t="shared" si="108"/>
        <v>53.153877059059866</v>
      </c>
      <c r="M93" s="212">
        <f t="shared" si="109"/>
        <v>-47.543190036159103</v>
      </c>
      <c r="N93" s="216">
        <f>-VLOOKUP($B93,'недельное планирование'!$B:$CA,N$3,FALSE)</f>
        <v>0</v>
      </c>
      <c r="O93" s="162">
        <f t="shared" si="110"/>
        <v>0</v>
      </c>
      <c r="P93" s="212">
        <f t="shared" si="111"/>
        <v>0</v>
      </c>
      <c r="Q93" s="216">
        <f>-VLOOKUP($B93,'недельное планирование'!$B:$CA,Q$3,FALSE)</f>
        <v>0</v>
      </c>
      <c r="R93" s="162">
        <f t="shared" si="112"/>
        <v>0</v>
      </c>
      <c r="S93" s="212">
        <f t="shared" si="113"/>
        <v>0</v>
      </c>
      <c r="T93" s="216">
        <f>-VLOOKUP($B93,'недельное планирование'!$B:$CA,T$3,FALSE)</f>
        <v>0</v>
      </c>
      <c r="U93" s="162">
        <f t="shared" si="114"/>
        <v>0</v>
      </c>
      <c r="V93" s="212">
        <f t="shared" si="115"/>
        <v>0</v>
      </c>
      <c r="W93" s="216">
        <f>-VLOOKUP($B93,'недельное планирование'!$B:$CA,W$3,FALSE)</f>
        <v>100</v>
      </c>
      <c r="X93" s="162">
        <f t="shared" si="116"/>
        <v>106.30775411811973</v>
      </c>
      <c r="Y93" s="212">
        <f t="shared" si="117"/>
        <v>-95.086380072318207</v>
      </c>
      <c r="Z93" s="216">
        <f>-VLOOKUP($B93,'недельное планирование'!$B:$CA,Z$3,FALSE)</f>
        <v>0</v>
      </c>
      <c r="AA93" s="162">
        <f t="shared" si="118"/>
        <v>0</v>
      </c>
      <c r="AB93" s="212">
        <f t="shared" si="119"/>
        <v>0</v>
      </c>
      <c r="AC93" s="216">
        <f>-VLOOKUP($B93,'недельное планирование'!$B:$CA,AC$3,FALSE)</f>
        <v>0</v>
      </c>
      <c r="AD93" s="162">
        <f t="shared" si="120"/>
        <v>0</v>
      </c>
      <c r="AE93" s="212">
        <f t="shared" si="121"/>
        <v>0</v>
      </c>
      <c r="AF93" s="216">
        <f>-VLOOKUP($B93,'недельное планирование'!$B:$CA,AF$3,FALSE)</f>
        <v>0</v>
      </c>
      <c r="AG93" s="162">
        <f t="shared" si="122"/>
        <v>0</v>
      </c>
      <c r="AH93" s="212">
        <f t="shared" si="123"/>
        <v>0</v>
      </c>
      <c r="AI93" s="216" t="e">
        <f>-VLOOKUP($B93,'недельное планирование'!$B:$CA,AI$3,FALSE)</f>
        <v>#N/A</v>
      </c>
      <c r="AJ93" s="162" t="e">
        <f t="shared" si="124"/>
        <v>#N/A</v>
      </c>
      <c r="AK93" s="212" t="e">
        <f t="shared" si="125"/>
        <v>#N/A</v>
      </c>
      <c r="AL93" s="216" t="e">
        <f>-VLOOKUP($B93,'недельное планирование'!$B:$CA,AL$3,FALSE)</f>
        <v>#N/A</v>
      </c>
      <c r="AM93" s="162" t="e">
        <f t="shared" si="126"/>
        <v>#N/A</v>
      </c>
      <c r="AN93" s="212" t="e">
        <f t="shared" si="127"/>
        <v>#N/A</v>
      </c>
      <c r="AO93" s="216" t="e">
        <f>-VLOOKUP($B93,'недельное планирование'!$B:$CA,AO$3,FALSE)</f>
        <v>#N/A</v>
      </c>
      <c r="AP93" s="162" t="e">
        <f t="shared" si="128"/>
        <v>#N/A</v>
      </c>
      <c r="AQ93" s="212" t="e">
        <f t="shared" si="129"/>
        <v>#N/A</v>
      </c>
    </row>
    <row r="94" spans="1:43" ht="24" customHeight="1">
      <c r="A94" s="150" t="s">
        <v>20</v>
      </c>
      <c r="B94" s="220" t="s">
        <v>139</v>
      </c>
      <c r="C94" s="239">
        <v>36</v>
      </c>
      <c r="D94" s="239">
        <v>44.1</v>
      </c>
      <c r="E94" s="216">
        <f>-VLOOKUP($B94,'недельное планирование'!$B:$CA,E$3,FALSE)</f>
        <v>0</v>
      </c>
      <c r="F94" s="162">
        <f t="shared" si="104"/>
        <v>0</v>
      </c>
      <c r="G94" s="212">
        <f t="shared" si="105"/>
        <v>0</v>
      </c>
      <c r="H94" s="216">
        <f>-VLOOKUP($B94,'недельное планирование'!$B:$CA,H$3,FALSE)</f>
        <v>0</v>
      </c>
      <c r="I94" s="162">
        <f t="shared" si="106"/>
        <v>0</v>
      </c>
      <c r="J94" s="212">
        <f t="shared" si="107"/>
        <v>0</v>
      </c>
      <c r="K94" s="216">
        <f>-VLOOKUP($B94,'недельное планирование'!$B:$CA,K$3,FALSE)</f>
        <v>0</v>
      </c>
      <c r="L94" s="162">
        <f t="shared" si="108"/>
        <v>0</v>
      </c>
      <c r="M94" s="212">
        <f t="shared" si="109"/>
        <v>0</v>
      </c>
      <c r="N94" s="216">
        <f>-VLOOKUP($B94,'недельное планирование'!$B:$CA,N$3,FALSE)</f>
        <v>0</v>
      </c>
      <c r="O94" s="162">
        <f t="shared" si="110"/>
        <v>0</v>
      </c>
      <c r="P94" s="212">
        <f t="shared" si="111"/>
        <v>0</v>
      </c>
      <c r="Q94" s="216">
        <f>-VLOOKUP($B94,'недельное планирование'!$B:$CA,Q$3,FALSE)</f>
        <v>0</v>
      </c>
      <c r="R94" s="162">
        <f t="shared" si="112"/>
        <v>0</v>
      </c>
      <c r="S94" s="212">
        <f t="shared" si="113"/>
        <v>0</v>
      </c>
      <c r="T94" s="216">
        <f>-VLOOKUP($B94,'недельное планирование'!$B:$CA,T$3,FALSE)</f>
        <v>0</v>
      </c>
      <c r="U94" s="162">
        <f t="shared" si="114"/>
        <v>0</v>
      </c>
      <c r="V94" s="212">
        <f t="shared" si="115"/>
        <v>0</v>
      </c>
      <c r="W94" s="216">
        <f>-VLOOKUP($B94,'недельное планирование'!$B:$CA,W$3,FALSE)</f>
        <v>0</v>
      </c>
      <c r="X94" s="162">
        <f t="shared" si="116"/>
        <v>0</v>
      </c>
      <c r="Y94" s="212">
        <f t="shared" si="117"/>
        <v>0</v>
      </c>
      <c r="Z94" s="216">
        <f>-VLOOKUP($B94,'недельное планирование'!$B:$CA,Z$3,FALSE)</f>
        <v>300</v>
      </c>
      <c r="AA94" s="162">
        <f t="shared" si="118"/>
        <v>318.92326235435922</v>
      </c>
      <c r="AB94" s="212">
        <f t="shared" si="119"/>
        <v>-285.25914021695462</v>
      </c>
      <c r="AC94" s="216">
        <f>-VLOOKUP($B94,'недельное планирование'!$B:$CA,AC$3,FALSE)</f>
        <v>600</v>
      </c>
      <c r="AD94" s="162">
        <f t="shared" si="120"/>
        <v>637.84652470871845</v>
      </c>
      <c r="AE94" s="212">
        <f t="shared" si="121"/>
        <v>-570.51828043390924</v>
      </c>
      <c r="AF94" s="216">
        <f>-VLOOKUP($B94,'недельное планирование'!$B:$CA,AF$3,FALSE)</f>
        <v>0</v>
      </c>
      <c r="AG94" s="162">
        <f t="shared" si="122"/>
        <v>0</v>
      </c>
      <c r="AH94" s="212">
        <f t="shared" si="123"/>
        <v>0</v>
      </c>
      <c r="AI94" s="216" t="e">
        <f>-VLOOKUP($B94,'недельное планирование'!$B:$CA,AI$3,FALSE)</f>
        <v>#N/A</v>
      </c>
      <c r="AJ94" s="162" t="e">
        <f t="shared" si="124"/>
        <v>#N/A</v>
      </c>
      <c r="AK94" s="212" t="e">
        <f t="shared" si="125"/>
        <v>#N/A</v>
      </c>
      <c r="AL94" s="216" t="e">
        <f>-VLOOKUP($B94,'недельное планирование'!$B:$CA,AL$3,FALSE)</f>
        <v>#N/A</v>
      </c>
      <c r="AM94" s="162" t="e">
        <f t="shared" si="126"/>
        <v>#N/A</v>
      </c>
      <c r="AN94" s="212" t="e">
        <f t="shared" si="127"/>
        <v>#N/A</v>
      </c>
      <c r="AO94" s="216" t="e">
        <f>-VLOOKUP($B94,'недельное планирование'!$B:$CA,AO$3,FALSE)</f>
        <v>#N/A</v>
      </c>
      <c r="AP94" s="162" t="e">
        <f t="shared" si="128"/>
        <v>#N/A</v>
      </c>
      <c r="AQ94" s="212" t="e">
        <f t="shared" si="129"/>
        <v>#N/A</v>
      </c>
    </row>
    <row r="95" spans="1:43" ht="24" customHeight="1">
      <c r="A95" s="150" t="s">
        <v>20</v>
      </c>
      <c r="B95" s="220" t="s">
        <v>156</v>
      </c>
      <c r="C95" s="239">
        <v>36</v>
      </c>
      <c r="D95" s="239">
        <v>44.1</v>
      </c>
      <c r="E95" s="216">
        <f>-VLOOKUP($B95,'недельное планирование'!$B:$CA,E$3,FALSE)</f>
        <v>1000</v>
      </c>
      <c r="F95" s="162">
        <f t="shared" si="104"/>
        <v>1063.0775411811974</v>
      </c>
      <c r="G95" s="212">
        <f t="shared" si="105"/>
        <v>-950.86380072318207</v>
      </c>
      <c r="H95" s="216">
        <f>-VLOOKUP($B95,'недельное планирование'!$B:$CA,H$3,FALSE)</f>
        <v>0</v>
      </c>
      <c r="I95" s="162">
        <f t="shared" si="106"/>
        <v>0</v>
      </c>
      <c r="J95" s="212">
        <f t="shared" si="107"/>
        <v>0</v>
      </c>
      <c r="K95" s="216">
        <f>-VLOOKUP($B95,'недельное планирование'!$B:$CA,K$3,FALSE)</f>
        <v>1000</v>
      </c>
      <c r="L95" s="162">
        <f t="shared" si="108"/>
        <v>1063.0775411811974</v>
      </c>
      <c r="M95" s="212">
        <f t="shared" si="109"/>
        <v>-950.86380072318207</v>
      </c>
      <c r="N95" s="216">
        <f>-VLOOKUP($B95,'недельное планирование'!$B:$CA,N$3,FALSE)</f>
        <v>0</v>
      </c>
      <c r="O95" s="162">
        <f t="shared" si="110"/>
        <v>0</v>
      </c>
      <c r="P95" s="212">
        <f t="shared" si="111"/>
        <v>0</v>
      </c>
      <c r="Q95" s="216">
        <f>-VLOOKUP($B95,'недельное планирование'!$B:$CA,Q$3,FALSE)</f>
        <v>0</v>
      </c>
      <c r="R95" s="162">
        <f t="shared" si="112"/>
        <v>0</v>
      </c>
      <c r="S95" s="212">
        <f t="shared" si="113"/>
        <v>0</v>
      </c>
      <c r="T95" s="216">
        <f>-VLOOKUP($B95,'недельное планирование'!$B:$CA,T$3,FALSE)</f>
        <v>0</v>
      </c>
      <c r="U95" s="162">
        <f t="shared" si="114"/>
        <v>0</v>
      </c>
      <c r="V95" s="212">
        <f t="shared" si="115"/>
        <v>0</v>
      </c>
      <c r="W95" s="216">
        <f>-VLOOKUP($B95,'недельное планирование'!$B:$CA,W$3,FALSE)</f>
        <v>0</v>
      </c>
      <c r="X95" s="162">
        <f t="shared" si="116"/>
        <v>0</v>
      </c>
      <c r="Y95" s="212">
        <f t="shared" si="117"/>
        <v>0</v>
      </c>
      <c r="Z95" s="216">
        <f>-VLOOKUP($B95,'недельное планирование'!$B:$CA,Z$3,FALSE)</f>
        <v>0</v>
      </c>
      <c r="AA95" s="162">
        <f t="shared" si="118"/>
        <v>0</v>
      </c>
      <c r="AB95" s="212">
        <f t="shared" si="119"/>
        <v>0</v>
      </c>
      <c r="AC95" s="216">
        <f>-VLOOKUP($B95,'недельное планирование'!$B:$CA,AC$3,FALSE)</f>
        <v>600</v>
      </c>
      <c r="AD95" s="162">
        <f t="shared" si="120"/>
        <v>637.84652470871845</v>
      </c>
      <c r="AE95" s="212">
        <f t="shared" si="121"/>
        <v>-570.51828043390924</v>
      </c>
      <c r="AF95" s="216">
        <f>-VLOOKUP($B95,'недельное планирование'!$B:$CA,AF$3,FALSE)</f>
        <v>1000</v>
      </c>
      <c r="AG95" s="162">
        <f t="shared" si="122"/>
        <v>1063.0775411811974</v>
      </c>
      <c r="AH95" s="212">
        <f t="shared" si="123"/>
        <v>-950.86380072318207</v>
      </c>
      <c r="AI95" s="216" t="e">
        <f>-VLOOKUP($B95,'недельное планирование'!$B:$CA,AI$3,FALSE)</f>
        <v>#N/A</v>
      </c>
      <c r="AJ95" s="162" t="e">
        <f t="shared" si="124"/>
        <v>#N/A</v>
      </c>
      <c r="AK95" s="212" t="e">
        <f t="shared" si="125"/>
        <v>#N/A</v>
      </c>
      <c r="AL95" s="216" t="e">
        <f>-VLOOKUP($B95,'недельное планирование'!$B:$CA,AL$3,FALSE)</f>
        <v>#N/A</v>
      </c>
      <c r="AM95" s="162" t="e">
        <f t="shared" si="126"/>
        <v>#N/A</v>
      </c>
      <c r="AN95" s="212" t="e">
        <f t="shared" si="127"/>
        <v>#N/A</v>
      </c>
      <c r="AO95" s="216" t="e">
        <f>-VLOOKUP($B95,'недельное планирование'!$B:$CA,AO$3,FALSE)</f>
        <v>#N/A</v>
      </c>
      <c r="AP95" s="162" t="e">
        <f t="shared" si="128"/>
        <v>#N/A</v>
      </c>
      <c r="AQ95" s="212" t="e">
        <f t="shared" si="129"/>
        <v>#N/A</v>
      </c>
    </row>
    <row r="96" spans="1:43" ht="24" customHeight="1">
      <c r="A96" s="150" t="s">
        <v>81</v>
      </c>
      <c r="B96" s="220" t="s">
        <v>141</v>
      </c>
      <c r="C96" s="239"/>
      <c r="D96" s="239"/>
      <c r="E96" s="216">
        <f>-VLOOKUP($B96,'недельное планирование'!$B:$CA,E$3,FALSE)</f>
        <v>0</v>
      </c>
      <c r="F96" s="162">
        <f t="shared" si="104"/>
        <v>0</v>
      </c>
      <c r="G96" s="212">
        <f t="shared" si="105"/>
        <v>0</v>
      </c>
      <c r="H96" s="216">
        <f>-VLOOKUP($B96,'недельное планирование'!$B:$CA,H$3,FALSE)</f>
        <v>500</v>
      </c>
      <c r="I96" s="162">
        <f t="shared" si="106"/>
        <v>0</v>
      </c>
      <c r="J96" s="212">
        <f t="shared" si="107"/>
        <v>0</v>
      </c>
      <c r="K96" s="216">
        <f>-VLOOKUP($B96,'недельное планирование'!$B:$CA,K$3,FALSE)</f>
        <v>0</v>
      </c>
      <c r="L96" s="162">
        <f t="shared" si="108"/>
        <v>0</v>
      </c>
      <c r="M96" s="212">
        <f t="shared" si="109"/>
        <v>0</v>
      </c>
      <c r="N96" s="216">
        <f>-VLOOKUP($B96,'недельное планирование'!$B:$CA,N$3,FALSE)</f>
        <v>0</v>
      </c>
      <c r="O96" s="162">
        <f t="shared" si="110"/>
        <v>0</v>
      </c>
      <c r="P96" s="212">
        <f t="shared" si="111"/>
        <v>0</v>
      </c>
      <c r="Q96" s="216">
        <f>-VLOOKUP($B96,'недельное планирование'!$B:$CA,Q$3,FALSE)</f>
        <v>500</v>
      </c>
      <c r="R96" s="162">
        <f t="shared" si="112"/>
        <v>0</v>
      </c>
      <c r="S96" s="212">
        <f t="shared" si="113"/>
        <v>0</v>
      </c>
      <c r="T96" s="216">
        <f>-VLOOKUP($B96,'недельное планирование'!$B:$CA,T$3,FALSE)</f>
        <v>0</v>
      </c>
      <c r="U96" s="162">
        <f t="shared" si="114"/>
        <v>0</v>
      </c>
      <c r="V96" s="212">
        <f t="shared" si="115"/>
        <v>0</v>
      </c>
      <c r="W96" s="216">
        <f>-VLOOKUP($B96,'недельное планирование'!$B:$CA,W$3,FALSE)</f>
        <v>0</v>
      </c>
      <c r="X96" s="162">
        <f t="shared" si="116"/>
        <v>0</v>
      </c>
      <c r="Y96" s="212">
        <f t="shared" si="117"/>
        <v>0</v>
      </c>
      <c r="Z96" s="216">
        <f>-VLOOKUP($B96,'недельное планирование'!$B:$CA,Z$3,FALSE)</f>
        <v>300</v>
      </c>
      <c r="AA96" s="162">
        <f t="shared" si="118"/>
        <v>0</v>
      </c>
      <c r="AB96" s="212">
        <f t="shared" si="119"/>
        <v>0</v>
      </c>
      <c r="AC96" s="216">
        <f>-VLOOKUP($B96,'недельное планирование'!$B:$CA,AC$3,FALSE)</f>
        <v>0</v>
      </c>
      <c r="AD96" s="162">
        <f t="shared" si="120"/>
        <v>0</v>
      </c>
      <c r="AE96" s="212">
        <f t="shared" si="121"/>
        <v>0</v>
      </c>
      <c r="AF96" s="216">
        <f>-VLOOKUP($B96,'недельное планирование'!$B:$CA,AF$3,FALSE)</f>
        <v>0</v>
      </c>
      <c r="AG96" s="162">
        <f t="shared" si="122"/>
        <v>0</v>
      </c>
      <c r="AH96" s="212">
        <f t="shared" si="123"/>
        <v>0</v>
      </c>
      <c r="AI96" s="216" t="e">
        <f>-VLOOKUP($B96,'недельное планирование'!$B:$CA,AI$3,FALSE)</f>
        <v>#N/A</v>
      </c>
      <c r="AJ96" s="162" t="e">
        <f t="shared" si="124"/>
        <v>#N/A</v>
      </c>
      <c r="AK96" s="212" t="e">
        <f t="shared" si="125"/>
        <v>#N/A</v>
      </c>
      <c r="AL96" s="216" t="e">
        <f>-VLOOKUP($B96,'недельное планирование'!$B:$CA,AL$3,FALSE)</f>
        <v>#N/A</v>
      </c>
      <c r="AM96" s="162" t="e">
        <f t="shared" si="126"/>
        <v>#N/A</v>
      </c>
      <c r="AN96" s="212" t="e">
        <f t="shared" si="127"/>
        <v>#N/A</v>
      </c>
      <c r="AO96" s="216" t="e">
        <f>-VLOOKUP($B96,'недельное планирование'!$B:$CA,AO$3,FALSE)</f>
        <v>#N/A</v>
      </c>
      <c r="AP96" s="162" t="e">
        <f t="shared" si="128"/>
        <v>#N/A</v>
      </c>
      <c r="AQ96" s="212" t="e">
        <f t="shared" si="129"/>
        <v>#N/A</v>
      </c>
    </row>
    <row r="97" spans="1:43" ht="24" customHeight="1">
      <c r="A97" s="150" t="s">
        <v>88</v>
      </c>
      <c r="B97" s="220" t="s">
        <v>101</v>
      </c>
      <c r="C97" s="239">
        <v>36</v>
      </c>
      <c r="D97" s="239">
        <v>88.4</v>
      </c>
      <c r="E97" s="216">
        <f>-VLOOKUP($B97,'недельное планирование'!$B:$CA,E$3,FALSE)</f>
        <v>0</v>
      </c>
      <c r="F97" s="162">
        <f t="shared" si="104"/>
        <v>0</v>
      </c>
      <c r="G97" s="212">
        <f t="shared" si="105"/>
        <v>0</v>
      </c>
      <c r="H97" s="216">
        <f>-VLOOKUP($B97,'недельное планирование'!$B:$CA,H$3,FALSE)</f>
        <v>0</v>
      </c>
      <c r="I97" s="162">
        <f t="shared" si="106"/>
        <v>0</v>
      </c>
      <c r="J97" s="212">
        <f t="shared" si="107"/>
        <v>0</v>
      </c>
      <c r="K97" s="216">
        <f>-VLOOKUP($B97,'недельное планирование'!$B:$CA,K$3,FALSE)</f>
        <v>0</v>
      </c>
      <c r="L97" s="162">
        <f t="shared" si="108"/>
        <v>0</v>
      </c>
      <c r="M97" s="212">
        <f t="shared" si="109"/>
        <v>0</v>
      </c>
      <c r="N97" s="216">
        <f>-VLOOKUP($B97,'недельное планирование'!$B:$CA,N$3,FALSE)</f>
        <v>0</v>
      </c>
      <c r="O97" s="162">
        <f t="shared" si="110"/>
        <v>0</v>
      </c>
      <c r="P97" s="212">
        <f t="shared" si="111"/>
        <v>0</v>
      </c>
      <c r="Q97" s="216">
        <f>-VLOOKUP($B97,'недельное планирование'!$B:$CA,Q$3,FALSE)</f>
        <v>0</v>
      </c>
      <c r="R97" s="162">
        <f t="shared" si="112"/>
        <v>0</v>
      </c>
      <c r="S97" s="212">
        <f t="shared" si="113"/>
        <v>0</v>
      </c>
      <c r="T97" s="216">
        <f>-VLOOKUP($B97,'недельное планирование'!$B:$CA,T$3,FALSE)</f>
        <v>0</v>
      </c>
      <c r="U97" s="162">
        <f t="shared" si="114"/>
        <v>0</v>
      </c>
      <c r="V97" s="212">
        <f t="shared" si="115"/>
        <v>0</v>
      </c>
      <c r="W97" s="216">
        <f>-VLOOKUP($B97,'недельное планирование'!$B:$CA,W$3,FALSE)</f>
        <v>0</v>
      </c>
      <c r="X97" s="162">
        <f t="shared" si="116"/>
        <v>0</v>
      </c>
      <c r="Y97" s="212">
        <f t="shared" si="117"/>
        <v>0</v>
      </c>
      <c r="Z97" s="216">
        <f>-VLOOKUP($B97,'недельное планирование'!$B:$CA,Z$3,FALSE)</f>
        <v>0</v>
      </c>
      <c r="AA97" s="162">
        <f t="shared" si="118"/>
        <v>0</v>
      </c>
      <c r="AB97" s="212">
        <f t="shared" si="119"/>
        <v>0</v>
      </c>
      <c r="AC97" s="216">
        <f>-VLOOKUP($B97,'недельное планирование'!$B:$CA,AC$3,FALSE)</f>
        <v>0</v>
      </c>
      <c r="AD97" s="162">
        <f t="shared" si="120"/>
        <v>0</v>
      </c>
      <c r="AE97" s="212">
        <f t="shared" si="121"/>
        <v>0</v>
      </c>
      <c r="AF97" s="216">
        <f>-VLOOKUP($B97,'недельное планирование'!$B:$CA,AF$3,FALSE)</f>
        <v>0</v>
      </c>
      <c r="AG97" s="162">
        <f t="shared" si="122"/>
        <v>0</v>
      </c>
      <c r="AH97" s="212">
        <f t="shared" si="123"/>
        <v>0</v>
      </c>
      <c r="AI97" s="216">
        <f>-VLOOKUP($B97,'недельное планирование'!$B:$CA,AI$3,FALSE)</f>
        <v>57.6</v>
      </c>
      <c r="AJ97" s="162">
        <f t="shared" si="124"/>
        <v>122.74423463238251</v>
      </c>
      <c r="AK97" s="212">
        <f t="shared" si="125"/>
        <v>-109.78789875451992</v>
      </c>
      <c r="AL97" s="216">
        <f>-VLOOKUP($B97,'недельное планирование'!$B:$CA,AL$3,FALSE)</f>
        <v>57.6</v>
      </c>
      <c r="AM97" s="162">
        <f t="shared" si="126"/>
        <v>122.74423463238251</v>
      </c>
      <c r="AN97" s="212">
        <f t="shared" si="127"/>
        <v>-109.78789875451992</v>
      </c>
      <c r="AO97" s="216">
        <f>-VLOOKUP($B97,'недельное планирование'!$B:$CA,AO$3,FALSE)</f>
        <v>57.6</v>
      </c>
      <c r="AP97" s="162">
        <f t="shared" si="128"/>
        <v>122.74423463238251</v>
      </c>
      <c r="AQ97" s="212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39">
        <v>36</v>
      </c>
      <c r="D98" s="239">
        <v>44.1</v>
      </c>
      <c r="E98" s="216">
        <f>-VLOOKUP($B98,'недельное планирование'!$B:$CA,E$3,FALSE)</f>
        <v>240</v>
      </c>
      <c r="F98" s="162">
        <f>$D98*100/($C98+$C$3)*E98/1000*$C98/$C$2</f>
        <v>255.13860988348736</v>
      </c>
      <c r="G98" s="212">
        <f>$D98*100/($C98+$C$3)*E98/1000-F98</f>
        <v>-228.20731217356371</v>
      </c>
      <c r="H98" s="216">
        <f>-VLOOKUP($B98,'недельное планирование'!$B:$CA,H$3,FALSE)</f>
        <v>0</v>
      </c>
      <c r="I98" s="162">
        <f>$D98*100/($C98+$C$3)*H98/1000*$C98/$C$2</f>
        <v>0</v>
      </c>
      <c r="J98" s="212">
        <f>$D98*100/($C98+$C$3)*H98/1000-I98</f>
        <v>0</v>
      </c>
      <c r="K98" s="216">
        <f>-VLOOKUP($B98,'недельное планирование'!$B:$CA,K$3,FALSE)</f>
        <v>0</v>
      </c>
      <c r="L98" s="162">
        <f>$D98*100/($C98+$C$3)*K98/1000*$C98/$C$2</f>
        <v>0</v>
      </c>
      <c r="M98" s="212">
        <f>$D98*100/($C98+$C$3)*K98/1000-L98</f>
        <v>0</v>
      </c>
      <c r="N98" s="216">
        <f>-VLOOKUP($B98,'недельное планирование'!$B:$CA,N$3,FALSE)</f>
        <v>100</v>
      </c>
      <c r="O98" s="162">
        <f>$D98*100/($C98+$C$3)*N98/1000*$C98/$C$2</f>
        <v>106.30775411811973</v>
      </c>
      <c r="P98" s="212">
        <f>$D98*100/($C98+$C$3)*N98/1000-O98</f>
        <v>-95.086380072318207</v>
      </c>
      <c r="Q98" s="216">
        <f>-VLOOKUP($B98,'недельное планирование'!$B:$CA,Q$3,FALSE)</f>
        <v>0</v>
      </c>
      <c r="R98" s="162">
        <f>$D98*100/($C98+$C$3)*Q98/1000*$C98/$C$2</f>
        <v>0</v>
      </c>
      <c r="S98" s="212">
        <f>$D98*100/($C98+$C$3)*Q98/1000-R98</f>
        <v>0</v>
      </c>
      <c r="T98" s="216">
        <f>-VLOOKUP($B98,'недельное планирование'!$B:$CA,T$3,FALSE)</f>
        <v>0</v>
      </c>
      <c r="U98" s="162">
        <f>$D98*100/($C98+$C$3)*T98/1000*$C98/$C$2</f>
        <v>0</v>
      </c>
      <c r="V98" s="212">
        <f>$D98*100/($C98+$C$3)*T98/1000-U98</f>
        <v>0</v>
      </c>
      <c r="W98" s="216">
        <f>-VLOOKUP($B98,'недельное планирование'!$B:$CA,W$3,FALSE)</f>
        <v>0</v>
      </c>
      <c r="X98" s="162">
        <f>$D98*100/($C98+$C$3)*W98/1000*$C98/$C$2</f>
        <v>0</v>
      </c>
      <c r="Y98" s="212">
        <f>$D98*100/($C98+$C$3)*W98/1000-X98</f>
        <v>0</v>
      </c>
      <c r="Z98" s="216">
        <f>-VLOOKUP($B98,'недельное планирование'!$B:$CA,Z$3,FALSE)</f>
        <v>0</v>
      </c>
      <c r="AA98" s="162">
        <f>$D98*100/($C98+$C$3)*Z98/1000*$C98/$C$2</f>
        <v>0</v>
      </c>
      <c r="AB98" s="212">
        <f>$D98*100/($C98+$C$3)*Z98/1000-AA98</f>
        <v>0</v>
      </c>
      <c r="AC98" s="216">
        <f>-VLOOKUP($B98,'недельное планирование'!$B:$CA,AC$3,FALSE)</f>
        <v>0</v>
      </c>
      <c r="AD98" s="162">
        <f>$D98*100/($C98+$C$3)*AC98/1000*$C98/$C$2</f>
        <v>0</v>
      </c>
      <c r="AE98" s="212">
        <f>$D98*100/($C98+$C$3)*AC98/1000-AD98</f>
        <v>0</v>
      </c>
      <c r="AF98" s="216">
        <f>-VLOOKUP($B98,'недельное планирование'!$B:$CA,AF$3,FALSE)</f>
        <v>0</v>
      </c>
      <c r="AG98" s="162">
        <f>$D98*100/($C98+$C$3)*AF98/1000*$C98/$C$2</f>
        <v>0</v>
      </c>
      <c r="AH98" s="212">
        <f>$D98*100/($C98+$C$3)*AF98/1000-AG98</f>
        <v>0</v>
      </c>
      <c r="AI98" s="216" t="e">
        <f>-VLOOKUP($B98,'недельное планирование'!$B:$CA,AI$3,FALSE)</f>
        <v>#N/A</v>
      </c>
      <c r="AJ98" s="162" t="e">
        <f>$D98*100/($C98+$C$3)*AI98/1000*$C98/$C$2</f>
        <v>#N/A</v>
      </c>
      <c r="AK98" s="212" t="e">
        <f>$D98*100/($C98+$C$3)*AI98/1000-AJ98</f>
        <v>#N/A</v>
      </c>
      <c r="AL98" s="216" t="e">
        <f>-VLOOKUP($B98,'недельное планирование'!$B:$CA,AL$3,FALSE)</f>
        <v>#N/A</v>
      </c>
      <c r="AM98" s="162" t="e">
        <f>$D98*100/($C98+$C$3)*AL98/1000*$C98/$C$2</f>
        <v>#N/A</v>
      </c>
      <c r="AN98" s="212" t="e">
        <f>$D98*100/($C98+$C$3)*AL98/1000-AM98</f>
        <v>#N/A</v>
      </c>
      <c r="AO98" s="216" t="e">
        <f>-VLOOKUP($B98,'недельное планирование'!$B:$CA,AO$3,FALSE)</f>
        <v>#N/A</v>
      </c>
      <c r="AP98" s="162" t="e">
        <f>$D98*100/($C98+$C$3)*AO98/1000*$C98/$C$2</f>
        <v>#N/A</v>
      </c>
      <c r="AQ98" s="212" t="e">
        <f>$D98*100/($C98+$C$3)*AO98/1000-AP98</f>
        <v>#N/A</v>
      </c>
    </row>
    <row r="99" spans="1:43" ht="24" customHeight="1">
      <c r="A99" s="150"/>
      <c r="B99" s="220"/>
      <c r="C99" s="239"/>
      <c r="D99" s="239"/>
      <c r="E99" s="216"/>
      <c r="F99" s="162"/>
      <c r="G99" s="212"/>
      <c r="H99" s="216"/>
      <c r="I99" s="162"/>
      <c r="J99" s="212"/>
      <c r="K99" s="216"/>
      <c r="L99" s="162"/>
      <c r="M99" s="212"/>
      <c r="N99" s="216"/>
      <c r="O99" s="162"/>
      <c r="P99" s="212"/>
      <c r="Q99" s="216"/>
      <c r="R99" s="162"/>
      <c r="S99" s="212"/>
      <c r="T99" s="216"/>
      <c r="U99" s="162"/>
      <c r="V99" s="212"/>
      <c r="W99" s="216"/>
      <c r="X99" s="162"/>
      <c r="Y99" s="212"/>
      <c r="Z99" s="216"/>
      <c r="AA99" s="162"/>
      <c r="AB99" s="212"/>
      <c r="AC99" s="216"/>
      <c r="AD99" s="162"/>
      <c r="AE99" s="212"/>
      <c r="AF99" s="216"/>
      <c r="AG99" s="162"/>
      <c r="AH99" s="212"/>
      <c r="AI99" s="216"/>
      <c r="AJ99" s="162"/>
      <c r="AK99" s="212"/>
      <c r="AL99" s="216"/>
      <c r="AM99" s="162"/>
      <c r="AN99" s="212"/>
      <c r="AO99" s="216"/>
      <c r="AP99" s="162"/>
      <c r="AQ99" s="212"/>
    </row>
    <row r="100" spans="1:43" ht="24" customHeight="1">
      <c r="A100" s="150"/>
      <c r="B100" s="220"/>
      <c r="C100" s="239"/>
      <c r="D100" s="239"/>
      <c r="E100" s="216"/>
      <c r="F100" s="162"/>
      <c r="G100" s="212"/>
      <c r="H100" s="216"/>
      <c r="I100" s="162"/>
      <c r="J100" s="212"/>
      <c r="K100" s="216"/>
      <c r="L100" s="162"/>
      <c r="M100" s="212"/>
      <c r="N100" s="216"/>
      <c r="O100" s="162"/>
      <c r="P100" s="212"/>
      <c r="Q100" s="216"/>
      <c r="R100" s="162"/>
      <c r="S100" s="212"/>
      <c r="T100" s="216"/>
      <c r="U100" s="162"/>
      <c r="V100" s="212"/>
      <c r="W100" s="216"/>
      <c r="X100" s="162"/>
      <c r="Y100" s="212"/>
      <c r="Z100" s="216"/>
      <c r="AA100" s="162"/>
      <c r="AB100" s="212"/>
      <c r="AC100" s="216"/>
      <c r="AD100" s="162"/>
      <c r="AE100" s="212"/>
      <c r="AF100" s="216"/>
      <c r="AG100" s="162"/>
      <c r="AH100" s="212"/>
      <c r="AI100" s="216"/>
      <c r="AJ100" s="162"/>
      <c r="AK100" s="212"/>
      <c r="AL100" s="216"/>
      <c r="AM100" s="162"/>
      <c r="AN100" s="212"/>
      <c r="AO100" s="216"/>
      <c r="AP100" s="162"/>
      <c r="AQ100" s="212"/>
    </row>
    <row r="101" spans="1:43" s="211" customFormat="1" ht="24" customHeight="1">
      <c r="C101" s="238"/>
      <c r="D101" s="238"/>
      <c r="E101" s="214"/>
      <c r="F101" s="207"/>
      <c r="G101" s="207"/>
      <c r="H101" s="214"/>
      <c r="I101" s="207"/>
      <c r="J101" s="207"/>
      <c r="K101" s="214"/>
      <c r="L101" s="207"/>
      <c r="M101" s="207"/>
      <c r="N101" s="214"/>
      <c r="O101" s="207"/>
      <c r="P101" s="207"/>
      <c r="Q101" s="214"/>
      <c r="R101" s="207"/>
      <c r="S101" s="207"/>
      <c r="T101" s="214"/>
      <c r="U101" s="207"/>
      <c r="V101" s="207"/>
      <c r="W101" s="214"/>
      <c r="X101" s="207"/>
      <c r="Y101" s="207"/>
      <c r="Z101" s="214"/>
      <c r="AA101" s="207"/>
      <c r="AB101" s="207"/>
      <c r="AC101" s="214"/>
      <c r="AD101" s="207"/>
      <c r="AE101" s="207"/>
      <c r="AF101" s="214"/>
      <c r="AG101" s="207"/>
      <c r="AH101" s="207"/>
      <c r="AI101" s="214"/>
      <c r="AJ101" s="207"/>
      <c r="AK101" s="207"/>
      <c r="AL101" s="214"/>
      <c r="AM101" s="207"/>
      <c r="AN101" s="207"/>
      <c r="AO101" s="214"/>
      <c r="AP101" s="207"/>
      <c r="AQ101" s="207"/>
    </row>
    <row r="102" spans="1:43" ht="24" customHeight="1">
      <c r="A102" s="229" t="s">
        <v>19</v>
      </c>
      <c r="B102" s="227" t="s">
        <v>118</v>
      </c>
      <c r="C102" s="239">
        <v>17</v>
      </c>
      <c r="D102" s="239">
        <v>365</v>
      </c>
      <c r="E102" s="216">
        <f>-VLOOKUP($B102,'недельное планирование'!$B:$CA,E$3,FALSE)</f>
        <v>0</v>
      </c>
      <c r="F102" s="162">
        <f>$D102*100/($C102+$C$3)*E102/1000*$C102/$C$2</f>
        <v>0</v>
      </c>
      <c r="G102" s="212">
        <f>$D102*100/($C102+$C$3)*E102/1000-F102</f>
        <v>0</v>
      </c>
      <c r="H102" s="216">
        <f>-VLOOKUP($B102,'недельное планирование'!$B:$CA,H$3,FALSE)</f>
        <v>0</v>
      </c>
      <c r="I102" s="162">
        <f>$D102*100/($C102+$C$3)*H102/1000*$C102/$C$2</f>
        <v>0</v>
      </c>
      <c r="J102" s="212">
        <f>$D102*100/($C102+$C$3)*H102/1000-I102</f>
        <v>0</v>
      </c>
      <c r="K102" s="216">
        <f>-VLOOKUP($B102,'недельное планирование'!$B:$CA,K$3,FALSE)</f>
        <v>0</v>
      </c>
      <c r="L102" s="162">
        <f>$D102*100/($C102+$C$3)*K102/1000*$C102/$C$2</f>
        <v>0</v>
      </c>
      <c r="M102" s="212">
        <f>$D102*100/($C102+$C$3)*K102/1000-L102</f>
        <v>0</v>
      </c>
      <c r="N102" s="216">
        <f>-VLOOKUP($B102,'недельное планирование'!$B:$CA,N$3,FALSE)</f>
        <v>0</v>
      </c>
      <c r="O102" s="162">
        <f>$D102*100/($C102+$C$3)*N102/1000*$C102/$C$2</f>
        <v>0</v>
      </c>
      <c r="P102" s="212">
        <f>$D102*100/($C102+$C$3)*N102/1000-O102</f>
        <v>0</v>
      </c>
      <c r="Q102" s="216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2">
        <f>$D102*100/($C102+$C$3)*Q102/1000-R102</f>
        <v>-624.57868809955914</v>
      </c>
      <c r="T102" s="216">
        <f>-VLOOKUP($B102,'недельное планирование'!$B:$CA,T$3,FALSE)</f>
        <v>0</v>
      </c>
      <c r="U102" s="162">
        <f>$D102*100/($C102+$C$3)*T102/1000*$C102/$C$2</f>
        <v>0</v>
      </c>
      <c r="V102" s="212">
        <f>$D102*100/($C102+$C$3)*T102/1000-U102</f>
        <v>0</v>
      </c>
      <c r="W102" s="216">
        <f>-VLOOKUP($B102,'недельное планирование'!$B:$CA,W$3,FALSE)</f>
        <v>0</v>
      </c>
      <c r="X102" s="162">
        <f>$D102*100/($C102+$C$3)*W102/1000*$C102/$C$2</f>
        <v>0</v>
      </c>
      <c r="Y102" s="212">
        <f>$D102*100/($C102+$C$3)*W102/1000-X102</f>
        <v>0</v>
      </c>
      <c r="Z102" s="216">
        <f>-VLOOKUP($B102,'недельное планирование'!$B:$CA,Z$3,FALSE)</f>
        <v>0</v>
      </c>
      <c r="AA102" s="162">
        <f>$D102*100/($C102+$C$3)*Z102/1000*$C102/$C$2</f>
        <v>0</v>
      </c>
      <c r="AB102" s="212">
        <f>$D102*100/($C102+$C$3)*Z102/1000-AA102</f>
        <v>0</v>
      </c>
      <c r="AC102" s="216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2">
        <f>$D102*100/($C102+$C$3)*AC102/1000-AD102</f>
        <v>-312.28934404977957</v>
      </c>
      <c r="AF102" s="216">
        <f>-VLOOKUP($B102,'недельное планирование'!$B:$CA,AF$3,FALSE)</f>
        <v>0</v>
      </c>
      <c r="AG102" s="162">
        <f>$D102*100/($C102+$C$3)*AF102/1000*$C102/$C$2</f>
        <v>0</v>
      </c>
      <c r="AH102" s="212">
        <f>$D102*100/($C102+$C$3)*AF102/1000-AG102</f>
        <v>0</v>
      </c>
      <c r="AI102" s="216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2" t="e">
        <f>$D102*100/($C102+$C$3)*AI102/1000-AJ102</f>
        <v>#N/A</v>
      </c>
      <c r="AL102" s="216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2" t="e">
        <f>$D102*100/($C102+$C$3)*AL102/1000-AM102</f>
        <v>#N/A</v>
      </c>
      <c r="AO102" s="216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2" t="e">
        <f>$D102*100/($C102+$C$3)*AO102/1000-AP102</f>
        <v>#N/A</v>
      </c>
    </row>
    <row r="103" spans="1:43" ht="24" customHeight="1">
      <c r="A103" s="229" t="s">
        <v>20</v>
      </c>
      <c r="B103" s="227" t="s">
        <v>176</v>
      </c>
      <c r="C103" s="239">
        <v>17</v>
      </c>
      <c r="D103" s="239">
        <v>365</v>
      </c>
      <c r="E103" s="216">
        <f>-VLOOKUP($B103,'недельное планирование'!$B:$CA,E$3,FALSE)</f>
        <v>0</v>
      </c>
      <c r="F103" s="162">
        <f>$D103*100/($C103+$C$3)*E103/1000*$C103/$C$2</f>
        <v>0</v>
      </c>
      <c r="G103" s="212">
        <f>$D103*100/($C103+$C$3)*E103/1000-F103</f>
        <v>0</v>
      </c>
      <c r="H103" s="216">
        <f>-VLOOKUP($B103,'недельное планирование'!$B:$CA,H$3,FALSE)</f>
        <v>0</v>
      </c>
      <c r="I103" s="162">
        <f>$D103*100/($C103+$C$3)*H103/1000*$C103/$C$2</f>
        <v>0</v>
      </c>
      <c r="J103" s="212">
        <f>$D103*100/($C103+$C$3)*H103/1000-I103</f>
        <v>0</v>
      </c>
      <c r="K103" s="216">
        <f>-VLOOKUP($B103,'недельное планирование'!$B:$CA,K$3,FALSE)</f>
        <v>0</v>
      </c>
      <c r="L103" s="162">
        <f>$D103*100/($C103+$C$3)*K103/1000*$C103/$C$2</f>
        <v>0</v>
      </c>
      <c r="M103" s="212">
        <f>$D103*100/($C103+$C$3)*K103/1000-L103</f>
        <v>0</v>
      </c>
      <c r="N103" s="216">
        <f>-VLOOKUP($B103,'недельное планирование'!$B:$CA,N$3,FALSE)</f>
        <v>0</v>
      </c>
      <c r="O103" s="162">
        <f>$D103*100/($C103+$C$3)*N103/1000*$C103/$C$2</f>
        <v>0</v>
      </c>
      <c r="P103" s="212">
        <f>$D103*100/($C103+$C$3)*N103/1000-O103</f>
        <v>0</v>
      </c>
      <c r="Q103" s="216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2">
        <f>$D103*100/($C103+$C$3)*Q103/1000-R103</f>
        <v>-624.57868809955914</v>
      </c>
      <c r="T103" s="216">
        <f>-VLOOKUP($B103,'недельное планирование'!$B:$CA,T$3,FALSE)</f>
        <v>0</v>
      </c>
      <c r="U103" s="162">
        <f>$D103*100/($C103+$C$3)*T103/1000*$C103/$C$2</f>
        <v>0</v>
      </c>
      <c r="V103" s="212">
        <f>$D103*100/($C103+$C$3)*T103/1000-U103</f>
        <v>0</v>
      </c>
      <c r="W103" s="216">
        <f>-VLOOKUP($B103,'недельное планирование'!$B:$CA,W$3,FALSE)</f>
        <v>0</v>
      </c>
      <c r="X103" s="162">
        <f>$D103*100/($C103+$C$3)*W103/1000*$C103/$C$2</f>
        <v>0</v>
      </c>
      <c r="Y103" s="212">
        <f>$D103*100/($C103+$C$3)*W103/1000-X103</f>
        <v>0</v>
      </c>
      <c r="Z103" s="216">
        <f>-VLOOKUP($B103,'недельное планирование'!$B:$CA,Z$3,FALSE)</f>
        <v>0</v>
      </c>
      <c r="AA103" s="162">
        <f>$D103*100/($C103+$C$3)*Z103/1000*$C103/$C$2</f>
        <v>0</v>
      </c>
      <c r="AB103" s="212">
        <f>$D103*100/($C103+$C$3)*Z103/1000-AA103</f>
        <v>0</v>
      </c>
      <c r="AC103" s="216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2">
        <f>$D103*100/($C103+$C$3)*AC103/1000-AD103</f>
        <v>-312.28934404977957</v>
      </c>
      <c r="AF103" s="216">
        <f>-VLOOKUP($B103,'недельное планирование'!$B:$CA,AF$3,FALSE)</f>
        <v>0</v>
      </c>
      <c r="AG103" s="162">
        <f>$D103*100/($C103+$C$3)*AF103/1000*$C103/$C$2</f>
        <v>0</v>
      </c>
      <c r="AH103" s="212">
        <f>$D103*100/($C103+$C$3)*AF103/1000-AG103</f>
        <v>0</v>
      </c>
      <c r="AI103" s="216">
        <f>-VLOOKUP($B103,'недельное планирование'!$B:$CA,AI$3,FALSE)</f>
        <v>586.95000000000016</v>
      </c>
      <c r="AJ103" s="162">
        <f>$D103*100/($C103+$C$3)*AI103/1000*$C103/$C$2</f>
        <v>4721.3180580762264</v>
      </c>
      <c r="AK103" s="212">
        <f>$D103*100/($C103+$C$3)*AI103/1000-AJ103</f>
        <v>-3665.9646098003641</v>
      </c>
      <c r="AL103" s="216">
        <f>-VLOOKUP($B103,'недельное планирование'!$B:$CA,AL$3,FALSE)</f>
        <v>5402.95</v>
      </c>
      <c r="AM103" s="162">
        <f>$D103*100/($C103+$C$3)*AL103/1000*$C103/$C$2</f>
        <v>43460.338021778582</v>
      </c>
      <c r="AN103" s="212">
        <f>$D103*100/($C103+$C$3)*AL103/1000-AM103</f>
        <v>-33745.674228675132</v>
      </c>
      <c r="AO103" s="216">
        <f>-VLOOKUP($B103,'недельное планирование'!$B:$CA,AO$3,FALSE)</f>
        <v>536.95000000000016</v>
      </c>
      <c r="AP103" s="162">
        <f>$D103*100/($C103+$C$3)*AO103/1000*$C103/$C$2</f>
        <v>4319.1272361939346</v>
      </c>
      <c r="AQ103" s="212">
        <f>$D103*100/($C103+$C$3)*AO103/1000-AP103</f>
        <v>-3353.6752657505849</v>
      </c>
    </row>
    <row r="104" spans="1:43" ht="24" customHeight="1">
      <c r="A104" s="229" t="s">
        <v>19</v>
      </c>
      <c r="B104" s="227" t="s">
        <v>119</v>
      </c>
      <c r="C104" s="239">
        <v>17</v>
      </c>
      <c r="D104" s="239">
        <v>365</v>
      </c>
      <c r="E104" s="216">
        <f>-VLOOKUP($B104,'недельное планирование'!$B:$CA,E$3,FALSE)</f>
        <v>0</v>
      </c>
      <c r="F104" s="162">
        <f>$D104*100/($C104+$C$3)*E104/1000*$C104/$C$2</f>
        <v>0</v>
      </c>
      <c r="G104" s="212">
        <f>$D104*100/($C104+$C$3)*E104/1000-F104</f>
        <v>0</v>
      </c>
      <c r="H104" s="216">
        <f>-VLOOKUP($B104,'недельное планирование'!$B:$CA,H$3,FALSE)</f>
        <v>0</v>
      </c>
      <c r="I104" s="162">
        <f>$D104*100/($C104+$C$3)*H104/1000*$C104/$C$2</f>
        <v>0</v>
      </c>
      <c r="J104" s="212">
        <f>$D104*100/($C104+$C$3)*H104/1000-I104</f>
        <v>0</v>
      </c>
      <c r="K104" s="216">
        <f>-VLOOKUP($B104,'недельное планирование'!$B:$CA,K$3,FALSE)</f>
        <v>0</v>
      </c>
      <c r="L104" s="162">
        <f>$D104*100/($C104+$C$3)*K104/1000*$C104/$C$2</f>
        <v>0</v>
      </c>
      <c r="M104" s="212">
        <f>$D104*100/($C104+$C$3)*K104/1000-L104</f>
        <v>0</v>
      </c>
      <c r="N104" s="216">
        <f>-VLOOKUP($B104,'недельное планирование'!$B:$CA,N$3,FALSE)</f>
        <v>0</v>
      </c>
      <c r="O104" s="162">
        <f>$D104*100/($C104+$C$3)*N104/1000*$C104/$C$2</f>
        <v>0</v>
      </c>
      <c r="P104" s="212">
        <f>$D104*100/($C104+$C$3)*N104/1000-O104</f>
        <v>0</v>
      </c>
      <c r="Q104" s="216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2">
        <f>$D104*100/($C104+$C$3)*Q104/1000-R104</f>
        <v>-1873.7360642986778</v>
      </c>
      <c r="T104" s="216">
        <f>-VLOOKUP($B104,'недельное планирование'!$B:$CA,T$3,FALSE)</f>
        <v>0</v>
      </c>
      <c r="U104" s="162">
        <f>$D104*100/($C104+$C$3)*T104/1000*$C104/$C$2</f>
        <v>0</v>
      </c>
      <c r="V104" s="212">
        <f>$D104*100/($C104+$C$3)*T104/1000-U104</f>
        <v>0</v>
      </c>
      <c r="W104" s="216">
        <f>-VLOOKUP($B104,'недельное планирование'!$B:$CA,W$3,FALSE)</f>
        <v>0</v>
      </c>
      <c r="X104" s="162">
        <f>$D104*100/($C104+$C$3)*W104/1000*$C104/$C$2</f>
        <v>0</v>
      </c>
      <c r="Y104" s="212">
        <f>$D104*100/($C104+$C$3)*W104/1000-X104</f>
        <v>0</v>
      </c>
      <c r="Z104" s="216">
        <f>-VLOOKUP($B104,'недельное планирование'!$B:$CA,Z$3,FALSE)</f>
        <v>0</v>
      </c>
      <c r="AA104" s="162">
        <f>$D104*100/($C104+$C$3)*Z104/1000*$C104/$C$2</f>
        <v>0</v>
      </c>
      <c r="AB104" s="212">
        <f>$D104*100/($C104+$C$3)*Z104/1000-AA104</f>
        <v>0</v>
      </c>
      <c r="AC104" s="216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2">
        <f>$D104*100/($C104+$C$3)*AC104/1000-AD104</f>
        <v>-1873.7360642986778</v>
      </c>
      <c r="AF104" s="216">
        <f>-VLOOKUP($B104,'недельное планирование'!$B:$CA,AF$3,FALSE)</f>
        <v>0</v>
      </c>
      <c r="AG104" s="162">
        <f>$D104*100/($C104+$C$3)*AF104/1000*$C104/$C$2</f>
        <v>0</v>
      </c>
      <c r="AH104" s="212">
        <f>$D104*100/($C104+$C$3)*AF104/1000-AG104</f>
        <v>0</v>
      </c>
      <c r="AI104" s="216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2" t="e">
        <f>$D104*100/($C104+$C$3)*AI104/1000-AJ104</f>
        <v>#N/A</v>
      </c>
      <c r="AL104" s="216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2" t="e">
        <f>$D104*100/($C104+$C$3)*AL104/1000-AM104</f>
        <v>#N/A</v>
      </c>
      <c r="AO104" s="216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2" t="e">
        <f>$D104*100/($C104+$C$3)*AO104/1000-AP104</f>
        <v>#N/A</v>
      </c>
    </row>
    <row r="105" spans="1:43" ht="24" customHeight="1">
      <c r="A105" s="229" t="s">
        <v>19</v>
      </c>
      <c r="B105" s="227" t="s">
        <v>120</v>
      </c>
      <c r="C105" s="239">
        <v>12</v>
      </c>
      <c r="D105" s="239">
        <v>270</v>
      </c>
      <c r="E105" s="216">
        <f>-VLOOKUP($B105,'недельное планирование'!$B:$CA,E$3,FALSE)</f>
        <v>0</v>
      </c>
      <c r="F105" s="162">
        <f>$D105*100/($C105+$C$3)*E105/1000*$C105/$C$2</f>
        <v>0</v>
      </c>
      <c r="G105" s="212">
        <f>$D105*100/($C105+$C$3)*E105/1000-F105</f>
        <v>0</v>
      </c>
      <c r="H105" s="216">
        <f>-VLOOKUP($B105,'недельное планирование'!$B:$CA,H$3,FALSE)</f>
        <v>0</v>
      </c>
      <c r="I105" s="162">
        <f>$D105*100/($C105+$C$3)*H105/1000*$C105/$C$2</f>
        <v>0</v>
      </c>
      <c r="J105" s="212">
        <f>$D105*100/($C105+$C$3)*H105/1000-I105</f>
        <v>0</v>
      </c>
      <c r="K105" s="216">
        <f>-VLOOKUP($B105,'недельное планирование'!$B:$CA,K$3,FALSE)</f>
        <v>0</v>
      </c>
      <c r="L105" s="162">
        <f>$D105*100/($C105+$C$3)*K105/1000*$C105/$C$2</f>
        <v>0</v>
      </c>
      <c r="M105" s="212">
        <f>$D105*100/($C105+$C$3)*K105/1000-L105</f>
        <v>0</v>
      </c>
      <c r="N105" s="216">
        <f>-VLOOKUP($B105,'недельное планирование'!$B:$CA,N$3,FALSE)</f>
        <v>0</v>
      </c>
      <c r="O105" s="162">
        <f>$D105*100/($C105+$C$3)*N105/1000*$C105/$C$2</f>
        <v>0</v>
      </c>
      <c r="P105" s="212">
        <f>$D105*100/($C105+$C$3)*N105/1000-O105</f>
        <v>0</v>
      </c>
      <c r="Q105" s="216">
        <f>-VLOOKUP($B105,'недельное планирование'!$B:$CA,Q$3,FALSE)</f>
        <v>0</v>
      </c>
      <c r="R105" s="162">
        <f>$D105*100/($C105+$C$3)*Q105/1000*$C105/$C$2</f>
        <v>0</v>
      </c>
      <c r="S105" s="212">
        <f>$D105*100/($C105+$C$3)*Q105/1000-R105</f>
        <v>0</v>
      </c>
      <c r="T105" s="216">
        <f>-VLOOKUP($B105,'недельное планирование'!$B:$CA,T$3,FALSE)</f>
        <v>0</v>
      </c>
      <c r="U105" s="162">
        <f>$D105*100/($C105+$C$3)*T105/1000*$C105/$C$2</f>
        <v>0</v>
      </c>
      <c r="V105" s="212">
        <f>$D105*100/($C105+$C$3)*T105/1000-U105</f>
        <v>0</v>
      </c>
      <c r="W105" s="216">
        <f>-VLOOKUP($B105,'недельное планирование'!$B:$CA,W$3,FALSE)</f>
        <v>0</v>
      </c>
      <c r="X105" s="162">
        <f>$D105*100/($C105+$C$3)*W105/1000*$C105/$C$2</f>
        <v>0</v>
      </c>
      <c r="Y105" s="212">
        <f>$D105*100/($C105+$C$3)*W105/1000-X105</f>
        <v>0</v>
      </c>
      <c r="Z105" s="216">
        <f>-VLOOKUP($B105,'недельное планирование'!$B:$CA,Z$3,FALSE)</f>
        <v>0</v>
      </c>
      <c r="AA105" s="162">
        <f>$D105*100/($C105+$C$3)*Z105/1000*$C105/$C$2</f>
        <v>0</v>
      </c>
      <c r="AB105" s="212">
        <f>$D105*100/($C105+$C$3)*Z105/1000-AA105</f>
        <v>0</v>
      </c>
      <c r="AC105" s="216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2">
        <f>$D105*100/($C105+$C$3)*AC105/1000-AD105</f>
        <v>-1142.4148606811145</v>
      </c>
      <c r="AF105" s="216">
        <f>-VLOOKUP($B105,'недельное планирование'!$B:$CA,AF$3,FALSE)</f>
        <v>0</v>
      </c>
      <c r="AG105" s="162">
        <f>$D105*100/($C105+$C$3)*AF105/1000*$C105/$C$2</f>
        <v>0</v>
      </c>
      <c r="AH105" s="212">
        <f>$D105*100/($C105+$C$3)*AF105/1000-AG105</f>
        <v>0</v>
      </c>
      <c r="AI105" s="216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2" t="e">
        <f>$D105*100/($C105+$C$3)*AI105/1000-AJ105</f>
        <v>#N/A</v>
      </c>
      <c r="AL105" s="216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2" t="e">
        <f>$D105*100/($C105+$C$3)*AL105/1000-AM105</f>
        <v>#N/A</v>
      </c>
      <c r="AO105" s="216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2" t="e">
        <f>$D105*100/($C105+$C$3)*AO105/1000-AP105</f>
        <v>#N/A</v>
      </c>
    </row>
    <row r="106" spans="1:43" ht="25.35" customHeight="1">
      <c r="A106" s="229" t="s">
        <v>19</v>
      </c>
      <c r="B106" s="227" t="s">
        <v>135</v>
      </c>
      <c r="C106" s="239">
        <v>12</v>
      </c>
      <c r="D106" s="239">
        <v>360</v>
      </c>
      <c r="E106" s="216">
        <f>-VLOOKUP($B106,'недельное планирование'!$B:$CA,E$3,FALSE)</f>
        <v>0</v>
      </c>
      <c r="F106" s="162">
        <f>$D106*100/($C106+$C$3)*E106/1000*$C106/$C$2</f>
        <v>0</v>
      </c>
      <c r="G106" s="212">
        <f>$D106*100/($C106+$C$3)*E106/1000-F106</f>
        <v>0</v>
      </c>
      <c r="H106" s="216">
        <f>-VLOOKUP($B106,'недельное планирование'!$B:$CA,H$3,FALSE)</f>
        <v>0</v>
      </c>
      <c r="I106" s="162">
        <f>$D106*100/($C106+$C$3)*H106/1000*$C106/$C$2</f>
        <v>0</v>
      </c>
      <c r="J106" s="212">
        <f>$D106*100/($C106+$C$3)*H106/1000-I106</f>
        <v>0</v>
      </c>
      <c r="K106" s="216">
        <f>-VLOOKUP($B106,'недельное планирование'!$B:$CA,K$3,FALSE)</f>
        <v>0</v>
      </c>
      <c r="L106" s="162">
        <f>$D106*100/($C106+$C$3)*K106/1000*$C106/$C$2</f>
        <v>0</v>
      </c>
      <c r="M106" s="212">
        <f>$D106*100/($C106+$C$3)*K106/1000-L106</f>
        <v>0</v>
      </c>
      <c r="N106" s="216">
        <f>-VLOOKUP($B106,'недельное планирование'!$B:$CA,N$3,FALSE)</f>
        <v>0</v>
      </c>
      <c r="O106" s="162">
        <f>$D106*100/($C106+$C$3)*N106/1000*$C106/$C$2</f>
        <v>0</v>
      </c>
      <c r="P106" s="212">
        <f>$D106*100/($C106+$C$3)*N106/1000-O106</f>
        <v>0</v>
      </c>
      <c r="Q106" s="216">
        <f>-VLOOKUP($B106,'недельное планирование'!$B:$CA,Q$3,FALSE)</f>
        <v>0</v>
      </c>
      <c r="R106" s="162">
        <f>$D106*100/($C106+$C$3)*Q106/1000*$C106/$C$2</f>
        <v>0</v>
      </c>
      <c r="S106" s="212">
        <f>$D106*100/($C106+$C$3)*Q106/1000-R106</f>
        <v>0</v>
      </c>
      <c r="T106" s="216">
        <f>-VLOOKUP($B106,'недельное планирование'!$B:$CA,T$3,FALSE)</f>
        <v>0</v>
      </c>
      <c r="U106" s="162">
        <f>$D106*100/($C106+$C$3)*T106/1000*$C106/$C$2</f>
        <v>0</v>
      </c>
      <c r="V106" s="212">
        <f>$D106*100/($C106+$C$3)*T106/1000-U106</f>
        <v>0</v>
      </c>
      <c r="W106" s="216">
        <f>-VLOOKUP($B106,'недельное планирование'!$B:$CA,W$3,FALSE)</f>
        <v>0</v>
      </c>
      <c r="X106" s="162">
        <f>$D106*100/($C106+$C$3)*W106/1000*$C106/$C$2</f>
        <v>0</v>
      </c>
      <c r="Y106" s="212">
        <f>$D106*100/($C106+$C$3)*W106/1000-X106</f>
        <v>0</v>
      </c>
      <c r="Z106" s="216">
        <f>-VLOOKUP($B106,'недельное планирование'!$B:$CA,Z$3,FALSE)</f>
        <v>0</v>
      </c>
      <c r="AA106" s="162">
        <f>$D106*100/($C106+$C$3)*Z106/1000*$C106/$C$2</f>
        <v>0</v>
      </c>
      <c r="AB106" s="212">
        <f>$D106*100/($C106+$C$3)*Z106/1000-AA106</f>
        <v>0</v>
      </c>
      <c r="AC106" s="216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2">
        <f>$D106*100/($C106+$C$3)*AC106/1000-AD106</f>
        <v>-1523.2198142414859</v>
      </c>
      <c r="AF106" s="216">
        <f>-VLOOKUP($B106,'недельное планирование'!$B:$CA,AF$3,FALSE)</f>
        <v>0</v>
      </c>
      <c r="AG106" s="162">
        <f>$D106*100/($C106+$C$3)*AF106/1000*$C106/$C$2</f>
        <v>0</v>
      </c>
      <c r="AH106" s="212">
        <f>$D106*100/($C106+$C$3)*AF106/1000-AG106</f>
        <v>0</v>
      </c>
      <c r="AI106" s="216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2" t="e">
        <f>$D106*100/($C106+$C$3)*AI106/1000-AJ106</f>
        <v>#N/A</v>
      </c>
      <c r="AL106" s="216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2" t="e">
        <f>$D106*100/($C106+$C$3)*AL106/1000-AM106</f>
        <v>#N/A</v>
      </c>
      <c r="AO106" s="216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2" t="e">
        <f>$D106*100/($C106+$C$3)*AO106/1000-AP106</f>
        <v>#N/A</v>
      </c>
    </row>
    <row r="107" spans="1:43" ht="24" customHeight="1">
      <c r="A107" s="229"/>
      <c r="B107" s="227"/>
      <c r="C107" s="239"/>
      <c r="D107" s="239"/>
      <c r="E107" s="216"/>
      <c r="F107" s="162"/>
      <c r="G107" s="212"/>
      <c r="H107" s="216"/>
      <c r="I107" s="162"/>
      <c r="J107" s="212"/>
      <c r="K107" s="216"/>
      <c r="L107" s="162"/>
      <c r="M107" s="212"/>
      <c r="N107" s="216"/>
      <c r="O107" s="162"/>
      <c r="P107" s="212"/>
      <c r="Q107" s="216"/>
      <c r="R107" s="162"/>
      <c r="S107" s="212"/>
      <c r="T107" s="216"/>
      <c r="U107" s="162"/>
      <c r="V107" s="212"/>
      <c r="W107" s="216"/>
      <c r="X107" s="162"/>
      <c r="Y107" s="212"/>
      <c r="Z107" s="216"/>
      <c r="AA107" s="162"/>
      <c r="AB107" s="212"/>
      <c r="AC107" s="216"/>
      <c r="AD107" s="162"/>
      <c r="AE107" s="212"/>
      <c r="AF107" s="216"/>
      <c r="AG107" s="162"/>
      <c r="AH107" s="212"/>
      <c r="AI107" s="216"/>
      <c r="AJ107" s="162"/>
      <c r="AK107" s="212"/>
      <c r="AL107" s="216"/>
      <c r="AM107" s="162"/>
      <c r="AN107" s="212"/>
      <c r="AO107" s="216"/>
      <c r="AP107" s="162"/>
      <c r="AQ107" s="212"/>
    </row>
    <row r="108" spans="1:43" s="211" customFormat="1" ht="24" customHeight="1">
      <c r="C108" s="238"/>
      <c r="D108" s="238"/>
      <c r="E108" s="214"/>
      <c r="F108" s="207"/>
      <c r="G108" s="207"/>
      <c r="H108" s="214"/>
      <c r="I108" s="207"/>
      <c r="J108" s="207"/>
      <c r="K108" s="214"/>
      <c r="L108" s="207"/>
      <c r="M108" s="207"/>
      <c r="N108" s="214"/>
      <c r="O108" s="207"/>
      <c r="P108" s="207"/>
      <c r="Q108" s="214"/>
      <c r="R108" s="207"/>
      <c r="S108" s="207"/>
      <c r="T108" s="214"/>
      <c r="U108" s="207"/>
      <c r="V108" s="207"/>
      <c r="W108" s="214"/>
      <c r="X108" s="207"/>
      <c r="Y108" s="207"/>
      <c r="Z108" s="214"/>
      <c r="AA108" s="207"/>
      <c r="AB108" s="207"/>
      <c r="AC108" s="214"/>
      <c r="AD108" s="207"/>
      <c r="AE108" s="207"/>
      <c r="AF108" s="214"/>
      <c r="AG108" s="207"/>
      <c r="AH108" s="207"/>
      <c r="AI108" s="214"/>
      <c r="AJ108" s="207"/>
      <c r="AK108" s="207"/>
      <c r="AL108" s="214"/>
      <c r="AM108" s="207"/>
      <c r="AN108" s="207"/>
      <c r="AO108" s="214"/>
      <c r="AP108" s="207"/>
      <c r="AQ108" s="207"/>
    </row>
    <row r="109" spans="1:43" ht="24" customHeight="1">
      <c r="A109" s="233" t="s">
        <v>85</v>
      </c>
      <c r="B109" s="226" t="s">
        <v>18</v>
      </c>
      <c r="C109" s="239">
        <v>25</v>
      </c>
      <c r="D109" s="239">
        <v>416</v>
      </c>
      <c r="E109" s="216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2">
        <f t="shared" ref="G109:G115" si="131">$D109*100/($C109+$C$3)*E109/1000-F109</f>
        <v>-14761.539892133158</v>
      </c>
      <c r="H109" s="216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2">
        <f t="shared" ref="J109:J115" si="133">$D109*100/($C109+$C$3)*H109/1000-I109</f>
        <v>0</v>
      </c>
      <c r="K109" s="216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2">
        <f t="shared" ref="M109:M115" si="135">$D109*100/($C109+$C$3)*K109/1000-L109</f>
        <v>-14761.539892133158</v>
      </c>
      <c r="N109" s="216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2">
        <f t="shared" ref="P109:P115" si="137">$D109*100/($C109+$C$3)*N109/1000-O109</f>
        <v>-14761.539892133158</v>
      </c>
      <c r="Q109" s="216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2">
        <f t="shared" ref="S109:S115" si="139">$D109*100/($C109+$C$3)*Q109/1000-R109</f>
        <v>0</v>
      </c>
      <c r="T109" s="216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2">
        <f t="shared" ref="V109:V115" si="141">$D109*100/($C109+$C$3)*T109/1000-U109</f>
        <v>0</v>
      </c>
      <c r="W109" s="216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2">
        <f t="shared" ref="Y109:Y115" si="143">$D109*100/($C109+$C$3)*W109/1000-X109</f>
        <v>-7380.769946066579</v>
      </c>
      <c r="Z109" s="216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2">
        <f t="shared" ref="AB109:AB115" si="145">$D109*100/($C109+$C$3)*Z109/1000-AA109</f>
        <v>-3690.3849730332895</v>
      </c>
      <c r="AC109" s="216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2">
        <f t="shared" ref="AE109:AE115" si="147">$D109*100/($C109+$C$3)*AC109/1000-AD109</f>
        <v>0</v>
      </c>
      <c r="AF109" s="216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2">
        <f t="shared" ref="AH109:AH115" si="149">$D109*100/($C109+$C$3)*AF109/1000-AG109</f>
        <v>0</v>
      </c>
      <c r="AI109" s="216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2" t="e">
        <f t="shared" ref="AK109:AK115" si="151">$D109*100/($C109+$C$3)*AI109/1000-AJ109</f>
        <v>#N/A</v>
      </c>
      <c r="AL109" s="216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2" t="e">
        <f t="shared" ref="AN109:AN115" si="153">$D109*100/($C109+$C$3)*AL109/1000-AM109</f>
        <v>#N/A</v>
      </c>
      <c r="AO109" s="216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2" t="e">
        <f t="shared" ref="AQ109:AQ115" si="155">$D109*100/($C109+$C$3)*AO109/1000-AP109</f>
        <v>#N/A</v>
      </c>
    </row>
    <row r="110" spans="1:43" ht="24" customHeight="1">
      <c r="A110" s="233" t="s">
        <v>20</v>
      </c>
      <c r="B110" s="226" t="s">
        <v>91</v>
      </c>
      <c r="C110" s="239">
        <v>25</v>
      </c>
      <c r="D110" s="239">
        <v>416</v>
      </c>
      <c r="E110" s="216">
        <f>-VLOOKUP($B110,'недельное планирование'!$B:$CA,E$3,FALSE)</f>
        <v>0</v>
      </c>
      <c r="F110" s="162">
        <f t="shared" si="130"/>
        <v>0</v>
      </c>
      <c r="G110" s="212">
        <f t="shared" si="131"/>
        <v>0</v>
      </c>
      <c r="H110" s="216">
        <f>-VLOOKUP($B110,'недельное планирование'!$B:$CA,H$3,FALSE)</f>
        <v>0</v>
      </c>
      <c r="I110" s="162">
        <f t="shared" si="132"/>
        <v>0</v>
      </c>
      <c r="J110" s="212">
        <f t="shared" si="133"/>
        <v>0</v>
      </c>
      <c r="K110" s="216">
        <f>-VLOOKUP($B110,'недельное планирование'!$B:$CA,K$3,FALSE)</f>
        <v>900</v>
      </c>
      <c r="L110" s="162">
        <f t="shared" si="134"/>
        <v>8703.738143946437</v>
      </c>
      <c r="M110" s="212">
        <f t="shared" si="135"/>
        <v>-7380.769946066579</v>
      </c>
      <c r="N110" s="216">
        <f>-VLOOKUP($B110,'недельное планирование'!$B:$CA,N$3,FALSE)</f>
        <v>900</v>
      </c>
      <c r="O110" s="162">
        <f t="shared" si="136"/>
        <v>8703.738143946437</v>
      </c>
      <c r="P110" s="212">
        <f t="shared" si="137"/>
        <v>-7380.769946066579</v>
      </c>
      <c r="Q110" s="216">
        <f>-VLOOKUP($B110,'недельное планирование'!$B:$CA,Q$3,FALSE)</f>
        <v>0</v>
      </c>
      <c r="R110" s="162">
        <f t="shared" si="138"/>
        <v>0</v>
      </c>
      <c r="S110" s="212">
        <f t="shared" si="139"/>
        <v>0</v>
      </c>
      <c r="T110" s="216">
        <f>-VLOOKUP($B110,'недельное планирование'!$B:$CA,T$3,FALSE)</f>
        <v>0</v>
      </c>
      <c r="U110" s="162">
        <f t="shared" si="140"/>
        <v>0</v>
      </c>
      <c r="V110" s="212">
        <f t="shared" si="141"/>
        <v>0</v>
      </c>
      <c r="W110" s="216">
        <f>-VLOOKUP($B110,'недельное планирование'!$B:$CA,W$3,FALSE)</f>
        <v>0</v>
      </c>
      <c r="X110" s="162">
        <f t="shared" si="142"/>
        <v>0</v>
      </c>
      <c r="Y110" s="212">
        <f t="shared" si="143"/>
        <v>0</v>
      </c>
      <c r="Z110" s="216">
        <f>-VLOOKUP($B110,'недельное планирование'!$B:$CA,Z$3,FALSE)</f>
        <v>900</v>
      </c>
      <c r="AA110" s="162">
        <f t="shared" si="144"/>
        <v>8703.738143946437</v>
      </c>
      <c r="AB110" s="212">
        <f t="shared" si="145"/>
        <v>-7380.769946066579</v>
      </c>
      <c r="AC110" s="216">
        <f>-VLOOKUP($B110,'недельное планирование'!$B:$CA,AC$3,FALSE)</f>
        <v>0</v>
      </c>
      <c r="AD110" s="162">
        <f t="shared" si="146"/>
        <v>0</v>
      </c>
      <c r="AE110" s="212">
        <f t="shared" si="147"/>
        <v>0</v>
      </c>
      <c r="AF110" s="216">
        <f>-VLOOKUP($B110,'недельное планирование'!$B:$CA,AF$3,FALSE)</f>
        <v>0</v>
      </c>
      <c r="AG110" s="162">
        <f t="shared" si="148"/>
        <v>0</v>
      </c>
      <c r="AH110" s="212">
        <f t="shared" si="149"/>
        <v>0</v>
      </c>
      <c r="AI110" s="216" t="e">
        <f>-VLOOKUP($B110,'недельное планирование'!$B:$CA,AI$3,FALSE)</f>
        <v>#N/A</v>
      </c>
      <c r="AJ110" s="162" t="e">
        <f t="shared" si="150"/>
        <v>#N/A</v>
      </c>
      <c r="AK110" s="212" t="e">
        <f t="shared" si="151"/>
        <v>#N/A</v>
      </c>
      <c r="AL110" s="216" t="e">
        <f>-VLOOKUP($B110,'недельное планирование'!$B:$CA,AL$3,FALSE)</f>
        <v>#N/A</v>
      </c>
      <c r="AM110" s="162" t="e">
        <f t="shared" si="152"/>
        <v>#N/A</v>
      </c>
      <c r="AN110" s="212" t="e">
        <f t="shared" si="153"/>
        <v>#N/A</v>
      </c>
      <c r="AO110" s="216" t="e">
        <f>-VLOOKUP($B110,'недельное планирование'!$B:$CA,AO$3,FALSE)</f>
        <v>#N/A</v>
      </c>
      <c r="AP110" s="162" t="e">
        <f t="shared" si="154"/>
        <v>#N/A</v>
      </c>
      <c r="AQ110" s="212" t="e">
        <f t="shared" si="155"/>
        <v>#N/A</v>
      </c>
    </row>
    <row r="111" spans="1:43" ht="24" customHeight="1">
      <c r="A111" s="233" t="s">
        <v>20</v>
      </c>
      <c r="B111" s="226" t="s">
        <v>92</v>
      </c>
      <c r="C111" s="239">
        <v>25</v>
      </c>
      <c r="D111" s="239">
        <v>416</v>
      </c>
      <c r="E111" s="216">
        <f>-VLOOKUP($B111,'недельное планирование'!$B:$CA,E$3,FALSE)</f>
        <v>450</v>
      </c>
      <c r="F111" s="162">
        <f t="shared" si="130"/>
        <v>4351.8690719732185</v>
      </c>
      <c r="G111" s="212">
        <f t="shared" si="131"/>
        <v>-3690.3849730332895</v>
      </c>
      <c r="H111" s="216">
        <f>-VLOOKUP($B111,'недельное планирование'!$B:$CA,H$3,FALSE)</f>
        <v>0</v>
      </c>
      <c r="I111" s="162">
        <f t="shared" si="132"/>
        <v>0</v>
      </c>
      <c r="J111" s="212">
        <f t="shared" si="133"/>
        <v>0</v>
      </c>
      <c r="K111" s="216">
        <f>-VLOOKUP($B111,'недельное планирование'!$B:$CA,K$3,FALSE)</f>
        <v>0</v>
      </c>
      <c r="L111" s="162">
        <f t="shared" si="134"/>
        <v>0</v>
      </c>
      <c r="M111" s="212">
        <f t="shared" si="135"/>
        <v>0</v>
      </c>
      <c r="N111" s="216">
        <f>-VLOOKUP($B111,'недельное планирование'!$B:$CA,N$3,FALSE)</f>
        <v>0</v>
      </c>
      <c r="O111" s="162">
        <f t="shared" si="136"/>
        <v>0</v>
      </c>
      <c r="P111" s="212">
        <f t="shared" si="137"/>
        <v>0</v>
      </c>
      <c r="Q111" s="216">
        <f>-VLOOKUP($B111,'недельное планирование'!$B:$CA,Q$3,FALSE)</f>
        <v>0</v>
      </c>
      <c r="R111" s="162">
        <f t="shared" si="138"/>
        <v>0</v>
      </c>
      <c r="S111" s="212">
        <f t="shared" si="139"/>
        <v>0</v>
      </c>
      <c r="T111" s="216">
        <f>-VLOOKUP($B111,'недельное планирование'!$B:$CA,T$3,FALSE)</f>
        <v>0</v>
      </c>
      <c r="U111" s="162">
        <f t="shared" si="140"/>
        <v>0</v>
      </c>
      <c r="V111" s="212">
        <f t="shared" si="141"/>
        <v>0</v>
      </c>
      <c r="W111" s="216">
        <f>-VLOOKUP($B111,'недельное планирование'!$B:$CA,W$3,FALSE)</f>
        <v>900</v>
      </c>
      <c r="X111" s="162">
        <f t="shared" si="142"/>
        <v>8703.738143946437</v>
      </c>
      <c r="Y111" s="212">
        <f t="shared" si="143"/>
        <v>-7380.769946066579</v>
      </c>
      <c r="Z111" s="216">
        <f>-VLOOKUP($B111,'недельное планирование'!$B:$CA,Z$3,FALSE)</f>
        <v>0</v>
      </c>
      <c r="AA111" s="162">
        <f t="shared" si="144"/>
        <v>0</v>
      </c>
      <c r="AB111" s="212">
        <f t="shared" si="145"/>
        <v>0</v>
      </c>
      <c r="AC111" s="216">
        <f>-VLOOKUP($B111,'недельное планирование'!$B:$CA,AC$3,FALSE)</f>
        <v>0</v>
      </c>
      <c r="AD111" s="162">
        <f t="shared" si="146"/>
        <v>0</v>
      </c>
      <c r="AE111" s="212">
        <f t="shared" si="147"/>
        <v>0</v>
      </c>
      <c r="AF111" s="216">
        <f>-VLOOKUP($B111,'недельное планирование'!$B:$CA,AF$3,FALSE)</f>
        <v>0</v>
      </c>
      <c r="AG111" s="162">
        <f t="shared" si="148"/>
        <v>0</v>
      </c>
      <c r="AH111" s="212">
        <f t="shared" si="149"/>
        <v>0</v>
      </c>
      <c r="AI111" s="216" t="e">
        <f>-VLOOKUP($B111,'недельное планирование'!$B:$CA,AI$3,FALSE)</f>
        <v>#N/A</v>
      </c>
      <c r="AJ111" s="162" t="e">
        <f t="shared" si="150"/>
        <v>#N/A</v>
      </c>
      <c r="AK111" s="212" t="e">
        <f t="shared" si="151"/>
        <v>#N/A</v>
      </c>
      <c r="AL111" s="216" t="e">
        <f>-VLOOKUP($B111,'недельное планирование'!$B:$CA,AL$3,FALSE)</f>
        <v>#N/A</v>
      </c>
      <c r="AM111" s="162" t="e">
        <f t="shared" si="152"/>
        <v>#N/A</v>
      </c>
      <c r="AN111" s="212" t="e">
        <f t="shared" si="153"/>
        <v>#N/A</v>
      </c>
      <c r="AO111" s="216" t="e">
        <f>-VLOOKUP($B111,'недельное планирование'!$B:$CA,AO$3,FALSE)</f>
        <v>#N/A</v>
      </c>
      <c r="AP111" s="162" t="e">
        <f t="shared" si="154"/>
        <v>#N/A</v>
      </c>
      <c r="AQ111" s="212" t="e">
        <f t="shared" si="155"/>
        <v>#N/A</v>
      </c>
    </row>
    <row r="112" spans="1:43" ht="24" customHeight="1">
      <c r="A112" s="233" t="s">
        <v>81</v>
      </c>
      <c r="B112" s="226" t="s">
        <v>110</v>
      </c>
      <c r="C112" s="239">
        <v>25</v>
      </c>
      <c r="D112" s="239">
        <v>416</v>
      </c>
      <c r="E112" s="216">
        <f>-VLOOKUP($B112,'недельное планирование'!$B:$CA,E$3,FALSE)</f>
        <v>450</v>
      </c>
      <c r="F112" s="162">
        <f t="shared" si="130"/>
        <v>4351.8690719732185</v>
      </c>
      <c r="G112" s="212">
        <f t="shared" si="131"/>
        <v>-3690.3849730332895</v>
      </c>
      <c r="H112" s="216">
        <f>-VLOOKUP($B112,'недельное планирование'!$B:$CA,H$3,FALSE)</f>
        <v>0</v>
      </c>
      <c r="I112" s="162">
        <f t="shared" si="132"/>
        <v>0</v>
      </c>
      <c r="J112" s="212">
        <f t="shared" si="133"/>
        <v>0</v>
      </c>
      <c r="K112" s="216">
        <f>-VLOOKUP($B112,'недельное планирование'!$B:$CA,K$3,FALSE)</f>
        <v>0</v>
      </c>
      <c r="L112" s="162">
        <f t="shared" si="134"/>
        <v>0</v>
      </c>
      <c r="M112" s="212">
        <f t="shared" si="135"/>
        <v>0</v>
      </c>
      <c r="N112" s="216">
        <f>-VLOOKUP($B112,'недельное планирование'!$B:$CA,N$3,FALSE)</f>
        <v>0</v>
      </c>
      <c r="O112" s="162">
        <f t="shared" si="136"/>
        <v>0</v>
      </c>
      <c r="P112" s="212">
        <f t="shared" si="137"/>
        <v>0</v>
      </c>
      <c r="Q112" s="216">
        <f>-VLOOKUP($B112,'недельное планирование'!$B:$CA,Q$3,FALSE)</f>
        <v>0</v>
      </c>
      <c r="R112" s="162">
        <f t="shared" si="138"/>
        <v>0</v>
      </c>
      <c r="S112" s="212">
        <f t="shared" si="139"/>
        <v>0</v>
      </c>
      <c r="T112" s="216">
        <f>-VLOOKUP($B112,'недельное планирование'!$B:$CA,T$3,FALSE)</f>
        <v>0</v>
      </c>
      <c r="U112" s="162">
        <f t="shared" si="140"/>
        <v>0</v>
      </c>
      <c r="V112" s="212">
        <f t="shared" si="141"/>
        <v>0</v>
      </c>
      <c r="W112" s="216">
        <f>-VLOOKUP($B112,'недельное планирование'!$B:$CA,W$3,FALSE)</f>
        <v>900</v>
      </c>
      <c r="X112" s="162">
        <f t="shared" si="142"/>
        <v>8703.738143946437</v>
      </c>
      <c r="Y112" s="212">
        <f t="shared" si="143"/>
        <v>-7380.769946066579</v>
      </c>
      <c r="Z112" s="216">
        <f>-VLOOKUP($B112,'недельное планирование'!$B:$CA,Z$3,FALSE)</f>
        <v>900</v>
      </c>
      <c r="AA112" s="162">
        <f t="shared" si="144"/>
        <v>8703.738143946437</v>
      </c>
      <c r="AB112" s="212">
        <f t="shared" si="145"/>
        <v>-7380.769946066579</v>
      </c>
      <c r="AC112" s="216">
        <f>-VLOOKUP($B112,'недельное планирование'!$B:$CA,AC$3,FALSE)</f>
        <v>0</v>
      </c>
      <c r="AD112" s="162">
        <f t="shared" si="146"/>
        <v>0</v>
      </c>
      <c r="AE112" s="212">
        <f t="shared" si="147"/>
        <v>0</v>
      </c>
      <c r="AF112" s="216">
        <f>-VLOOKUP($B112,'недельное планирование'!$B:$CA,AF$3,FALSE)</f>
        <v>0</v>
      </c>
      <c r="AG112" s="162">
        <f t="shared" si="148"/>
        <v>0</v>
      </c>
      <c r="AH112" s="212">
        <f t="shared" si="149"/>
        <v>0</v>
      </c>
      <c r="AI112" s="216" t="e">
        <f>-VLOOKUP($B112,'недельное планирование'!$B:$CA,AI$3,FALSE)</f>
        <v>#N/A</v>
      </c>
      <c r="AJ112" s="162" t="e">
        <f t="shared" si="150"/>
        <v>#N/A</v>
      </c>
      <c r="AK112" s="212" t="e">
        <f t="shared" si="151"/>
        <v>#N/A</v>
      </c>
      <c r="AL112" s="216" t="e">
        <f>-VLOOKUP($B112,'недельное планирование'!$B:$CA,AL$3,FALSE)</f>
        <v>#N/A</v>
      </c>
      <c r="AM112" s="162" t="e">
        <f t="shared" si="152"/>
        <v>#N/A</v>
      </c>
      <c r="AN112" s="212" t="e">
        <f t="shared" si="153"/>
        <v>#N/A</v>
      </c>
      <c r="AO112" s="216" t="e">
        <f>-VLOOKUP($B112,'недельное планирование'!$B:$CA,AO$3,FALSE)</f>
        <v>#N/A</v>
      </c>
      <c r="AP112" s="162" t="e">
        <f t="shared" si="154"/>
        <v>#N/A</v>
      </c>
      <c r="AQ112" s="212" t="e">
        <f t="shared" si="155"/>
        <v>#N/A</v>
      </c>
    </row>
    <row r="113" spans="1:43" ht="24" customHeight="1">
      <c r="A113" s="233" t="s">
        <v>88</v>
      </c>
      <c r="B113" s="226" t="s">
        <v>96</v>
      </c>
      <c r="C113" s="239">
        <v>25</v>
      </c>
      <c r="D113" s="239">
        <v>416</v>
      </c>
      <c r="E113" s="216">
        <f>-VLOOKUP($B113,'недельное планирование'!$B:$CA,E$3,FALSE)</f>
        <v>0</v>
      </c>
      <c r="F113" s="162">
        <f t="shared" si="130"/>
        <v>0</v>
      </c>
      <c r="G113" s="212">
        <f t="shared" si="131"/>
        <v>0</v>
      </c>
      <c r="H113" s="216">
        <f>-VLOOKUP($B113,'недельное планирование'!$B:$CA,H$3,FALSE)</f>
        <v>0</v>
      </c>
      <c r="I113" s="162">
        <f t="shared" si="132"/>
        <v>0</v>
      </c>
      <c r="J113" s="212">
        <f t="shared" si="133"/>
        <v>0</v>
      </c>
      <c r="K113" s="216">
        <f>-VLOOKUP($B113,'недельное планирование'!$B:$CA,K$3,FALSE)</f>
        <v>0</v>
      </c>
      <c r="L113" s="162">
        <f t="shared" si="134"/>
        <v>0</v>
      </c>
      <c r="M113" s="212">
        <f t="shared" si="135"/>
        <v>0</v>
      </c>
      <c r="N113" s="216">
        <f>-VLOOKUP($B113,'недельное планирование'!$B:$CA,N$3,FALSE)</f>
        <v>0</v>
      </c>
      <c r="O113" s="162">
        <f t="shared" si="136"/>
        <v>0</v>
      </c>
      <c r="P113" s="212">
        <f t="shared" si="137"/>
        <v>0</v>
      </c>
      <c r="Q113" s="216">
        <f>-VLOOKUP($B113,'недельное планирование'!$B:$CA,Q$3,FALSE)</f>
        <v>0</v>
      </c>
      <c r="R113" s="162">
        <f t="shared" si="138"/>
        <v>0</v>
      </c>
      <c r="S113" s="212">
        <f t="shared" si="139"/>
        <v>0</v>
      </c>
      <c r="T113" s="216">
        <f>-VLOOKUP($B113,'недельное планирование'!$B:$CA,T$3,FALSE)</f>
        <v>0</v>
      </c>
      <c r="U113" s="162">
        <f t="shared" si="140"/>
        <v>0</v>
      </c>
      <c r="V113" s="212">
        <f t="shared" si="141"/>
        <v>0</v>
      </c>
      <c r="W113" s="216">
        <f>-VLOOKUP($B113,'недельное планирование'!$B:$CA,W$3,FALSE)</f>
        <v>0</v>
      </c>
      <c r="X113" s="162">
        <f t="shared" si="142"/>
        <v>0</v>
      </c>
      <c r="Y113" s="212">
        <f t="shared" si="143"/>
        <v>0</v>
      </c>
      <c r="Z113" s="216">
        <f>-VLOOKUP($B113,'недельное планирование'!$B:$CA,Z$3,FALSE)</f>
        <v>0</v>
      </c>
      <c r="AA113" s="162">
        <f t="shared" si="144"/>
        <v>0</v>
      </c>
      <c r="AB113" s="212">
        <f t="shared" si="145"/>
        <v>0</v>
      </c>
      <c r="AC113" s="216">
        <f>-VLOOKUP($B113,'недельное планирование'!$B:$CA,AC$3,FALSE)</f>
        <v>0</v>
      </c>
      <c r="AD113" s="162">
        <f t="shared" si="146"/>
        <v>0</v>
      </c>
      <c r="AE113" s="212">
        <f t="shared" si="147"/>
        <v>0</v>
      </c>
      <c r="AF113" s="216">
        <f>-VLOOKUP($B113,'недельное планирование'!$B:$CA,AF$3,FALSE)</f>
        <v>0</v>
      </c>
      <c r="AG113" s="162">
        <f t="shared" si="148"/>
        <v>0</v>
      </c>
      <c r="AH113" s="212">
        <f t="shared" si="149"/>
        <v>0</v>
      </c>
      <c r="AI113" s="216" t="e">
        <f>-VLOOKUP($B113,'недельное планирование'!$B:$CA,AI$3,FALSE)</f>
        <v>#N/A</v>
      </c>
      <c r="AJ113" s="162" t="e">
        <f t="shared" si="150"/>
        <v>#N/A</v>
      </c>
      <c r="AK113" s="212" t="e">
        <f t="shared" si="151"/>
        <v>#N/A</v>
      </c>
      <c r="AL113" s="216" t="e">
        <f>-VLOOKUP($B113,'недельное планирование'!$B:$CA,AL$3,FALSE)</f>
        <v>#N/A</v>
      </c>
      <c r="AM113" s="162" t="e">
        <f t="shared" si="152"/>
        <v>#N/A</v>
      </c>
      <c r="AN113" s="212" t="e">
        <f t="shared" si="153"/>
        <v>#N/A</v>
      </c>
      <c r="AO113" s="216" t="e">
        <f>-VLOOKUP($B113,'недельное планирование'!$B:$CA,AO$3,FALSE)</f>
        <v>#N/A</v>
      </c>
      <c r="AP113" s="162" t="e">
        <f t="shared" si="154"/>
        <v>#N/A</v>
      </c>
      <c r="AQ113" s="212" t="e">
        <f t="shared" si="155"/>
        <v>#N/A</v>
      </c>
    </row>
    <row r="114" spans="1:43" ht="24" customHeight="1">
      <c r="A114" s="233" t="s">
        <v>85</v>
      </c>
      <c r="B114" s="226" t="s">
        <v>109</v>
      </c>
      <c r="C114" s="239">
        <v>25</v>
      </c>
      <c r="D114" s="239">
        <v>416</v>
      </c>
      <c r="E114" s="216">
        <f>-VLOOKUP($B114,'недельное планирование'!$B:$CA,E$3,FALSE)</f>
        <v>0</v>
      </c>
      <c r="F114" s="162">
        <f t="shared" si="130"/>
        <v>0</v>
      </c>
      <c r="G114" s="212">
        <f t="shared" si="131"/>
        <v>0</v>
      </c>
      <c r="H114" s="216">
        <f>-VLOOKUP($B114,'недельное планирование'!$B:$CA,H$3,FALSE)</f>
        <v>0</v>
      </c>
      <c r="I114" s="162">
        <f t="shared" si="132"/>
        <v>0</v>
      </c>
      <c r="J114" s="212">
        <f t="shared" si="133"/>
        <v>0</v>
      </c>
      <c r="K114" s="216">
        <f>-VLOOKUP($B114,'недельное планирование'!$B:$CA,K$3,FALSE)</f>
        <v>0</v>
      </c>
      <c r="L114" s="162">
        <f t="shared" si="134"/>
        <v>0</v>
      </c>
      <c r="M114" s="212">
        <f t="shared" si="135"/>
        <v>0</v>
      </c>
      <c r="N114" s="216">
        <f>-VLOOKUP($B114,'недельное планирование'!$B:$CA,N$3,FALSE)</f>
        <v>0</v>
      </c>
      <c r="O114" s="162">
        <f t="shared" si="136"/>
        <v>0</v>
      </c>
      <c r="P114" s="212">
        <f t="shared" si="137"/>
        <v>0</v>
      </c>
      <c r="Q114" s="216">
        <f>-VLOOKUP($B114,'недельное планирование'!$B:$CA,Q$3,FALSE)</f>
        <v>0</v>
      </c>
      <c r="R114" s="162">
        <f t="shared" si="138"/>
        <v>0</v>
      </c>
      <c r="S114" s="212">
        <f t="shared" si="139"/>
        <v>0</v>
      </c>
      <c r="T114" s="216">
        <f>-VLOOKUP($B114,'недельное планирование'!$B:$CA,T$3,FALSE)</f>
        <v>0</v>
      </c>
      <c r="U114" s="162">
        <f t="shared" si="140"/>
        <v>0</v>
      </c>
      <c r="V114" s="212">
        <f t="shared" si="141"/>
        <v>0</v>
      </c>
      <c r="W114" s="216">
        <f>-VLOOKUP($B114,'недельное планирование'!$B:$CA,W$3,FALSE)</f>
        <v>0</v>
      </c>
      <c r="X114" s="162">
        <f t="shared" si="142"/>
        <v>0</v>
      </c>
      <c r="Y114" s="212">
        <f t="shared" si="143"/>
        <v>0</v>
      </c>
      <c r="Z114" s="216">
        <f>-VLOOKUP($B114,'недельное планирование'!$B:$CA,Z$3,FALSE)</f>
        <v>450</v>
      </c>
      <c r="AA114" s="162">
        <f t="shared" si="144"/>
        <v>4351.8690719732185</v>
      </c>
      <c r="AB114" s="212">
        <f t="shared" si="145"/>
        <v>-3690.3849730332895</v>
      </c>
      <c r="AC114" s="216">
        <f>-VLOOKUP($B114,'недельное планирование'!$B:$CA,AC$3,FALSE)</f>
        <v>0</v>
      </c>
      <c r="AD114" s="162">
        <f t="shared" si="146"/>
        <v>0</v>
      </c>
      <c r="AE114" s="212">
        <f t="shared" si="147"/>
        <v>0</v>
      </c>
      <c r="AF114" s="216">
        <f>-VLOOKUP($B114,'недельное планирование'!$B:$CA,AF$3,FALSE)</f>
        <v>0</v>
      </c>
      <c r="AG114" s="162">
        <f t="shared" si="148"/>
        <v>0</v>
      </c>
      <c r="AH114" s="212">
        <f t="shared" si="149"/>
        <v>0</v>
      </c>
      <c r="AI114" s="216" t="e">
        <f>-VLOOKUP($B114,'недельное планирование'!$B:$CA,AI$3,FALSE)</f>
        <v>#N/A</v>
      </c>
      <c r="AJ114" s="162" t="e">
        <f t="shared" si="150"/>
        <v>#N/A</v>
      </c>
      <c r="AK114" s="212" t="e">
        <f t="shared" si="151"/>
        <v>#N/A</v>
      </c>
      <c r="AL114" s="216" t="e">
        <f>-VLOOKUP($B114,'недельное планирование'!$B:$CA,AL$3,FALSE)</f>
        <v>#N/A</v>
      </c>
      <c r="AM114" s="162" t="e">
        <f t="shared" si="152"/>
        <v>#N/A</v>
      </c>
      <c r="AN114" s="212" t="e">
        <f t="shared" si="153"/>
        <v>#N/A</v>
      </c>
      <c r="AO114" s="216" t="e">
        <f>-VLOOKUP($B114,'недельное планирование'!$B:$CA,AO$3,FALSE)</f>
        <v>#N/A</v>
      </c>
      <c r="AP114" s="162" t="e">
        <f t="shared" si="154"/>
        <v>#N/A</v>
      </c>
      <c r="AQ114" s="212" t="e">
        <f t="shared" si="155"/>
        <v>#N/A</v>
      </c>
    </row>
    <row r="115" spans="1:43" ht="24" customHeight="1">
      <c r="A115" s="233" t="s">
        <v>85</v>
      </c>
      <c r="B115" s="226" t="s">
        <v>134</v>
      </c>
      <c r="C115" s="239">
        <v>25</v>
      </c>
      <c r="D115" s="239">
        <v>270</v>
      </c>
      <c r="E115" s="216">
        <f>-VLOOKUP($B115,'недельное планирование'!$B:$CA,E$3,FALSE)</f>
        <v>0</v>
      </c>
      <c r="F115" s="162">
        <f t="shared" si="130"/>
        <v>0</v>
      </c>
      <c r="G115" s="212">
        <f t="shared" si="131"/>
        <v>0</v>
      </c>
      <c r="H115" s="216">
        <f>-VLOOKUP($B115,'недельное планирование'!$B:$CA,H$3,FALSE)</f>
        <v>0</v>
      </c>
      <c r="I115" s="162">
        <f t="shared" si="132"/>
        <v>0</v>
      </c>
      <c r="J115" s="212">
        <f t="shared" si="133"/>
        <v>0</v>
      </c>
      <c r="K115" s="216">
        <f>-VLOOKUP($B115,'недельное планирование'!$B:$CA,K$3,FALSE)</f>
        <v>0</v>
      </c>
      <c r="L115" s="162">
        <f t="shared" si="134"/>
        <v>0</v>
      </c>
      <c r="M115" s="212">
        <f t="shared" si="135"/>
        <v>0</v>
      </c>
      <c r="N115" s="216">
        <f>-VLOOKUP($B115,'недельное планирование'!$B:$CA,N$3,FALSE)</f>
        <v>0</v>
      </c>
      <c r="O115" s="162">
        <f t="shared" si="136"/>
        <v>0</v>
      </c>
      <c r="P115" s="212">
        <f t="shared" si="137"/>
        <v>0</v>
      </c>
      <c r="Q115" s="216">
        <f>-VLOOKUP($B115,'недельное планирование'!$B:$CA,Q$3,FALSE)</f>
        <v>0</v>
      </c>
      <c r="R115" s="162">
        <f t="shared" si="138"/>
        <v>0</v>
      </c>
      <c r="S115" s="212">
        <f t="shared" si="139"/>
        <v>0</v>
      </c>
      <c r="T115" s="216">
        <f>-VLOOKUP($B115,'недельное планирование'!$B:$CA,T$3,FALSE)</f>
        <v>0</v>
      </c>
      <c r="U115" s="162">
        <f t="shared" si="140"/>
        <v>0</v>
      </c>
      <c r="V115" s="212">
        <f t="shared" si="141"/>
        <v>0</v>
      </c>
      <c r="W115" s="216">
        <f>-VLOOKUP($B115,'недельное планирование'!$B:$CA,W$3,FALSE)</f>
        <v>0</v>
      </c>
      <c r="X115" s="162">
        <f t="shared" si="142"/>
        <v>0</v>
      </c>
      <c r="Y115" s="212">
        <f t="shared" si="143"/>
        <v>0</v>
      </c>
      <c r="Z115" s="216">
        <f>-VLOOKUP($B115,'недельное планирование'!$B:$CA,Z$3,FALSE)</f>
        <v>0</v>
      </c>
      <c r="AA115" s="162">
        <f t="shared" si="144"/>
        <v>0</v>
      </c>
      <c r="AB115" s="212">
        <f t="shared" si="145"/>
        <v>0</v>
      </c>
      <c r="AC115" s="216">
        <f>-VLOOKUP($B115,'недельное планирование'!$B:$CA,AC$3,FALSE)</f>
        <v>0</v>
      </c>
      <c r="AD115" s="162">
        <f t="shared" si="146"/>
        <v>0</v>
      </c>
      <c r="AE115" s="212">
        <f t="shared" si="147"/>
        <v>0</v>
      </c>
      <c r="AF115" s="216">
        <f>-VLOOKUP($B115,'недельное планирование'!$B:$CA,AF$3,FALSE)</f>
        <v>0</v>
      </c>
      <c r="AG115" s="162">
        <f t="shared" si="148"/>
        <v>0</v>
      </c>
      <c r="AH115" s="212">
        <f t="shared" si="149"/>
        <v>0</v>
      </c>
      <c r="AI115" s="216" t="e">
        <f>-VLOOKUP($B115,'недельное планирование'!$B:$CA,AI$3,FALSE)</f>
        <v>#N/A</v>
      </c>
      <c r="AJ115" s="162" t="e">
        <f t="shared" si="150"/>
        <v>#N/A</v>
      </c>
      <c r="AK115" s="212" t="e">
        <f t="shared" si="151"/>
        <v>#N/A</v>
      </c>
      <c r="AL115" s="216" t="e">
        <f>-VLOOKUP($B115,'недельное планирование'!$B:$CA,AL$3,FALSE)</f>
        <v>#N/A</v>
      </c>
      <c r="AM115" s="162" t="e">
        <f t="shared" si="152"/>
        <v>#N/A</v>
      </c>
      <c r="AN115" s="212" t="e">
        <f t="shared" si="153"/>
        <v>#N/A</v>
      </c>
      <c r="AO115" s="216" t="e">
        <f>-VLOOKUP($B115,'недельное планирование'!$B:$CA,AO$3,FALSE)</f>
        <v>#N/A</v>
      </c>
      <c r="AP115" s="162" t="e">
        <f t="shared" si="154"/>
        <v>#N/A</v>
      </c>
      <c r="AQ115" s="212" t="e">
        <f t="shared" si="155"/>
        <v>#N/A</v>
      </c>
    </row>
    <row r="116" spans="1:43" ht="24" customHeight="1">
      <c r="A116" s="233"/>
      <c r="B116" s="226"/>
      <c r="C116" s="239"/>
      <c r="D116" s="239"/>
      <c r="E116" s="216"/>
      <c r="F116" s="162"/>
      <c r="G116" s="212"/>
      <c r="H116" s="216"/>
      <c r="I116" s="162"/>
      <c r="J116" s="212"/>
      <c r="K116" s="216"/>
      <c r="L116" s="162"/>
      <c r="M116" s="212"/>
      <c r="N116" s="216"/>
      <c r="O116" s="162"/>
      <c r="P116" s="212"/>
      <c r="Q116" s="216"/>
      <c r="R116" s="162"/>
      <c r="S116" s="212"/>
      <c r="T116" s="216"/>
      <c r="U116" s="162"/>
      <c r="V116" s="212"/>
      <c r="W116" s="216"/>
      <c r="X116" s="162"/>
      <c r="Y116" s="212"/>
      <c r="Z116" s="216"/>
      <c r="AA116" s="162"/>
      <c r="AB116" s="212"/>
      <c r="AC116" s="216"/>
      <c r="AD116" s="162"/>
      <c r="AE116" s="212"/>
      <c r="AF116" s="216"/>
      <c r="AG116" s="162"/>
      <c r="AH116" s="212"/>
      <c r="AI116" s="216"/>
      <c r="AJ116" s="162"/>
      <c r="AK116" s="212"/>
      <c r="AL116" s="216"/>
      <c r="AM116" s="162"/>
      <c r="AN116" s="212"/>
      <c r="AO116" s="216"/>
      <c r="AP116" s="162"/>
      <c r="AQ116" s="212"/>
    </row>
    <row r="117" spans="1:43" s="211" customFormat="1" ht="26.25" customHeight="1">
      <c r="C117" s="238"/>
      <c r="D117" s="238"/>
      <c r="E117" s="214"/>
      <c r="F117" s="207"/>
      <c r="G117" s="207"/>
      <c r="H117" s="214"/>
      <c r="I117" s="207"/>
      <c r="J117" s="207"/>
      <c r="K117" s="214"/>
      <c r="L117" s="207"/>
      <c r="M117" s="207"/>
      <c r="N117" s="214"/>
      <c r="O117" s="207"/>
      <c r="P117" s="207"/>
      <c r="Q117" s="214"/>
      <c r="R117" s="207"/>
      <c r="S117" s="207"/>
      <c r="T117" s="214"/>
      <c r="U117" s="207"/>
      <c r="V117" s="207"/>
      <c r="W117" s="214"/>
      <c r="X117" s="207"/>
      <c r="Y117" s="207"/>
      <c r="Z117" s="214"/>
      <c r="AA117" s="207"/>
      <c r="AB117" s="207"/>
      <c r="AC117" s="214"/>
      <c r="AD117" s="207"/>
      <c r="AE117" s="207"/>
      <c r="AF117" s="214"/>
      <c r="AG117" s="207"/>
      <c r="AH117" s="207"/>
      <c r="AI117" s="214"/>
      <c r="AJ117" s="207"/>
      <c r="AK117" s="207"/>
      <c r="AL117" s="214"/>
      <c r="AM117" s="207"/>
      <c r="AN117" s="207"/>
      <c r="AO117" s="214"/>
      <c r="AP117" s="207"/>
      <c r="AQ117" s="207"/>
    </row>
    <row r="118" spans="1:43" ht="24" customHeight="1">
      <c r="A118" s="169" t="s">
        <v>75</v>
      </c>
      <c r="B118" s="153" t="s">
        <v>104</v>
      </c>
      <c r="C118" s="239">
        <v>36</v>
      </c>
      <c r="D118" s="239">
        <v>774</v>
      </c>
      <c r="E118" s="216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2">
        <f t="shared" ref="G118:G123" si="157">$D118*100/($C118+$C$3)*E118/1000-F118</f>
        <v>0</v>
      </c>
      <c r="H118" s="216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2">
        <f t="shared" ref="J118:J123" si="159">$D118*100/($C118+$C$3)*H118/1000-I118</f>
        <v>-8344.3149859381283</v>
      </c>
      <c r="K118" s="216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2">
        <f t="shared" ref="M118:M123" si="161">$D118*100/($C118+$C$3)*K118/1000-L118</f>
        <v>0</v>
      </c>
      <c r="N118" s="216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2">
        <f t="shared" ref="P118:P123" si="163">$D118*100/($C118+$C$3)*N118/1000-O118</f>
        <v>0</v>
      </c>
      <c r="Q118" s="216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2">
        <f t="shared" ref="S118:S123" si="165">$D118*100/($C118+$C$3)*Q118/1000-R118</f>
        <v>0</v>
      </c>
      <c r="T118" s="216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2">
        <f t="shared" ref="V118:V123" si="167">$D118*100/($C118+$C$3)*T118/1000-U118</f>
        <v>0</v>
      </c>
      <c r="W118" s="216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2">
        <f t="shared" ref="Y118:Y123" si="169">$D118*100/($C118+$C$3)*W118/1000-X118</f>
        <v>0</v>
      </c>
      <c r="Z118" s="216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2">
        <f t="shared" ref="AB118:AB123" si="171">$D118*100/($C118+$C$3)*Z118/1000-AA118</f>
        <v>0</v>
      </c>
      <c r="AC118" s="216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2">
        <f t="shared" ref="AE118:AE123" si="173">$D118*100/($C118+$C$3)*AC118/1000-AD118</f>
        <v>0</v>
      </c>
      <c r="AF118" s="216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2">
        <f t="shared" ref="AH118:AH123" si="175">$D118*100/($C118+$C$3)*AF118/1000-AG118</f>
        <v>-8344.3149859381283</v>
      </c>
      <c r="AI118" s="216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2" t="e">
        <f t="shared" ref="AK118:AK123" si="177">$D118*100/($C118+$C$3)*AI118/1000-AJ118</f>
        <v>#N/A</v>
      </c>
      <c r="AL118" s="216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2" t="e">
        <f t="shared" ref="AN118:AN123" si="179">$D118*100/($C118+$C$3)*AL118/1000-AM118</f>
        <v>#N/A</v>
      </c>
      <c r="AO118" s="216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2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39">
        <v>36</v>
      </c>
      <c r="D119" s="239">
        <v>774</v>
      </c>
      <c r="E119" s="216">
        <f>-VLOOKUP($B119,'недельное планирование'!$B:$CA,E$3,FALSE)</f>
        <v>0</v>
      </c>
      <c r="F119" s="162">
        <f t="shared" si="156"/>
        <v>0</v>
      </c>
      <c r="G119" s="212">
        <f t="shared" si="157"/>
        <v>0</v>
      </c>
      <c r="H119" s="216">
        <f>-VLOOKUP($B119,'недельное планирование'!$B:$CA,H$3,FALSE)</f>
        <v>0</v>
      </c>
      <c r="I119" s="162">
        <f t="shared" si="158"/>
        <v>0</v>
      </c>
      <c r="J119" s="212">
        <f t="shared" si="159"/>
        <v>0</v>
      </c>
      <c r="K119" s="216">
        <f>-VLOOKUP($B119,'недельное планирование'!$B:$CA,K$3,FALSE)</f>
        <v>0</v>
      </c>
      <c r="L119" s="162">
        <f t="shared" si="160"/>
        <v>0</v>
      </c>
      <c r="M119" s="212">
        <f t="shared" si="161"/>
        <v>0</v>
      </c>
      <c r="N119" s="216">
        <f>-VLOOKUP($B119,'недельное планирование'!$B:$CA,N$3,FALSE)</f>
        <v>0</v>
      </c>
      <c r="O119" s="162">
        <f t="shared" si="162"/>
        <v>0</v>
      </c>
      <c r="P119" s="212">
        <f t="shared" si="163"/>
        <v>0</v>
      </c>
      <c r="Q119" s="216">
        <f>-VLOOKUP($B119,'недельное планирование'!$B:$CA,Q$3,FALSE)</f>
        <v>0</v>
      </c>
      <c r="R119" s="162">
        <f t="shared" si="164"/>
        <v>0</v>
      </c>
      <c r="S119" s="212">
        <f t="shared" si="165"/>
        <v>0</v>
      </c>
      <c r="T119" s="216">
        <f>-VLOOKUP($B119,'недельное планирование'!$B:$CA,T$3,FALSE)</f>
        <v>0</v>
      </c>
      <c r="U119" s="162">
        <f t="shared" si="166"/>
        <v>0</v>
      </c>
      <c r="V119" s="212">
        <f t="shared" si="167"/>
        <v>0</v>
      </c>
      <c r="W119" s="216">
        <f>-VLOOKUP($B119,'недельное планирование'!$B:$CA,W$3,FALSE)</f>
        <v>0</v>
      </c>
      <c r="X119" s="162">
        <f t="shared" si="168"/>
        <v>0</v>
      </c>
      <c r="Y119" s="212">
        <f t="shared" si="169"/>
        <v>0</v>
      </c>
      <c r="Z119" s="216">
        <f>-VLOOKUP($B119,'недельное планирование'!$B:$CA,Z$3,FALSE)</f>
        <v>0</v>
      </c>
      <c r="AA119" s="162">
        <f t="shared" si="170"/>
        <v>0</v>
      </c>
      <c r="AB119" s="212">
        <f t="shared" si="171"/>
        <v>0</v>
      </c>
      <c r="AC119" s="216">
        <f>-VLOOKUP($B119,'недельное планирование'!$B:$CA,AC$3,FALSE)</f>
        <v>0</v>
      </c>
      <c r="AD119" s="162">
        <f t="shared" si="172"/>
        <v>0</v>
      </c>
      <c r="AE119" s="212">
        <f t="shared" si="173"/>
        <v>0</v>
      </c>
      <c r="AF119" s="216">
        <f>-VLOOKUP($B119,'недельное планирование'!$B:$CA,AF$3,FALSE)</f>
        <v>500</v>
      </c>
      <c r="AG119" s="162">
        <f t="shared" si="174"/>
        <v>9329.0478103656096</v>
      </c>
      <c r="AH119" s="212">
        <f t="shared" si="175"/>
        <v>-8344.3149859381283</v>
      </c>
      <c r="AI119" s="216" t="e">
        <f>-VLOOKUP($B119,'недельное планирование'!$B:$CA,AI$3,FALSE)</f>
        <v>#N/A</v>
      </c>
      <c r="AJ119" s="162" t="e">
        <f t="shared" si="176"/>
        <v>#N/A</v>
      </c>
      <c r="AK119" s="212" t="e">
        <f t="shared" si="177"/>
        <v>#N/A</v>
      </c>
      <c r="AL119" s="216" t="e">
        <f>-VLOOKUP($B119,'недельное планирование'!$B:$CA,AL$3,FALSE)</f>
        <v>#N/A</v>
      </c>
      <c r="AM119" s="162" t="e">
        <f t="shared" si="178"/>
        <v>#N/A</v>
      </c>
      <c r="AN119" s="212" t="e">
        <f t="shared" si="179"/>
        <v>#N/A</v>
      </c>
      <c r="AO119" s="216" t="e">
        <f>-VLOOKUP($B119,'недельное планирование'!$B:$CA,AO$3,FALSE)</f>
        <v>#N/A</v>
      </c>
      <c r="AP119" s="162" t="e">
        <f t="shared" si="180"/>
        <v>#N/A</v>
      </c>
      <c r="AQ119" s="212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39">
        <v>36</v>
      </c>
      <c r="D120" s="239">
        <v>774</v>
      </c>
      <c r="E120" s="216">
        <f>-VLOOKUP($B120,'недельное планирование'!$B:$CA,E$3,FALSE)</f>
        <v>0</v>
      </c>
      <c r="F120" s="162">
        <f t="shared" si="156"/>
        <v>0</v>
      </c>
      <c r="G120" s="212">
        <f t="shared" si="157"/>
        <v>0</v>
      </c>
      <c r="H120" s="216">
        <f>-VLOOKUP($B120,'недельное планирование'!$B:$CA,H$3,FALSE)</f>
        <v>0</v>
      </c>
      <c r="I120" s="162">
        <f t="shared" si="158"/>
        <v>0</v>
      </c>
      <c r="J120" s="212">
        <f t="shared" si="159"/>
        <v>0</v>
      </c>
      <c r="K120" s="216">
        <f>-VLOOKUP($B120,'недельное планирование'!$B:$CA,K$3,FALSE)</f>
        <v>0</v>
      </c>
      <c r="L120" s="162">
        <f t="shared" si="160"/>
        <v>0</v>
      </c>
      <c r="M120" s="212">
        <f t="shared" si="161"/>
        <v>0</v>
      </c>
      <c r="N120" s="216">
        <f>-VLOOKUP($B120,'недельное планирование'!$B:$CA,N$3,FALSE)</f>
        <v>0</v>
      </c>
      <c r="O120" s="162">
        <f t="shared" si="162"/>
        <v>0</v>
      </c>
      <c r="P120" s="212">
        <f t="shared" si="163"/>
        <v>0</v>
      </c>
      <c r="Q120" s="216">
        <f>-VLOOKUP($B120,'недельное планирование'!$B:$CA,Q$3,FALSE)</f>
        <v>0</v>
      </c>
      <c r="R120" s="162">
        <f t="shared" si="164"/>
        <v>0</v>
      </c>
      <c r="S120" s="212">
        <f t="shared" si="165"/>
        <v>0</v>
      </c>
      <c r="T120" s="216">
        <f>-VLOOKUP($B120,'недельное планирование'!$B:$CA,T$3,FALSE)</f>
        <v>0</v>
      </c>
      <c r="U120" s="162">
        <f t="shared" si="166"/>
        <v>0</v>
      </c>
      <c r="V120" s="212">
        <f t="shared" si="167"/>
        <v>0</v>
      </c>
      <c r="W120" s="216">
        <f>-VLOOKUP($B120,'недельное планирование'!$B:$CA,W$3,FALSE)</f>
        <v>0</v>
      </c>
      <c r="X120" s="162">
        <f t="shared" si="168"/>
        <v>0</v>
      </c>
      <c r="Y120" s="212">
        <f t="shared" si="169"/>
        <v>0</v>
      </c>
      <c r="Z120" s="216">
        <f>-VLOOKUP($B120,'недельное планирование'!$B:$CA,Z$3,FALSE)</f>
        <v>0</v>
      </c>
      <c r="AA120" s="162">
        <f t="shared" si="170"/>
        <v>0</v>
      </c>
      <c r="AB120" s="212">
        <f t="shared" si="171"/>
        <v>0</v>
      </c>
      <c r="AC120" s="216">
        <f>-VLOOKUP($B120,'недельное планирование'!$B:$CA,AC$3,FALSE)</f>
        <v>0</v>
      </c>
      <c r="AD120" s="162">
        <f t="shared" si="172"/>
        <v>0</v>
      </c>
      <c r="AE120" s="212">
        <f t="shared" si="173"/>
        <v>0</v>
      </c>
      <c r="AF120" s="216">
        <f>-VLOOKUP($B120,'недельное планирование'!$B:$CA,AF$3,FALSE)</f>
        <v>0</v>
      </c>
      <c r="AG120" s="162">
        <f t="shared" si="174"/>
        <v>0</v>
      </c>
      <c r="AH120" s="212">
        <f t="shared" si="175"/>
        <v>0</v>
      </c>
      <c r="AI120" s="216" t="e">
        <f>-VLOOKUP($B120,'недельное планирование'!$B:$CA,AI$3,FALSE)</f>
        <v>#N/A</v>
      </c>
      <c r="AJ120" s="162" t="e">
        <f t="shared" si="176"/>
        <v>#N/A</v>
      </c>
      <c r="AK120" s="212" t="e">
        <f t="shared" si="177"/>
        <v>#N/A</v>
      </c>
      <c r="AL120" s="216" t="e">
        <f>-VLOOKUP($B120,'недельное планирование'!$B:$CA,AL$3,FALSE)</f>
        <v>#N/A</v>
      </c>
      <c r="AM120" s="162" t="e">
        <f t="shared" si="178"/>
        <v>#N/A</v>
      </c>
      <c r="AN120" s="212" t="e">
        <f t="shared" si="179"/>
        <v>#N/A</v>
      </c>
      <c r="AO120" s="216" t="e">
        <f>-VLOOKUP($B120,'недельное планирование'!$B:$CA,AO$3,FALSE)</f>
        <v>#N/A</v>
      </c>
      <c r="AP120" s="162" t="e">
        <f t="shared" si="180"/>
        <v>#N/A</v>
      </c>
      <c r="AQ120" s="212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39"/>
      <c r="D121" s="239"/>
      <c r="E121" s="216">
        <f>-VLOOKUP($B121,'недельное планирование'!$B:$CA,E$3,FALSE)</f>
        <v>0</v>
      </c>
      <c r="F121" s="162">
        <f t="shared" si="156"/>
        <v>0</v>
      </c>
      <c r="G121" s="212">
        <f t="shared" si="157"/>
        <v>0</v>
      </c>
      <c r="H121" s="216">
        <f>-VLOOKUP($B121,'недельное планирование'!$B:$CA,H$3,FALSE)</f>
        <v>0</v>
      </c>
      <c r="I121" s="162">
        <f t="shared" si="158"/>
        <v>0</v>
      </c>
      <c r="J121" s="212">
        <f t="shared" si="159"/>
        <v>0</v>
      </c>
      <c r="K121" s="216">
        <f>-VLOOKUP($B121,'недельное планирование'!$B:$CA,K$3,FALSE)</f>
        <v>0</v>
      </c>
      <c r="L121" s="162">
        <f t="shared" si="160"/>
        <v>0</v>
      </c>
      <c r="M121" s="212">
        <f t="shared" si="161"/>
        <v>0</v>
      </c>
      <c r="N121" s="216">
        <f>-VLOOKUP($B121,'недельное планирование'!$B:$CA,N$3,FALSE)</f>
        <v>0</v>
      </c>
      <c r="O121" s="162">
        <f t="shared" si="162"/>
        <v>0</v>
      </c>
      <c r="P121" s="212">
        <f t="shared" si="163"/>
        <v>0</v>
      </c>
      <c r="Q121" s="216">
        <f>-VLOOKUP($B121,'недельное планирование'!$B:$CA,Q$3,FALSE)</f>
        <v>0</v>
      </c>
      <c r="R121" s="162">
        <f t="shared" si="164"/>
        <v>0</v>
      </c>
      <c r="S121" s="212">
        <f t="shared" si="165"/>
        <v>0</v>
      </c>
      <c r="T121" s="216">
        <f>-VLOOKUP($B121,'недельное планирование'!$B:$CA,T$3,FALSE)</f>
        <v>0</v>
      </c>
      <c r="U121" s="162">
        <f t="shared" si="166"/>
        <v>0</v>
      </c>
      <c r="V121" s="212">
        <f t="shared" si="167"/>
        <v>0</v>
      </c>
      <c r="W121" s="216">
        <f>-VLOOKUP($B121,'недельное планирование'!$B:$CA,W$3,FALSE)</f>
        <v>0</v>
      </c>
      <c r="X121" s="162">
        <f t="shared" si="168"/>
        <v>0</v>
      </c>
      <c r="Y121" s="212">
        <f t="shared" si="169"/>
        <v>0</v>
      </c>
      <c r="Z121" s="216">
        <f>-VLOOKUP($B121,'недельное планирование'!$B:$CA,Z$3,FALSE)</f>
        <v>0</v>
      </c>
      <c r="AA121" s="162">
        <f t="shared" si="170"/>
        <v>0</v>
      </c>
      <c r="AB121" s="212">
        <f t="shared" si="171"/>
        <v>0</v>
      </c>
      <c r="AC121" s="216">
        <f>-VLOOKUP($B121,'недельное планирование'!$B:$CA,AC$3,FALSE)</f>
        <v>0</v>
      </c>
      <c r="AD121" s="162">
        <f t="shared" si="172"/>
        <v>0</v>
      </c>
      <c r="AE121" s="212">
        <f t="shared" si="173"/>
        <v>0</v>
      </c>
      <c r="AF121" s="216">
        <f>-VLOOKUP($B121,'недельное планирование'!$B:$CA,AF$3,FALSE)</f>
        <v>0</v>
      </c>
      <c r="AG121" s="162">
        <f t="shared" si="174"/>
        <v>0</v>
      </c>
      <c r="AH121" s="212">
        <f t="shared" si="175"/>
        <v>0</v>
      </c>
      <c r="AI121" s="216" t="e">
        <f>-VLOOKUP($B121,'недельное планирование'!$B:$CA,AI$3,FALSE)</f>
        <v>#N/A</v>
      </c>
      <c r="AJ121" s="162" t="e">
        <f t="shared" si="176"/>
        <v>#N/A</v>
      </c>
      <c r="AK121" s="212" t="e">
        <f t="shared" si="177"/>
        <v>#N/A</v>
      </c>
      <c r="AL121" s="216" t="e">
        <f>-VLOOKUP($B121,'недельное планирование'!$B:$CA,AL$3,FALSE)</f>
        <v>#N/A</v>
      </c>
      <c r="AM121" s="162" t="e">
        <f t="shared" si="178"/>
        <v>#N/A</v>
      </c>
      <c r="AN121" s="212" t="e">
        <f t="shared" si="179"/>
        <v>#N/A</v>
      </c>
      <c r="AO121" s="216" t="e">
        <f>-VLOOKUP($B121,'недельное планирование'!$B:$CA,AO$3,FALSE)</f>
        <v>#N/A</v>
      </c>
      <c r="AP121" s="162" t="e">
        <f t="shared" si="180"/>
        <v>#N/A</v>
      </c>
      <c r="AQ121" s="212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39"/>
      <c r="D122" s="239"/>
      <c r="E122" s="216">
        <f>-VLOOKUP($B122,'недельное планирование'!$B:$CA,E$3,FALSE)</f>
        <v>0</v>
      </c>
      <c r="F122" s="162">
        <f t="shared" si="156"/>
        <v>0</v>
      </c>
      <c r="G122" s="212">
        <f t="shared" si="157"/>
        <v>0</v>
      </c>
      <c r="H122" s="216">
        <f>-VLOOKUP($B122,'недельное планирование'!$B:$CA,H$3,FALSE)</f>
        <v>0</v>
      </c>
      <c r="I122" s="162">
        <f t="shared" si="158"/>
        <v>0</v>
      </c>
      <c r="J122" s="212">
        <f t="shared" si="159"/>
        <v>0</v>
      </c>
      <c r="K122" s="216">
        <f>-VLOOKUP($B122,'недельное планирование'!$B:$CA,K$3,FALSE)</f>
        <v>0</v>
      </c>
      <c r="L122" s="162">
        <f t="shared" si="160"/>
        <v>0</v>
      </c>
      <c r="M122" s="212">
        <f t="shared" si="161"/>
        <v>0</v>
      </c>
      <c r="N122" s="216">
        <f>-VLOOKUP($B122,'недельное планирование'!$B:$CA,N$3,FALSE)</f>
        <v>0</v>
      </c>
      <c r="O122" s="162">
        <f t="shared" si="162"/>
        <v>0</v>
      </c>
      <c r="P122" s="212">
        <f t="shared" si="163"/>
        <v>0</v>
      </c>
      <c r="Q122" s="216">
        <f>-VLOOKUP($B122,'недельное планирование'!$B:$CA,Q$3,FALSE)</f>
        <v>0</v>
      </c>
      <c r="R122" s="162">
        <f t="shared" si="164"/>
        <v>0</v>
      </c>
      <c r="S122" s="212">
        <f t="shared" si="165"/>
        <v>0</v>
      </c>
      <c r="T122" s="216">
        <f>-VLOOKUP($B122,'недельное планирование'!$B:$CA,T$3,FALSE)</f>
        <v>0</v>
      </c>
      <c r="U122" s="162">
        <f t="shared" si="166"/>
        <v>0</v>
      </c>
      <c r="V122" s="212">
        <f t="shared" si="167"/>
        <v>0</v>
      </c>
      <c r="W122" s="216">
        <f>-VLOOKUP($B122,'недельное планирование'!$B:$CA,W$3,FALSE)</f>
        <v>0</v>
      </c>
      <c r="X122" s="162">
        <f t="shared" si="168"/>
        <v>0</v>
      </c>
      <c r="Y122" s="212">
        <f t="shared" si="169"/>
        <v>0</v>
      </c>
      <c r="Z122" s="216">
        <f>-VLOOKUP($B122,'недельное планирование'!$B:$CA,Z$3,FALSE)</f>
        <v>0</v>
      </c>
      <c r="AA122" s="162">
        <f t="shared" si="170"/>
        <v>0</v>
      </c>
      <c r="AB122" s="212">
        <f t="shared" si="171"/>
        <v>0</v>
      </c>
      <c r="AC122" s="216">
        <f>-VLOOKUP($B122,'недельное планирование'!$B:$CA,AC$3,FALSE)</f>
        <v>0</v>
      </c>
      <c r="AD122" s="162">
        <f t="shared" si="172"/>
        <v>0</v>
      </c>
      <c r="AE122" s="212">
        <f t="shared" si="173"/>
        <v>0</v>
      </c>
      <c r="AF122" s="216">
        <f>-VLOOKUP($B122,'недельное планирование'!$B:$CA,AF$3,FALSE)</f>
        <v>0</v>
      </c>
      <c r="AG122" s="162">
        <f t="shared" si="174"/>
        <v>0</v>
      </c>
      <c r="AH122" s="212">
        <f t="shared" si="175"/>
        <v>0</v>
      </c>
      <c r="AI122" s="216" t="e">
        <f>-VLOOKUP($B122,'недельное планирование'!$B:$CA,AI$3,FALSE)</f>
        <v>#N/A</v>
      </c>
      <c r="AJ122" s="162" t="e">
        <f t="shared" si="176"/>
        <v>#N/A</v>
      </c>
      <c r="AK122" s="212" t="e">
        <f t="shared" si="177"/>
        <v>#N/A</v>
      </c>
      <c r="AL122" s="216" t="e">
        <f>-VLOOKUP($B122,'недельное планирование'!$B:$CA,AL$3,FALSE)</f>
        <v>#N/A</v>
      </c>
      <c r="AM122" s="162" t="e">
        <f t="shared" si="178"/>
        <v>#N/A</v>
      </c>
      <c r="AN122" s="212" t="e">
        <f t="shared" si="179"/>
        <v>#N/A</v>
      </c>
      <c r="AO122" s="216" t="e">
        <f>-VLOOKUP($B122,'недельное планирование'!$B:$CA,AO$3,FALSE)</f>
        <v>#N/A</v>
      </c>
      <c r="AP122" s="162" t="e">
        <f t="shared" si="180"/>
        <v>#N/A</v>
      </c>
      <c r="AQ122" s="212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39"/>
      <c r="D123" s="239"/>
      <c r="E123" s="216">
        <f>-VLOOKUP($B123,'недельное планирование'!$B:$CA,E$3,FALSE)</f>
        <v>0</v>
      </c>
      <c r="F123" s="162">
        <f t="shared" si="156"/>
        <v>0</v>
      </c>
      <c r="G123" s="212">
        <f t="shared" si="157"/>
        <v>0</v>
      </c>
      <c r="H123" s="216">
        <f>-VLOOKUP($B123,'недельное планирование'!$B:$CA,H$3,FALSE)</f>
        <v>0</v>
      </c>
      <c r="I123" s="162">
        <f t="shared" si="158"/>
        <v>0</v>
      </c>
      <c r="J123" s="212">
        <f t="shared" si="159"/>
        <v>0</v>
      </c>
      <c r="K123" s="216">
        <f>-VLOOKUP($B123,'недельное планирование'!$B:$CA,K$3,FALSE)</f>
        <v>0</v>
      </c>
      <c r="L123" s="162">
        <f t="shared" si="160"/>
        <v>0</v>
      </c>
      <c r="M123" s="212">
        <f t="shared" si="161"/>
        <v>0</v>
      </c>
      <c r="N123" s="216">
        <f>-VLOOKUP($B123,'недельное планирование'!$B:$CA,N$3,FALSE)</f>
        <v>0</v>
      </c>
      <c r="O123" s="162">
        <f t="shared" si="162"/>
        <v>0</v>
      </c>
      <c r="P123" s="212">
        <f t="shared" si="163"/>
        <v>0</v>
      </c>
      <c r="Q123" s="216">
        <f>-VLOOKUP($B123,'недельное планирование'!$B:$CA,Q$3,FALSE)</f>
        <v>0</v>
      </c>
      <c r="R123" s="162">
        <f t="shared" si="164"/>
        <v>0</v>
      </c>
      <c r="S123" s="212">
        <f t="shared" si="165"/>
        <v>0</v>
      </c>
      <c r="T123" s="216">
        <f>-VLOOKUP($B123,'недельное планирование'!$B:$CA,T$3,FALSE)</f>
        <v>0</v>
      </c>
      <c r="U123" s="162">
        <f t="shared" si="166"/>
        <v>0</v>
      </c>
      <c r="V123" s="212">
        <f t="shared" si="167"/>
        <v>0</v>
      </c>
      <c r="W123" s="216">
        <f>-VLOOKUP($B123,'недельное планирование'!$B:$CA,W$3,FALSE)</f>
        <v>0</v>
      </c>
      <c r="X123" s="162">
        <f t="shared" si="168"/>
        <v>0</v>
      </c>
      <c r="Y123" s="212">
        <f t="shared" si="169"/>
        <v>0</v>
      </c>
      <c r="Z123" s="216">
        <f>-VLOOKUP($B123,'недельное планирование'!$B:$CA,Z$3,FALSE)</f>
        <v>0</v>
      </c>
      <c r="AA123" s="162">
        <f t="shared" si="170"/>
        <v>0</v>
      </c>
      <c r="AB123" s="212">
        <f t="shared" si="171"/>
        <v>0</v>
      </c>
      <c r="AC123" s="216">
        <f>-VLOOKUP($B123,'недельное планирование'!$B:$CA,AC$3,FALSE)</f>
        <v>0</v>
      </c>
      <c r="AD123" s="162">
        <f t="shared" si="172"/>
        <v>0</v>
      </c>
      <c r="AE123" s="212">
        <f t="shared" si="173"/>
        <v>0</v>
      </c>
      <c r="AF123" s="216">
        <f>-VLOOKUP($B123,'недельное планирование'!$B:$CA,AF$3,FALSE)</f>
        <v>0</v>
      </c>
      <c r="AG123" s="162">
        <f t="shared" si="174"/>
        <v>0</v>
      </c>
      <c r="AH123" s="212">
        <f t="shared" si="175"/>
        <v>0</v>
      </c>
      <c r="AI123" s="216" t="e">
        <f>-VLOOKUP($B123,'недельное планирование'!$B:$CA,AI$3,FALSE)</f>
        <v>#N/A</v>
      </c>
      <c r="AJ123" s="162" t="e">
        <f t="shared" si="176"/>
        <v>#N/A</v>
      </c>
      <c r="AK123" s="212" t="e">
        <f t="shared" si="177"/>
        <v>#N/A</v>
      </c>
      <c r="AL123" s="216" t="e">
        <f>-VLOOKUP($B123,'недельное планирование'!$B:$CA,AL$3,FALSE)</f>
        <v>#N/A</v>
      </c>
      <c r="AM123" s="162" t="e">
        <f t="shared" si="178"/>
        <v>#N/A</v>
      </c>
      <c r="AN123" s="212" t="e">
        <f t="shared" si="179"/>
        <v>#N/A</v>
      </c>
      <c r="AO123" s="216" t="e">
        <f>-VLOOKUP($B123,'недельное планирование'!$B:$CA,AO$3,FALSE)</f>
        <v>#N/A</v>
      </c>
      <c r="AP123" s="162" t="e">
        <f t="shared" si="180"/>
        <v>#N/A</v>
      </c>
      <c r="AQ123" s="212" t="e">
        <f t="shared" si="181"/>
        <v>#N/A</v>
      </c>
    </row>
    <row r="124" spans="1:43" ht="24" customHeight="1">
      <c r="A124" s="169"/>
      <c r="B124" s="262" t="s">
        <v>257</v>
      </c>
      <c r="C124" s="239">
        <v>40</v>
      </c>
      <c r="D124" s="239">
        <v>874</v>
      </c>
      <c r="E124" s="216">
        <f>-VLOOKUP($B124,'недельное планирование'!$B:$CA,E$3,FALSE)</f>
        <v>0</v>
      </c>
      <c r="F124" s="162">
        <f>$D124*100/($C124+$C$3)*E124/1000*$C124/$C$2</f>
        <v>0</v>
      </c>
      <c r="G124" s="212">
        <f>$D124*100/($C124+$C$3)*E124/1000-F124</f>
        <v>0</v>
      </c>
      <c r="H124" s="216">
        <f>-VLOOKUP($B124,'недельное планирование'!$B:$CA,H$3,FALSE)</f>
        <v>0</v>
      </c>
      <c r="I124" s="162">
        <f>$D124*100/($C124+$C$3)*H124/1000*$C124/$C$2</f>
        <v>0</v>
      </c>
      <c r="J124" s="212">
        <f>$D124*100/($C124+$C$3)*H124/1000-I124</f>
        <v>0</v>
      </c>
      <c r="K124" s="216">
        <f>-VLOOKUP($B124,'недельное планирование'!$B:$CA,K$3,FALSE)</f>
        <v>0</v>
      </c>
      <c r="L124" s="162">
        <f>$D124*100/($C124+$C$3)*K124/1000*$C124/$C$2</f>
        <v>0</v>
      </c>
      <c r="M124" s="212">
        <f>$D124*100/($C124+$C$3)*K124/1000-L124</f>
        <v>0</v>
      </c>
      <c r="N124" s="216">
        <f>-VLOOKUP($B124,'недельное планирование'!$B:$CA,N$3,FALSE)</f>
        <v>0</v>
      </c>
      <c r="O124" s="162">
        <f>$D124*100/($C124+$C$3)*N124/1000*$C124/$C$2</f>
        <v>0</v>
      </c>
      <c r="P124" s="212">
        <f>$D124*100/($C124+$C$3)*N124/1000-O124</f>
        <v>0</v>
      </c>
      <c r="Q124" s="216">
        <f>-VLOOKUP($B124,'недельное планирование'!$B:$CA,Q$3,FALSE)</f>
        <v>0</v>
      </c>
      <c r="R124" s="162">
        <f>$D124*100/($C124+$C$3)*Q124/1000*$C124/$C$2</f>
        <v>0</v>
      </c>
      <c r="S124" s="212">
        <f>$D124*100/($C124+$C$3)*Q124/1000-R124</f>
        <v>0</v>
      </c>
      <c r="T124" s="216">
        <f>-VLOOKUP($B124,'недельное планирование'!$B:$CA,T$3,FALSE)</f>
        <v>0</v>
      </c>
      <c r="U124" s="162">
        <f>$D124*100/($C124+$C$3)*T124/1000*$C124/$C$2</f>
        <v>0</v>
      </c>
      <c r="V124" s="212">
        <f>$D124*100/($C124+$C$3)*T124/1000-U124</f>
        <v>0</v>
      </c>
      <c r="W124" s="216">
        <f>-VLOOKUP($B124,'недельное планирование'!$B:$CA,W$3,FALSE)</f>
        <v>0</v>
      </c>
      <c r="X124" s="162">
        <f>$D124*100/($C124+$C$3)*W124/1000*$C124/$C$2</f>
        <v>0</v>
      </c>
      <c r="Y124" s="212">
        <f>$D124*100/($C124+$C$3)*W124/1000-X124</f>
        <v>0</v>
      </c>
      <c r="Z124" s="216">
        <f>-VLOOKUP($B124,'недельное планирование'!$B:$CA,Z$3,FALSE)</f>
        <v>0</v>
      </c>
      <c r="AA124" s="162">
        <f>$D124*100/($C124+$C$3)*Z124/1000*$C124/$C$2</f>
        <v>0</v>
      </c>
      <c r="AB124" s="212">
        <f>$D124*100/($C124+$C$3)*Z124/1000-AA124</f>
        <v>0</v>
      </c>
      <c r="AC124" s="216">
        <f>-VLOOKUP($B124,'недельное планирование'!$B:$CA,AC$3,FALSE)</f>
        <v>0</v>
      </c>
      <c r="AD124" s="162">
        <f>$D124*100/($C124+$C$3)*AC124/1000*$C124/$C$2</f>
        <v>0</v>
      </c>
      <c r="AE124" s="212">
        <f>$D124*100/($C124+$C$3)*AC124/1000-AD124</f>
        <v>0</v>
      </c>
      <c r="AF124" s="216">
        <f>-VLOOKUP($B124,'недельное планирование'!$B:$CA,AF$3,FALSE)</f>
        <v>0</v>
      </c>
      <c r="AG124" s="162">
        <f>$D124*100/($C124+$C$3)*AF124/1000*$C124/$C$2</f>
        <v>0</v>
      </c>
      <c r="AH124" s="212">
        <f>$D124*100/($C124+$C$3)*AF124/1000-AG124</f>
        <v>0</v>
      </c>
      <c r="AI124" s="216">
        <f>-VLOOKUP($B124,'недельное планирование'!$B:$CA,AI$3,FALSE)</f>
        <v>0</v>
      </c>
      <c r="AJ124" s="162">
        <f>$D124*100/($C124+$C$3)*AI124/1000*$C124/$C$2</f>
        <v>0</v>
      </c>
      <c r="AK124" s="212">
        <f>$D124*100/($C124+$C$3)*AI124/1000-AJ124</f>
        <v>0</v>
      </c>
      <c r="AL124" s="216">
        <f>-VLOOKUP($B124,'недельное планирование'!$B:$CA,AL$3,FALSE)</f>
        <v>0</v>
      </c>
      <c r="AM124" s="162">
        <f>$D124*100/($C124+$C$3)*AL124/1000*$C124/$C$2</f>
        <v>0</v>
      </c>
      <c r="AN124" s="212">
        <f>$D124*100/($C124+$C$3)*AL124/1000-AM124</f>
        <v>0</v>
      </c>
      <c r="AO124" s="216">
        <f>-VLOOKUP($B124,'недельное планирование'!$B:$CA,AO$3,FALSE)</f>
        <v>0</v>
      </c>
      <c r="AP124" s="162">
        <f>$D124*100/($C124+$C$3)*AO124/1000*$C124/$C$2</f>
        <v>0</v>
      </c>
      <c r="AQ124" s="212">
        <f>$D124*100/($C124+$C$3)*AO124/1000-AP124</f>
        <v>0</v>
      </c>
    </row>
    <row r="126" spans="1:43" ht="27" customHeight="1">
      <c r="B126" s="223" t="s">
        <v>165</v>
      </c>
      <c r="C126" s="224"/>
      <c r="D126" s="224"/>
      <c r="E126" s="259"/>
      <c r="F126" s="260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0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59"/>
      <c r="I126" s="260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0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59"/>
      <c r="L126" s="260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0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59"/>
      <c r="O126" s="260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0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59"/>
      <c r="R126" s="260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0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59"/>
      <c r="U126" s="260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0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59"/>
      <c r="X126" s="260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0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59"/>
      <c r="AA126" s="260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0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59"/>
      <c r="AD126" s="260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0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59"/>
      <c r="AG126" s="260">
        <f>SUM(AG7:AG64)+SUM(AG67:AG82)+SUM(AG90:AG100)+SUM(AG102:AG107)+SUM(AG109:AG124)</f>
        <v>90638.0620062206</v>
      </c>
      <c r="AH126" s="260">
        <f>SUM(AH7:AH64)+SUM(AH67:AH82)+SUM(AH90:AH100)+SUM(AH102:AH107)+SUM(AH109:AH124)</f>
        <v>-7186.1334073230919</v>
      </c>
      <c r="AI126" s="259"/>
      <c r="AJ126" s="260" t="e">
        <f>SUM(AJ7:AJ64)+SUM(AJ67:AJ82)+SUM(AJ90:AJ100)+SUM(AJ102:AJ107)+SUM(AJ109:AJ124)</f>
        <v>#N/A</v>
      </c>
      <c r="AK126" s="260" t="e">
        <f>SUM(AK7:AK64)+SUM(AK67:AK82)+SUM(AK90:AK100)+SUM(AK102:AK107)+SUM(AK109:AK124)</f>
        <v>#N/A</v>
      </c>
      <c r="AL126" s="259"/>
      <c r="AM126" s="260" t="e">
        <f>SUM(AM7:AM64)+SUM(AM67:AM82)+SUM(AM90:AM100)+SUM(AM102:AM107)+SUM(AM109:AM124)</f>
        <v>#N/A</v>
      </c>
      <c r="AN126" s="260" t="e">
        <f>SUM(AN7:AN64)+SUM(AN67:AN82)+SUM(AN90:AN100)+SUM(AN102:AN107)+SUM(AN109:AN124)</f>
        <v>#N/A</v>
      </c>
      <c r="AO126" s="259"/>
      <c r="AP126" s="260" t="e">
        <f>SUM(AP7:AP64)+SUM(AP67:AP82)+SUM(AP90:AP100)+SUM(AP102:AP107)+SUM(AP109:AP124)</f>
        <v>#N/A</v>
      </c>
      <c r="AQ126" s="260" t="e">
        <f>SUM(AQ7:AQ64)+SUM(AQ67:AQ82)+SUM(AQ90:AQ100)+SUM(AQ102:AQ107)+SUM(AQ109:AQ124)</f>
        <v>#N/A</v>
      </c>
    </row>
    <row r="127" spans="1:43" ht="25.35" customHeight="1">
      <c r="A127" s="2559" t="s">
        <v>242</v>
      </c>
      <c r="B127" s="2559"/>
      <c r="C127" s="2560">
        <f>F126+I126+L126+O126+R126+U126+X126+AA126+AD126+AG126</f>
        <v>941881.51901850512</v>
      </c>
      <c r="D127" s="2560"/>
    </row>
    <row r="128" spans="1:43" ht="25.35" customHeight="1">
      <c r="A128" s="2559" t="s">
        <v>243</v>
      </c>
      <c r="B128" s="2559"/>
      <c r="C128" s="2560">
        <f>G126+J126+M126+P126+S126+V126+Y126+AB126+AE126+AH126</f>
        <v>19299.133062662651</v>
      </c>
      <c r="D128" s="2560"/>
      <c r="E128" s="256"/>
      <c r="F128" s="256"/>
    </row>
    <row r="129" spans="1:4" ht="25.35" customHeight="1">
      <c r="A129" s="2557" t="s">
        <v>244</v>
      </c>
      <c r="B129" s="2557"/>
      <c r="C129" s="2558">
        <f>C127+C128</f>
        <v>961180.65208116779</v>
      </c>
      <c r="D129" s="2558"/>
    </row>
    <row r="130" spans="1:4" ht="25.35" customHeight="1">
      <c r="A130" s="258"/>
      <c r="B130" s="258"/>
    </row>
    <row r="131" spans="1:4" ht="25.35" customHeight="1">
      <c r="A131" s="2559" t="s">
        <v>245</v>
      </c>
      <c r="B131" s="2559"/>
      <c r="C131" s="2560" t="e">
        <f>AJ126</f>
        <v>#N/A</v>
      </c>
      <c r="D131" s="2560"/>
    </row>
    <row r="132" spans="1:4" ht="25.35" customHeight="1">
      <c r="A132" s="2559" t="s">
        <v>246</v>
      </c>
      <c r="B132" s="2559"/>
      <c r="C132" s="2560" t="e">
        <f>AK126</f>
        <v>#N/A</v>
      </c>
      <c r="D132" s="2560"/>
    </row>
    <row r="133" spans="1:4" ht="25.35" customHeight="1">
      <c r="A133" s="2557" t="s">
        <v>247</v>
      </c>
      <c r="B133" s="2557"/>
      <c r="C133" s="2558" t="e">
        <f>C131+C132</f>
        <v>#N/A</v>
      </c>
      <c r="D133" s="2558"/>
    </row>
    <row r="134" spans="1:4" ht="25.35" customHeight="1">
      <c r="A134" s="258"/>
      <c r="B134" s="258"/>
    </row>
    <row r="135" spans="1:4" ht="25.35" customHeight="1">
      <c r="A135" s="2559" t="s">
        <v>248</v>
      </c>
      <c r="B135" s="2559"/>
      <c r="C135" s="2560" t="e">
        <f>AM126</f>
        <v>#N/A</v>
      </c>
      <c r="D135" s="2560"/>
    </row>
    <row r="136" spans="1:4" ht="25.35" customHeight="1">
      <c r="A136" s="2559" t="s">
        <v>249</v>
      </c>
      <c r="B136" s="2559"/>
      <c r="C136" s="2560" t="e">
        <f>AN126</f>
        <v>#N/A</v>
      </c>
      <c r="D136" s="2560"/>
    </row>
    <row r="137" spans="1:4" ht="25.35" customHeight="1">
      <c r="A137" s="2557" t="s">
        <v>250</v>
      </c>
      <c r="B137" s="2557"/>
      <c r="C137" s="2558" t="e">
        <f>C135+C136</f>
        <v>#N/A</v>
      </c>
      <c r="D137" s="2558"/>
    </row>
    <row r="138" spans="1:4" ht="25.35" customHeight="1">
      <c r="A138" s="258"/>
      <c r="B138" s="258"/>
    </row>
    <row r="139" spans="1:4" ht="25.35" customHeight="1">
      <c r="A139" s="2559" t="s">
        <v>251</v>
      </c>
      <c r="B139" s="2559"/>
      <c r="C139" s="2560" t="e">
        <f>AP126</f>
        <v>#N/A</v>
      </c>
      <c r="D139" s="2560"/>
    </row>
    <row r="140" spans="1:4" ht="25.35" customHeight="1">
      <c r="A140" s="2559" t="s">
        <v>252</v>
      </c>
      <c r="B140" s="2559"/>
      <c r="C140" s="2560" t="e">
        <f>AQ126</f>
        <v>#N/A</v>
      </c>
      <c r="D140" s="2560"/>
    </row>
    <row r="141" spans="1:4" ht="25.35" customHeight="1">
      <c r="A141" s="2557" t="s">
        <v>253</v>
      </c>
      <c r="B141" s="2557"/>
      <c r="C141" s="2558" t="e">
        <f>C139+C140</f>
        <v>#N/A</v>
      </c>
      <c r="D141" s="2558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A139:B139"/>
    <mergeCell ref="C139:D139"/>
    <mergeCell ref="A140:B140"/>
    <mergeCell ref="C140:D140"/>
    <mergeCell ref="A141:B141"/>
    <mergeCell ref="C141:D141"/>
    <mergeCell ref="A135:B135"/>
    <mergeCell ref="C135:D135"/>
    <mergeCell ref="A136:B136"/>
    <mergeCell ref="C136:D136"/>
    <mergeCell ref="A137:B137"/>
    <mergeCell ref="C137:D137"/>
    <mergeCell ref="A131:B131"/>
    <mergeCell ref="C131:D131"/>
    <mergeCell ref="A132:B132"/>
    <mergeCell ref="C132:D132"/>
    <mergeCell ref="A133:B133"/>
    <mergeCell ref="C133:D133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W5:Y5"/>
    <mergeCell ref="A5:A6"/>
    <mergeCell ref="B5:B6"/>
    <mergeCell ref="E5:G5"/>
    <mergeCell ref="H5:J5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4.4"/>
  <cols>
    <col min="1" max="2" width="8.5546875" style="66"/>
    <col min="3" max="4" width="2" style="66" customWidth="1"/>
    <col min="5" max="9" width="1.5546875" style="66" customWidth="1"/>
    <col min="10" max="106" width="1.5546875" customWidth="1"/>
  </cols>
  <sheetData>
    <row r="1" spans="11:42" ht="15" thickBot="1"/>
    <row r="2" spans="11:42" s="66" customFormat="1" ht="15" thickBot="1">
      <c r="K2" s="2561" t="s">
        <v>860</v>
      </c>
      <c r="L2" s="2562"/>
      <c r="M2" s="2562"/>
      <c r="N2" s="2562"/>
      <c r="O2" s="2562"/>
      <c r="P2" s="2563"/>
      <c r="Q2" s="2561" t="s">
        <v>861</v>
      </c>
      <c r="R2" s="2562"/>
      <c r="S2" s="2562"/>
      <c r="T2" s="2562"/>
      <c r="U2" s="2562"/>
      <c r="V2" s="2562"/>
      <c r="W2" s="2562"/>
      <c r="X2" s="2562"/>
      <c r="Y2" s="2562"/>
      <c r="Z2" s="2562"/>
      <c r="AA2" s="2562"/>
      <c r="AB2" s="2562"/>
      <c r="AC2" s="2562"/>
      <c r="AD2" s="2562"/>
      <c r="AE2" s="2562"/>
      <c r="AF2" s="2562"/>
      <c r="AG2" s="2562"/>
      <c r="AH2" s="2562"/>
      <c r="AI2" s="2562"/>
      <c r="AJ2" s="2563"/>
    </row>
    <row r="3" spans="11:42" s="66" customFormat="1" ht="20.100000000000001" customHeight="1">
      <c r="K3" s="2606" t="s">
        <v>779</v>
      </c>
      <c r="L3" s="2568"/>
      <c r="M3" s="2568"/>
      <c r="N3" s="2568"/>
      <c r="O3" s="2568"/>
      <c r="P3" s="2568"/>
      <c r="Q3" s="2568"/>
      <c r="R3" s="2569"/>
      <c r="S3" s="2589" t="s">
        <v>780</v>
      </c>
      <c r="T3" s="2590"/>
      <c r="U3" s="2590"/>
      <c r="V3" s="2590"/>
      <c r="W3" s="2590"/>
      <c r="X3" s="2590"/>
      <c r="Y3" s="2592" t="s">
        <v>781</v>
      </c>
      <c r="Z3" s="2593"/>
      <c r="AA3" s="2593"/>
      <c r="AB3" s="2593"/>
      <c r="AC3" s="2593"/>
      <c r="AD3" s="2593"/>
      <c r="AE3" s="2594"/>
      <c r="AF3" s="2595" t="s">
        <v>782</v>
      </c>
      <c r="AG3" s="2596"/>
      <c r="AH3" s="2597"/>
      <c r="AI3" s="2598"/>
      <c r="AJ3" s="2599"/>
    </row>
    <row r="4" spans="11:42" s="66" customFormat="1" ht="21">
      <c r="K4" s="1608">
        <v>1000</v>
      </c>
      <c r="L4" s="1608">
        <v>1000</v>
      </c>
      <c r="M4" s="1608">
        <v>1000</v>
      </c>
      <c r="N4" s="1608">
        <v>1000</v>
      </c>
      <c r="O4" s="1608">
        <v>1000</v>
      </c>
      <c r="P4" s="1608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" thickBot="1"/>
    <row r="7" spans="11:42" ht="15" thickBot="1">
      <c r="K7" s="2561" t="s">
        <v>855</v>
      </c>
      <c r="L7" s="2562"/>
      <c r="M7" s="2562"/>
      <c r="N7" s="2562"/>
      <c r="O7" s="2562"/>
      <c r="P7" s="2563"/>
      <c r="Q7" s="2564" t="s">
        <v>839</v>
      </c>
      <c r="R7" s="2565"/>
      <c r="S7" s="2565"/>
      <c r="T7" s="2565"/>
      <c r="U7" s="2565"/>
      <c r="V7" s="2565"/>
      <c r="W7" s="2565"/>
      <c r="X7" s="2565"/>
      <c r="Y7" s="2565"/>
      <c r="Z7" s="2565"/>
      <c r="AA7" s="2565"/>
      <c r="AB7" s="2565"/>
      <c r="AC7" s="2565"/>
      <c r="AD7" s="2565"/>
      <c r="AE7" s="2565"/>
      <c r="AF7" s="2565"/>
      <c r="AG7" s="2565"/>
      <c r="AH7" s="2565"/>
      <c r="AI7" s="2565"/>
      <c r="AJ7" s="2565"/>
      <c r="AK7" s="2565"/>
      <c r="AL7" s="2565"/>
      <c r="AM7" s="2565"/>
      <c r="AN7" s="2565"/>
      <c r="AO7" s="2565"/>
      <c r="AP7" s="2566"/>
    </row>
    <row r="8" spans="11:42">
      <c r="K8" s="2567" t="s">
        <v>779</v>
      </c>
      <c r="L8" s="2568"/>
      <c r="M8" s="2568"/>
      <c r="N8" s="2568"/>
      <c r="O8" s="2568"/>
      <c r="P8" s="2568"/>
      <c r="Q8" s="2568"/>
      <c r="R8" s="2568"/>
      <c r="S8" s="2568"/>
      <c r="T8" s="2568"/>
      <c r="U8" s="2568"/>
      <c r="V8" s="2569"/>
      <c r="W8" s="2570" t="s">
        <v>780</v>
      </c>
      <c r="X8" s="2571"/>
      <c r="Y8" s="2571"/>
      <c r="Z8" s="2571"/>
      <c r="AA8" s="2571"/>
      <c r="AB8" s="2571"/>
      <c r="AC8" s="2572"/>
      <c r="AD8" s="2573" t="s">
        <v>781</v>
      </c>
      <c r="AE8" s="2574"/>
      <c r="AF8" s="2574"/>
      <c r="AG8" s="2574"/>
      <c r="AH8" s="2574"/>
      <c r="AI8" s="2574"/>
      <c r="AJ8" s="2574"/>
      <c r="AK8" s="2575"/>
      <c r="AL8" s="2576" t="s">
        <v>782</v>
      </c>
      <c r="AM8" s="2577"/>
      <c r="AN8" s="2578"/>
      <c r="AO8" s="2579"/>
      <c r="AP8" s="2580"/>
    </row>
    <row r="9" spans="11:42" ht="21">
      <c r="K9" s="1608">
        <v>1000</v>
      </c>
      <c r="L9" s="1608">
        <v>1000</v>
      </c>
      <c r="M9" s="1608">
        <v>1000</v>
      </c>
      <c r="N9" s="1608">
        <v>1000</v>
      </c>
      <c r="O9" s="1608">
        <v>1000</v>
      </c>
      <c r="P9" s="1608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" thickBot="1"/>
    <row r="12" spans="11:42" ht="18.600000000000001" thickBot="1">
      <c r="K12" s="2561" t="s">
        <v>856</v>
      </c>
      <c r="L12" s="2562"/>
      <c r="M12" s="2562"/>
      <c r="N12" s="2562"/>
      <c r="O12" s="2562"/>
      <c r="P12" s="2563"/>
      <c r="Q12" s="2583" t="s">
        <v>841</v>
      </c>
      <c r="R12" s="2584"/>
      <c r="S12" s="2584"/>
      <c r="T12" s="2584"/>
      <c r="U12" s="2584"/>
      <c r="V12" s="2584"/>
      <c r="W12" s="2584"/>
      <c r="X12" s="2584"/>
      <c r="Y12" s="2584"/>
      <c r="Z12" s="2584"/>
      <c r="AA12" s="2584"/>
      <c r="AB12" s="2584"/>
      <c r="AC12" s="2584"/>
      <c r="AD12" s="2584"/>
      <c r="AE12" s="2584"/>
      <c r="AF12" s="2584"/>
      <c r="AG12" s="2584"/>
      <c r="AH12" s="2584"/>
      <c r="AI12" s="2584"/>
      <c r="AJ12" s="2584"/>
      <c r="AK12" s="2585"/>
    </row>
    <row r="13" spans="11:42">
      <c r="K13" s="2586" t="s">
        <v>779</v>
      </c>
      <c r="L13" s="2587"/>
      <c r="M13" s="2587"/>
      <c r="N13" s="2587"/>
      <c r="O13" s="2587"/>
      <c r="P13" s="2587"/>
      <c r="Q13" s="2587"/>
      <c r="R13" s="2588"/>
      <c r="S13" s="2589" t="s">
        <v>780</v>
      </c>
      <c r="T13" s="2590"/>
      <c r="U13" s="2590"/>
      <c r="V13" s="2590"/>
      <c r="W13" s="2590"/>
      <c r="X13" s="2590"/>
      <c r="Y13" s="2591"/>
      <c r="Z13" s="2592" t="s">
        <v>781</v>
      </c>
      <c r="AA13" s="2593"/>
      <c r="AB13" s="2593"/>
      <c r="AC13" s="2593"/>
      <c r="AD13" s="2593"/>
      <c r="AE13" s="2593"/>
      <c r="AF13" s="2594"/>
      <c r="AG13" s="2595" t="s">
        <v>782</v>
      </c>
      <c r="AH13" s="2596"/>
      <c r="AI13" s="2597"/>
      <c r="AJ13" s="2598"/>
      <c r="AK13" s="2599"/>
    </row>
    <row r="14" spans="11:42" ht="21">
      <c r="K14" s="1608">
        <v>1000</v>
      </c>
      <c r="L14" s="1608">
        <v>1000</v>
      </c>
      <c r="M14" s="1608">
        <v>1000</v>
      </c>
      <c r="N14" s="1608">
        <v>1000</v>
      </c>
      <c r="O14" s="1608">
        <v>1000</v>
      </c>
      <c r="P14" s="1608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" thickBot="1"/>
    <row r="17" spans="6:70" ht="21.6" thickBot="1">
      <c r="K17" s="2561" t="s">
        <v>858</v>
      </c>
      <c r="L17" s="2562"/>
      <c r="M17" s="2562"/>
      <c r="N17" s="2562"/>
      <c r="O17" s="2562"/>
      <c r="P17" s="2563"/>
      <c r="Q17" s="2561" t="s">
        <v>859</v>
      </c>
      <c r="R17" s="2562"/>
      <c r="S17" s="2562"/>
      <c r="T17" s="2562"/>
      <c r="U17" s="2562"/>
      <c r="V17" s="2562"/>
      <c r="W17" s="2562"/>
      <c r="X17" s="2562"/>
      <c r="Y17" s="2562"/>
      <c r="Z17" s="2562"/>
      <c r="AA17" s="2562"/>
      <c r="AB17" s="2562"/>
      <c r="AC17" s="2562"/>
      <c r="AD17" s="2562"/>
      <c r="AE17" s="2562"/>
      <c r="AF17" s="2562"/>
      <c r="AG17" s="2562"/>
      <c r="AH17" s="2562"/>
      <c r="AI17" s="2562"/>
      <c r="AJ17" s="2562"/>
      <c r="AK17" s="2562"/>
      <c r="AL17" s="2563"/>
    </row>
    <row r="18" spans="6:70">
      <c r="K18" s="2567" t="s">
        <v>779</v>
      </c>
      <c r="L18" s="2568"/>
      <c r="M18" s="2568"/>
      <c r="N18" s="2568"/>
      <c r="O18" s="2568"/>
      <c r="P18" s="2568"/>
      <c r="Q18" s="2568"/>
      <c r="R18" s="2568"/>
      <c r="S18" s="2568"/>
      <c r="T18" s="2569"/>
      <c r="U18" s="2570" t="s">
        <v>780</v>
      </c>
      <c r="V18" s="2571"/>
      <c r="W18" s="2571"/>
      <c r="X18" s="2571"/>
      <c r="Y18" s="2571"/>
      <c r="Z18" s="2571"/>
      <c r="AA18" s="2571"/>
      <c r="AB18" s="2573" t="s">
        <v>781</v>
      </c>
      <c r="AC18" s="2574"/>
      <c r="AD18" s="2574"/>
      <c r="AE18" s="2574"/>
      <c r="AF18" s="2574"/>
      <c r="AG18" s="2575"/>
      <c r="AH18" s="2576" t="s">
        <v>782</v>
      </c>
      <c r="AI18" s="2577"/>
      <c r="AJ18" s="2578"/>
      <c r="AK18" s="2579"/>
      <c r="AL18" s="2580"/>
    </row>
    <row r="19" spans="6:70" ht="21">
      <c r="K19" s="1608">
        <v>1000</v>
      </c>
      <c r="L19" s="1608">
        <v>1000</v>
      </c>
      <c r="M19" s="1608">
        <v>1000</v>
      </c>
      <c r="N19" s="1608">
        <v>1000</v>
      </c>
      <c r="O19" s="1608">
        <v>1000</v>
      </c>
      <c r="P19" s="1608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08">
        <v>320</v>
      </c>
      <c r="AE19" s="1608">
        <v>320</v>
      </c>
      <c r="AF19" s="1608">
        <v>320</v>
      </c>
      <c r="AG19" s="1608">
        <v>320</v>
      </c>
      <c r="AH19" s="75"/>
      <c r="AI19" s="75"/>
      <c r="AJ19" s="75"/>
      <c r="AK19" s="75"/>
      <c r="AL19" s="75"/>
    </row>
    <row r="21" spans="6:70" ht="15" thickBot="1"/>
    <row r="22" spans="6:70" ht="15" thickBot="1">
      <c r="K22" s="2561" t="s">
        <v>857</v>
      </c>
      <c r="L22" s="2562"/>
      <c r="M22" s="2562"/>
      <c r="N22" s="2562"/>
      <c r="O22" s="2562"/>
      <c r="P22" s="2563"/>
      <c r="Q22" s="2561" t="s">
        <v>812</v>
      </c>
      <c r="R22" s="2562"/>
      <c r="S22" s="2562"/>
      <c r="T22" s="2562"/>
      <c r="U22" s="2562"/>
      <c r="V22" s="2562"/>
      <c r="W22" s="2562"/>
      <c r="X22" s="2562"/>
      <c r="Y22" s="2562"/>
      <c r="Z22" s="2562"/>
      <c r="AA22" s="2562"/>
      <c r="AB22" s="2562"/>
      <c r="AC22" s="2562"/>
      <c r="AD22" s="2562"/>
      <c r="AE22" s="2562"/>
      <c r="AF22" s="2562"/>
      <c r="AG22" s="2562"/>
      <c r="AH22" s="2562"/>
      <c r="AI22" s="2563"/>
    </row>
    <row r="23" spans="6:70">
      <c r="K23" s="2567" t="s">
        <v>779</v>
      </c>
      <c r="L23" s="2568"/>
      <c r="M23" s="2568"/>
      <c r="N23" s="2568"/>
      <c r="O23" s="2568"/>
      <c r="P23" s="2568"/>
      <c r="Q23" s="2568"/>
      <c r="R23" s="2568"/>
      <c r="S23" s="2568"/>
      <c r="T23" s="2569"/>
      <c r="U23" s="2570" t="s">
        <v>780</v>
      </c>
      <c r="V23" s="2571"/>
      <c r="W23" s="2571"/>
      <c r="X23" s="2571"/>
      <c r="Y23" s="2571"/>
      <c r="Z23" s="2571"/>
      <c r="AA23" s="2581" t="s">
        <v>781</v>
      </c>
      <c r="AB23" s="2582"/>
      <c r="AC23" s="2582"/>
      <c r="AD23" s="2582"/>
      <c r="AE23" s="2576" t="s">
        <v>782</v>
      </c>
      <c r="AF23" s="2577"/>
      <c r="AG23" s="2578"/>
      <c r="AH23" s="2579"/>
      <c r="AI23" s="2580"/>
    </row>
    <row r="24" spans="6:70" ht="21">
      <c r="K24" s="1608">
        <v>1000</v>
      </c>
      <c r="L24" s="1608">
        <v>1000</v>
      </c>
      <c r="M24" s="1608">
        <v>1000</v>
      </c>
      <c r="N24" s="1608">
        <v>1000</v>
      </c>
      <c r="O24" s="1608">
        <v>1000</v>
      </c>
      <c r="P24" s="1608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08">
        <v>320</v>
      </c>
      <c r="AC24" s="1608">
        <v>320</v>
      </c>
      <c r="AD24" s="1608">
        <v>320</v>
      </c>
      <c r="AE24" s="75"/>
      <c r="AF24" s="75"/>
      <c r="AG24" s="75"/>
      <c r="AH24" s="75"/>
      <c r="AI24" s="75"/>
    </row>
    <row r="26" spans="6:70" ht="15" thickBot="1"/>
    <row r="27" spans="6:70" ht="16.2" thickBot="1">
      <c r="K27" s="2159" t="s">
        <v>862</v>
      </c>
      <c r="L27" s="2160"/>
      <c r="M27" s="2161"/>
      <c r="N27" s="2162" t="s">
        <v>843</v>
      </c>
      <c r="O27" s="2163"/>
      <c r="P27" s="2163"/>
      <c r="Q27" s="2163"/>
      <c r="R27" s="2163"/>
      <c r="S27" s="2163"/>
      <c r="T27" s="2163"/>
      <c r="U27" s="2163"/>
      <c r="V27" s="2163"/>
      <c r="W27" s="2163"/>
      <c r="X27" s="2163"/>
      <c r="Y27" s="2163"/>
      <c r="Z27" s="2163"/>
      <c r="AA27" s="2163"/>
      <c r="AB27" s="2163"/>
      <c r="AC27" s="2163"/>
      <c r="AD27" s="2163"/>
      <c r="AE27" s="2164"/>
      <c r="AJ27" s="2159" t="s">
        <v>862</v>
      </c>
      <c r="AK27" s="2160"/>
      <c r="AL27" s="2161"/>
      <c r="AM27" s="2162" t="s">
        <v>843</v>
      </c>
      <c r="AN27" s="2163"/>
      <c r="AO27" s="2163"/>
      <c r="AP27" s="2163"/>
      <c r="AQ27" s="2163"/>
      <c r="AR27" s="2163"/>
      <c r="AS27" s="2163"/>
      <c r="AT27" s="2163"/>
      <c r="AU27" s="2163"/>
      <c r="AV27" s="2163"/>
      <c r="AW27" s="2163"/>
      <c r="AX27" s="2163"/>
      <c r="AY27" s="2163"/>
      <c r="AZ27" s="2163"/>
      <c r="BA27" s="2163"/>
      <c r="BB27" s="2163"/>
      <c r="BC27" s="2163"/>
      <c r="BD27" s="2164"/>
    </row>
    <row r="28" spans="6:70">
      <c r="K28" s="2600" t="s">
        <v>783</v>
      </c>
      <c r="L28" s="2601"/>
      <c r="M28" s="2601"/>
      <c r="N28" s="2601"/>
      <c r="O28" s="2601"/>
      <c r="P28" s="2602"/>
      <c r="Q28" s="2603" t="s">
        <v>840</v>
      </c>
      <c r="R28" s="2604"/>
      <c r="S28" s="2604"/>
      <c r="T28" s="2604"/>
      <c r="U28" s="2604"/>
      <c r="V28" s="2604"/>
      <c r="W28" s="2604"/>
      <c r="X28" s="2604"/>
      <c r="Y28" s="2604"/>
      <c r="Z28" s="2604"/>
      <c r="AA28" s="2604"/>
      <c r="AB28" s="2604"/>
      <c r="AC28" s="2604"/>
      <c r="AD28" s="2604"/>
      <c r="AE28" s="2605"/>
      <c r="AJ28" s="2600" t="s">
        <v>783</v>
      </c>
      <c r="AK28" s="2601"/>
      <c r="AL28" s="2601"/>
      <c r="AM28" s="2601"/>
      <c r="AN28" s="2601"/>
      <c r="AO28" s="2602"/>
      <c r="AP28" s="2603" t="s">
        <v>840</v>
      </c>
      <c r="AQ28" s="2604"/>
      <c r="AR28" s="2604"/>
      <c r="AS28" s="2604"/>
      <c r="AT28" s="2604"/>
      <c r="AU28" s="2604"/>
      <c r="AV28" s="2604"/>
      <c r="AW28" s="2604"/>
      <c r="AX28" s="2604"/>
      <c r="AY28" s="2604"/>
      <c r="AZ28" s="2604"/>
      <c r="BA28" s="2604"/>
      <c r="BB28" s="2604"/>
      <c r="BC28" s="2604"/>
      <c r="BD28" s="2605"/>
    </row>
    <row r="29" spans="6:70" ht="16.8">
      <c r="F29" s="1608">
        <v>300</v>
      </c>
      <c r="G29" s="1608">
        <v>300</v>
      </c>
      <c r="H29" s="1608">
        <v>300</v>
      </c>
      <c r="I29" s="1608">
        <v>300</v>
      </c>
      <c r="J29" s="1608">
        <v>300</v>
      </c>
      <c r="K29" s="1608">
        <v>60</v>
      </c>
      <c r="L29" s="1608">
        <v>60</v>
      </c>
      <c r="M29" s="1608">
        <v>60</v>
      </c>
      <c r="N29" s="1608">
        <v>60</v>
      </c>
      <c r="O29" s="1608">
        <v>60</v>
      </c>
      <c r="P29" s="1608">
        <v>60</v>
      </c>
      <c r="Q29" s="1608">
        <v>60</v>
      </c>
      <c r="R29" s="1608">
        <v>60</v>
      </c>
      <c r="S29" s="1608">
        <v>60</v>
      </c>
      <c r="T29" s="1608">
        <v>60</v>
      </c>
      <c r="U29" s="1608">
        <v>60</v>
      </c>
      <c r="V29" s="1608">
        <v>60</v>
      </c>
      <c r="W29" s="1608">
        <v>60</v>
      </c>
      <c r="X29" s="1608">
        <v>60</v>
      </c>
      <c r="Y29" s="1608">
        <v>60</v>
      </c>
      <c r="Z29" s="1608">
        <v>60</v>
      </c>
      <c r="AA29" s="1608">
        <v>60</v>
      </c>
      <c r="AB29" s="1608">
        <v>60</v>
      </c>
      <c r="AC29" s="1608">
        <v>60</v>
      </c>
      <c r="AD29" s="1608">
        <v>60</v>
      </c>
      <c r="AE29" s="1608">
        <v>60</v>
      </c>
      <c r="AJ29" s="1608">
        <v>60</v>
      </c>
      <c r="AK29" s="1608">
        <v>60</v>
      </c>
      <c r="AL29" s="1608">
        <v>60</v>
      </c>
      <c r="AM29" s="1608">
        <v>60</v>
      </c>
      <c r="AN29" s="1608">
        <v>60</v>
      </c>
      <c r="AO29" s="1608">
        <v>60</v>
      </c>
      <c r="AP29" s="1608">
        <v>60</v>
      </c>
      <c r="AQ29" s="1608">
        <v>60</v>
      </c>
      <c r="AR29" s="1608">
        <v>60</v>
      </c>
      <c r="AS29" s="1608">
        <v>60</v>
      </c>
      <c r="AT29" s="1608">
        <v>60</v>
      </c>
      <c r="AU29" s="1608">
        <v>60</v>
      </c>
      <c r="AV29" s="1608">
        <v>60</v>
      </c>
      <c r="AW29" s="1608">
        <v>60</v>
      </c>
      <c r="AX29" s="1608">
        <v>60</v>
      </c>
      <c r="AY29" s="1608">
        <v>60</v>
      </c>
      <c r="AZ29" s="1608">
        <v>60</v>
      </c>
      <c r="BA29" s="1608">
        <v>60</v>
      </c>
      <c r="BB29" s="1608">
        <v>60</v>
      </c>
      <c r="BC29" s="1608">
        <v>60</v>
      </c>
      <c r="BD29" s="1608">
        <v>60</v>
      </c>
    </row>
    <row r="31" spans="6:70" ht="15" thickBot="1"/>
    <row r="32" spans="6:70" ht="21.6" thickBot="1">
      <c r="K32" s="2141" t="s">
        <v>863</v>
      </c>
      <c r="L32" s="2142"/>
      <c r="M32" s="2142"/>
      <c r="N32" s="2143"/>
      <c r="O32" s="2202" t="s">
        <v>864</v>
      </c>
      <c r="P32" s="2203"/>
      <c r="Q32" s="2203"/>
      <c r="R32" s="2203"/>
      <c r="S32" s="2203"/>
      <c r="T32" s="2203"/>
      <c r="U32" s="2203"/>
      <c r="V32" s="2203"/>
      <c r="W32" s="2203"/>
      <c r="X32" s="2203"/>
      <c r="Y32" s="2203"/>
      <c r="Z32" s="2203"/>
      <c r="AA32" s="2203"/>
      <c r="AB32" s="2203"/>
      <c r="AC32" s="2203"/>
      <c r="AD32" s="2203"/>
      <c r="AE32" s="2203"/>
      <c r="AF32" s="2203"/>
      <c r="AG32" s="2203"/>
      <c r="AH32" s="2203"/>
      <c r="AI32" s="2203"/>
      <c r="AJ32" s="2203"/>
      <c r="AK32" s="2203"/>
      <c r="AL32" s="2204"/>
      <c r="AQ32" s="2141" t="s">
        <v>863</v>
      </c>
      <c r="AR32" s="2142"/>
      <c r="AS32" s="2142"/>
      <c r="AT32" s="2143"/>
      <c r="AU32" s="2202" t="s">
        <v>864</v>
      </c>
      <c r="AV32" s="2203"/>
      <c r="AW32" s="2203"/>
      <c r="AX32" s="2203"/>
      <c r="AY32" s="2203"/>
      <c r="AZ32" s="2203"/>
      <c r="BA32" s="2203"/>
      <c r="BB32" s="2203"/>
      <c r="BC32" s="2203"/>
      <c r="BD32" s="2203"/>
      <c r="BE32" s="2203"/>
      <c r="BF32" s="2203"/>
      <c r="BG32" s="2203"/>
      <c r="BH32" s="2203"/>
      <c r="BI32" s="2203"/>
      <c r="BJ32" s="2203"/>
      <c r="BK32" s="2203"/>
      <c r="BL32" s="2203"/>
      <c r="BM32" s="2203"/>
      <c r="BN32" s="2203"/>
      <c r="BO32" s="2203"/>
      <c r="BP32" s="2203"/>
      <c r="BQ32" s="2203"/>
      <c r="BR32" s="2204"/>
    </row>
    <row r="33" spans="6:99">
      <c r="K33" s="2610" t="s">
        <v>783</v>
      </c>
      <c r="L33" s="2611"/>
      <c r="M33" s="2611"/>
      <c r="N33" s="2611"/>
      <c r="O33" s="2611"/>
      <c r="P33" s="2612"/>
      <c r="Q33" s="2610" t="s">
        <v>810</v>
      </c>
      <c r="R33" s="2611"/>
      <c r="S33" s="2611"/>
      <c r="T33" s="2611"/>
      <c r="U33" s="2611"/>
      <c r="V33" s="2611"/>
      <c r="W33" s="2611"/>
      <c r="X33" s="2611"/>
      <c r="Y33" s="2611"/>
      <c r="Z33" s="2611"/>
      <c r="AA33" s="2611"/>
      <c r="AB33" s="2611"/>
      <c r="AC33" s="2611"/>
      <c r="AD33" s="2611"/>
      <c r="AE33" s="2611"/>
      <c r="AF33" s="2611"/>
      <c r="AG33" s="2611"/>
      <c r="AH33" s="2611"/>
      <c r="AI33" s="2611"/>
      <c r="AJ33" s="2613"/>
      <c r="AK33" s="2614" t="s">
        <v>811</v>
      </c>
      <c r="AL33" s="2615"/>
      <c r="AQ33" s="2610" t="s">
        <v>783</v>
      </c>
      <c r="AR33" s="2611"/>
      <c r="AS33" s="2611"/>
      <c r="AT33" s="2611"/>
      <c r="AU33" s="2611"/>
      <c r="AV33" s="2612"/>
      <c r="AW33" s="2610" t="s">
        <v>810</v>
      </c>
      <c r="AX33" s="2611"/>
      <c r="AY33" s="2611"/>
      <c r="AZ33" s="2611"/>
      <c r="BA33" s="2611"/>
      <c r="BB33" s="2611"/>
      <c r="BC33" s="2611"/>
      <c r="BD33" s="2611"/>
      <c r="BE33" s="2611"/>
      <c r="BF33" s="2611"/>
      <c r="BG33" s="2611"/>
      <c r="BH33" s="2611"/>
      <c r="BI33" s="2611"/>
      <c r="BJ33" s="2611"/>
      <c r="BK33" s="2611"/>
      <c r="BL33" s="2611"/>
      <c r="BM33" s="2611"/>
      <c r="BN33" s="2611"/>
      <c r="BO33" s="2611"/>
      <c r="BP33" s="2613"/>
      <c r="BQ33" s="2614" t="s">
        <v>811</v>
      </c>
      <c r="BR33" s="2615"/>
    </row>
    <row r="34" spans="6:99" ht="16.8">
      <c r="F34" s="1608">
        <v>400</v>
      </c>
      <c r="G34" s="1608">
        <v>400</v>
      </c>
      <c r="H34" s="1608">
        <v>400</v>
      </c>
      <c r="I34" s="1608">
        <v>400</v>
      </c>
      <c r="J34" s="1608">
        <v>400</v>
      </c>
      <c r="K34" s="1608">
        <v>200</v>
      </c>
      <c r="L34" s="1608">
        <v>200</v>
      </c>
      <c r="M34" s="1608">
        <v>200</v>
      </c>
      <c r="N34" s="1608">
        <v>200</v>
      </c>
      <c r="O34" s="1608">
        <v>200</v>
      </c>
      <c r="P34" s="1608">
        <v>200</v>
      </c>
      <c r="Q34" s="1608">
        <v>200</v>
      </c>
      <c r="R34" s="1608">
        <v>200</v>
      </c>
      <c r="S34" s="1608">
        <v>200</v>
      </c>
      <c r="T34" s="1608">
        <v>200</v>
      </c>
      <c r="U34" s="1608">
        <v>200</v>
      </c>
      <c r="V34" s="1608">
        <v>200</v>
      </c>
      <c r="W34" s="1608">
        <v>200</v>
      </c>
      <c r="X34" s="1608">
        <v>200</v>
      </c>
      <c r="Y34" s="1608">
        <v>200</v>
      </c>
      <c r="Z34" s="1608">
        <v>200</v>
      </c>
      <c r="AA34" s="1608">
        <v>200</v>
      </c>
      <c r="AB34" s="1608">
        <v>200</v>
      </c>
      <c r="AC34" s="1608">
        <v>200</v>
      </c>
      <c r="AD34" s="1608">
        <v>200</v>
      </c>
      <c r="AE34" s="1608">
        <v>200</v>
      </c>
      <c r="AF34" s="1608">
        <v>200</v>
      </c>
      <c r="AG34" s="1608">
        <v>200</v>
      </c>
      <c r="AH34" s="1608">
        <v>200</v>
      </c>
      <c r="AI34" s="1608">
        <v>200</v>
      </c>
      <c r="AJ34" s="1608">
        <v>200</v>
      </c>
      <c r="AK34" s="1608"/>
      <c r="AL34" s="1608"/>
      <c r="AQ34" s="1608">
        <v>200</v>
      </c>
      <c r="AR34" s="1608">
        <v>200</v>
      </c>
      <c r="AS34" s="1608">
        <v>200</v>
      </c>
      <c r="AT34" s="1608">
        <v>200</v>
      </c>
      <c r="AU34" s="1608">
        <v>200</v>
      </c>
      <c r="AV34" s="1608">
        <v>200</v>
      </c>
      <c r="AW34" s="1608">
        <v>200</v>
      </c>
      <c r="AX34" s="1608">
        <v>200</v>
      </c>
      <c r="AY34" s="1608">
        <v>200</v>
      </c>
      <c r="AZ34" s="1608">
        <v>200</v>
      </c>
      <c r="BA34" s="1608">
        <v>200</v>
      </c>
      <c r="BB34" s="1608">
        <v>200</v>
      </c>
      <c r="BC34" s="1608">
        <v>200</v>
      </c>
      <c r="BD34" s="1608">
        <v>200</v>
      </c>
      <c r="BE34" s="1608">
        <v>200</v>
      </c>
      <c r="BF34" s="1608">
        <v>200</v>
      </c>
      <c r="BG34" s="1608">
        <v>200</v>
      </c>
      <c r="BH34" s="1608">
        <v>200</v>
      </c>
      <c r="BI34" s="1608">
        <v>200</v>
      </c>
      <c r="BJ34" s="1608">
        <v>200</v>
      </c>
      <c r="BK34" s="1608">
        <v>200</v>
      </c>
      <c r="BL34" s="1608">
        <v>200</v>
      </c>
      <c r="BM34" s="1608">
        <v>200</v>
      </c>
      <c r="BN34" s="1608">
        <v>200</v>
      </c>
      <c r="BO34" s="1608">
        <v>200</v>
      </c>
      <c r="BP34" s="1608">
        <v>200</v>
      </c>
      <c r="BQ34" s="1608"/>
      <c r="BR34" s="1608"/>
    </row>
    <row r="36" spans="6:99" ht="15" thickBot="1"/>
    <row r="37" spans="6:99" ht="16.2" thickBot="1">
      <c r="K37" s="2141" t="s">
        <v>844</v>
      </c>
      <c r="L37" s="2142"/>
      <c r="M37" s="2142"/>
      <c r="N37" s="2143"/>
      <c r="O37" s="2144" t="s">
        <v>865</v>
      </c>
      <c r="P37" s="2145"/>
      <c r="Q37" s="2145"/>
      <c r="R37" s="2145"/>
      <c r="S37" s="2145"/>
      <c r="T37" s="2145"/>
      <c r="U37" s="2145"/>
      <c r="V37" s="2145"/>
      <c r="W37" s="2145"/>
      <c r="X37" s="2145"/>
      <c r="Y37" s="2145"/>
      <c r="Z37" s="2145"/>
      <c r="AA37" s="2145"/>
      <c r="AB37" s="2145"/>
      <c r="AC37" s="2145"/>
      <c r="AD37" s="2145"/>
      <c r="AE37" s="2145"/>
      <c r="AF37" s="2145"/>
      <c r="AG37" s="2145"/>
      <c r="AH37" s="2145"/>
      <c r="AI37" s="2145"/>
      <c r="AJ37" s="2145"/>
      <c r="AK37" s="2145"/>
      <c r="AL37" s="2145"/>
      <c r="AM37" s="2145"/>
      <c r="AN37" s="2145"/>
      <c r="AO37" s="2145"/>
      <c r="AP37" s="2145"/>
      <c r="AQ37" s="2145"/>
      <c r="AR37" s="2145"/>
      <c r="AS37" s="2145"/>
      <c r="AT37" s="2145"/>
      <c r="AU37" s="2145"/>
      <c r="AV37" s="2145"/>
      <c r="AW37" s="2145"/>
      <c r="AX37" s="2145"/>
      <c r="AY37" s="2145"/>
      <c r="AZ37" s="2146"/>
      <c r="BF37" s="2141" t="s">
        <v>844</v>
      </c>
      <c r="BG37" s="2142"/>
      <c r="BH37" s="2142"/>
      <c r="BI37" s="2143"/>
      <c r="BJ37" s="2144" t="s">
        <v>865</v>
      </c>
      <c r="BK37" s="2145"/>
      <c r="BL37" s="2145"/>
      <c r="BM37" s="2145"/>
      <c r="BN37" s="2145"/>
      <c r="BO37" s="2145"/>
      <c r="BP37" s="2145"/>
      <c r="BQ37" s="2145"/>
      <c r="BR37" s="2145"/>
      <c r="BS37" s="2145"/>
      <c r="BT37" s="2145"/>
      <c r="BU37" s="2145"/>
      <c r="BV37" s="2145"/>
      <c r="BW37" s="2145"/>
      <c r="BX37" s="2145"/>
      <c r="BY37" s="2145"/>
      <c r="BZ37" s="2145"/>
      <c r="CA37" s="2145"/>
      <c r="CB37" s="2145"/>
      <c r="CC37" s="2145"/>
      <c r="CD37" s="2145"/>
      <c r="CE37" s="2145"/>
      <c r="CF37" s="2145"/>
      <c r="CG37" s="2145"/>
      <c r="CH37" s="2145"/>
      <c r="CI37" s="2145"/>
      <c r="CJ37" s="2145"/>
      <c r="CK37" s="2145"/>
      <c r="CL37" s="2145"/>
      <c r="CM37" s="2145"/>
      <c r="CN37" s="2145"/>
      <c r="CO37" s="2145"/>
      <c r="CP37" s="2145"/>
      <c r="CQ37" s="2145"/>
      <c r="CR37" s="2145"/>
      <c r="CS37" s="2145"/>
      <c r="CT37" s="2145"/>
      <c r="CU37" s="2146"/>
    </row>
    <row r="38" spans="6:99" ht="15" thickBot="1">
      <c r="K38" s="2147" t="s">
        <v>783</v>
      </c>
      <c r="L38" s="2148"/>
      <c r="M38" s="2148"/>
      <c r="N38" s="2148"/>
      <c r="O38" s="2148"/>
      <c r="P38" s="2149"/>
      <c r="Q38" s="2150" t="s">
        <v>810</v>
      </c>
      <c r="R38" s="2151"/>
      <c r="S38" s="2151"/>
      <c r="T38" s="2151"/>
      <c r="U38" s="2151"/>
      <c r="V38" s="2151"/>
      <c r="W38" s="2151"/>
      <c r="X38" s="2151"/>
      <c r="Y38" s="2151"/>
      <c r="Z38" s="2151"/>
      <c r="AA38" s="2151"/>
      <c r="AB38" s="2152"/>
      <c r="AC38" s="2153" t="s">
        <v>811</v>
      </c>
      <c r="AD38" s="2154"/>
      <c r="AE38" s="2154"/>
      <c r="AF38" s="2154"/>
      <c r="AG38" s="2154"/>
      <c r="AH38" s="2154"/>
      <c r="AI38" s="2154"/>
      <c r="AJ38" s="2154"/>
      <c r="AK38" s="2154"/>
      <c r="AL38" s="2154"/>
      <c r="AM38" s="2154"/>
      <c r="AN38" s="2154"/>
      <c r="AO38" s="2154"/>
      <c r="AP38" s="2154"/>
      <c r="AQ38" s="2154"/>
      <c r="AR38" s="2154"/>
      <c r="AS38" s="2154"/>
      <c r="AT38" s="2154"/>
      <c r="AU38" s="2154"/>
      <c r="AV38" s="2154"/>
      <c r="AW38" s="2154"/>
      <c r="AX38" s="2154"/>
      <c r="AY38" s="2154"/>
      <c r="AZ38" s="2155"/>
      <c r="BF38" s="2147" t="s">
        <v>783</v>
      </c>
      <c r="BG38" s="2148"/>
      <c r="BH38" s="2148"/>
      <c r="BI38" s="2148"/>
      <c r="BJ38" s="2148"/>
      <c r="BK38" s="2149"/>
      <c r="BL38" s="2150" t="s">
        <v>810</v>
      </c>
      <c r="BM38" s="2151"/>
      <c r="BN38" s="2151"/>
      <c r="BO38" s="2151"/>
      <c r="BP38" s="2151"/>
      <c r="BQ38" s="2151"/>
      <c r="BR38" s="2151"/>
      <c r="BS38" s="2151"/>
      <c r="BT38" s="2151"/>
      <c r="BU38" s="2151"/>
      <c r="BV38" s="2151"/>
      <c r="BW38" s="2152"/>
      <c r="BX38" s="2153" t="s">
        <v>811</v>
      </c>
      <c r="BY38" s="2154"/>
      <c r="BZ38" s="2154"/>
      <c r="CA38" s="2154"/>
      <c r="CB38" s="2154"/>
      <c r="CC38" s="2154"/>
      <c r="CD38" s="2154"/>
      <c r="CE38" s="2154"/>
      <c r="CF38" s="2154"/>
      <c r="CG38" s="2154"/>
      <c r="CH38" s="2154"/>
      <c r="CI38" s="2154"/>
      <c r="CJ38" s="2154"/>
      <c r="CK38" s="2154"/>
      <c r="CL38" s="2154"/>
      <c r="CM38" s="2154"/>
      <c r="CN38" s="2154"/>
      <c r="CO38" s="2154"/>
      <c r="CP38" s="2154"/>
      <c r="CQ38" s="2154"/>
      <c r="CR38" s="2154"/>
      <c r="CS38" s="2154"/>
      <c r="CT38" s="2154"/>
      <c r="CU38" s="2155"/>
    </row>
    <row r="39" spans="6:99" ht="16.8">
      <c r="F39" s="1608">
        <v>400</v>
      </c>
      <c r="G39" s="1608">
        <v>400</v>
      </c>
      <c r="H39" s="1608">
        <v>400</v>
      </c>
      <c r="I39" s="1608">
        <v>400</v>
      </c>
      <c r="J39" s="1608">
        <v>400</v>
      </c>
      <c r="K39" s="1608">
        <v>200</v>
      </c>
      <c r="L39" s="1608">
        <v>200</v>
      </c>
      <c r="M39" s="1608">
        <v>200</v>
      </c>
      <c r="N39" s="1608">
        <v>200</v>
      </c>
      <c r="O39" s="1608">
        <v>200</v>
      </c>
      <c r="P39" s="1608">
        <v>200</v>
      </c>
      <c r="Q39" s="1608">
        <v>200</v>
      </c>
      <c r="R39" s="1608">
        <v>200</v>
      </c>
      <c r="S39" s="1608">
        <v>200</v>
      </c>
      <c r="T39" s="1608">
        <v>200</v>
      </c>
      <c r="U39" s="1608">
        <v>200</v>
      </c>
      <c r="V39" s="1608">
        <v>200</v>
      </c>
      <c r="W39" s="1608">
        <v>200</v>
      </c>
      <c r="X39" s="1608">
        <v>200</v>
      </c>
      <c r="Y39" s="1608">
        <v>200</v>
      </c>
      <c r="Z39" s="1608">
        <v>200</v>
      </c>
      <c r="AA39" s="1608">
        <v>200</v>
      </c>
      <c r="AB39" s="1608">
        <v>200</v>
      </c>
      <c r="BF39" s="1608">
        <v>200</v>
      </c>
      <c r="BG39" s="1608">
        <v>200</v>
      </c>
      <c r="BH39" s="1608">
        <v>200</v>
      </c>
      <c r="BI39" s="1608">
        <v>200</v>
      </c>
      <c r="BJ39" s="1608">
        <v>200</v>
      </c>
      <c r="BK39" s="1608">
        <v>200</v>
      </c>
      <c r="BL39" s="1608">
        <v>200</v>
      </c>
      <c r="BM39" s="1608">
        <v>200</v>
      </c>
      <c r="BN39" s="1608">
        <v>200</v>
      </c>
      <c r="BO39" s="1608">
        <v>200</v>
      </c>
      <c r="BP39" s="1608">
        <v>200</v>
      </c>
      <c r="BQ39" s="1608">
        <v>200</v>
      </c>
      <c r="BR39" s="1608">
        <v>200</v>
      </c>
      <c r="BS39" s="1608">
        <v>200</v>
      </c>
      <c r="BT39" s="1608">
        <v>200</v>
      </c>
      <c r="BU39" s="1608">
        <v>200</v>
      </c>
      <c r="BV39" s="1608">
        <v>200</v>
      </c>
      <c r="BW39" s="1608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" thickBot="1"/>
    <row r="41" spans="6:99" ht="16.2" thickBot="1">
      <c r="K41" s="2141" t="s">
        <v>6</v>
      </c>
      <c r="L41" s="2142"/>
      <c r="M41" s="2142"/>
      <c r="N41" s="2143"/>
      <c r="O41" s="2144" t="s">
        <v>866</v>
      </c>
      <c r="P41" s="2145"/>
      <c r="Q41" s="2145"/>
      <c r="R41" s="2145"/>
      <c r="S41" s="2145"/>
      <c r="T41" s="2145"/>
      <c r="U41" s="2145"/>
      <c r="V41" s="2145"/>
      <c r="W41" s="2145"/>
      <c r="X41" s="2145"/>
      <c r="Y41" s="2145"/>
      <c r="Z41" s="2145"/>
      <c r="AA41" s="2145"/>
      <c r="AB41" s="2145"/>
      <c r="AC41" s="2145"/>
      <c r="AD41" s="2145"/>
      <c r="AE41" s="2145"/>
      <c r="AF41" s="2145"/>
      <c r="AG41" s="2145"/>
      <c r="AH41" s="2145"/>
      <c r="AI41" s="2145"/>
      <c r="AJ41" s="2145"/>
      <c r="AK41" s="2145"/>
      <c r="AL41" s="2145"/>
      <c r="AM41" s="2145"/>
      <c r="AN41" s="2145"/>
      <c r="AO41" s="2145"/>
      <c r="AP41" s="2145"/>
      <c r="AQ41" s="2145"/>
      <c r="AR41" s="2145"/>
      <c r="AS41" s="2145"/>
      <c r="AT41" s="2145"/>
      <c r="AU41" s="2145"/>
      <c r="AV41" s="2145"/>
      <c r="AW41" s="2145"/>
      <c r="AX41" s="2146"/>
      <c r="BF41" s="2141" t="s">
        <v>6</v>
      </c>
      <c r="BG41" s="2142"/>
      <c r="BH41" s="2142"/>
      <c r="BI41" s="2143"/>
      <c r="BJ41" s="2144" t="s">
        <v>866</v>
      </c>
      <c r="BK41" s="2145"/>
      <c r="BL41" s="2145"/>
      <c r="BM41" s="2145"/>
      <c r="BN41" s="2145"/>
      <c r="BO41" s="2145"/>
      <c r="BP41" s="2145"/>
      <c r="BQ41" s="2145"/>
      <c r="BR41" s="2145"/>
      <c r="BS41" s="2145"/>
      <c r="BT41" s="2145"/>
      <c r="BU41" s="2145"/>
      <c r="BV41" s="2145"/>
      <c r="BW41" s="2145"/>
      <c r="BX41" s="2145"/>
      <c r="BY41" s="2145"/>
      <c r="BZ41" s="2145"/>
      <c r="CA41" s="2145"/>
      <c r="CB41" s="2145"/>
      <c r="CC41" s="2145"/>
      <c r="CD41" s="2145"/>
      <c r="CE41" s="2145"/>
      <c r="CF41" s="2145"/>
      <c r="CG41" s="2145"/>
      <c r="CH41" s="2145"/>
      <c r="CI41" s="2145"/>
      <c r="CJ41" s="2145"/>
      <c r="CK41" s="2145"/>
      <c r="CL41" s="2145"/>
      <c r="CM41" s="2145"/>
      <c r="CN41" s="2145"/>
      <c r="CO41" s="2145"/>
      <c r="CP41" s="2145"/>
      <c r="CQ41" s="2145"/>
      <c r="CR41" s="2145"/>
      <c r="CS41" s="2146"/>
    </row>
    <row r="42" spans="6:99" ht="15" thickBot="1">
      <c r="K42" s="2147" t="s">
        <v>783</v>
      </c>
      <c r="L42" s="2148"/>
      <c r="M42" s="2148"/>
      <c r="N42" s="2148"/>
      <c r="O42" s="2148"/>
      <c r="P42" s="2149"/>
      <c r="Q42" s="2150" t="s">
        <v>810</v>
      </c>
      <c r="R42" s="2151"/>
      <c r="S42" s="2151"/>
      <c r="T42" s="2151"/>
      <c r="U42" s="2151"/>
      <c r="V42" s="2151"/>
      <c r="W42" s="2151"/>
      <c r="X42" s="2151"/>
      <c r="Y42" s="2151"/>
      <c r="Z42" s="2152"/>
      <c r="AA42" s="2153" t="s">
        <v>811</v>
      </c>
      <c r="AB42" s="2154"/>
      <c r="AC42" s="2154"/>
      <c r="AD42" s="2154"/>
      <c r="AE42" s="2154"/>
      <c r="AF42" s="2154"/>
      <c r="AG42" s="2154"/>
      <c r="AH42" s="2154"/>
      <c r="AI42" s="2154"/>
      <c r="AJ42" s="2154"/>
      <c r="AK42" s="2154"/>
      <c r="AL42" s="2154"/>
      <c r="AM42" s="2154"/>
      <c r="AN42" s="2154"/>
      <c r="AO42" s="2154"/>
      <c r="AP42" s="2154"/>
      <c r="AQ42" s="2154"/>
      <c r="AR42" s="2154"/>
      <c r="AS42" s="2154"/>
      <c r="AT42" s="2154"/>
      <c r="AU42" s="2154"/>
      <c r="AV42" s="2154"/>
      <c r="AW42" s="2154"/>
      <c r="AX42" s="2155"/>
      <c r="BF42" s="2147" t="s">
        <v>783</v>
      </c>
      <c r="BG42" s="2148"/>
      <c r="BH42" s="2148"/>
      <c r="BI42" s="2148"/>
      <c r="BJ42" s="2148"/>
      <c r="BK42" s="2149"/>
      <c r="BL42" s="2150" t="s">
        <v>810</v>
      </c>
      <c r="BM42" s="2151"/>
      <c r="BN42" s="2151"/>
      <c r="BO42" s="2151"/>
      <c r="BP42" s="2151"/>
      <c r="BQ42" s="2151"/>
      <c r="BR42" s="2151"/>
      <c r="BS42" s="2151"/>
      <c r="BT42" s="2151"/>
      <c r="BU42" s="2152"/>
      <c r="BV42" s="2153" t="s">
        <v>811</v>
      </c>
      <c r="BW42" s="2154"/>
      <c r="BX42" s="2154"/>
      <c r="BY42" s="2154"/>
      <c r="BZ42" s="2154"/>
      <c r="CA42" s="2154"/>
      <c r="CB42" s="2154"/>
      <c r="CC42" s="2154"/>
      <c r="CD42" s="2154"/>
      <c r="CE42" s="2154"/>
      <c r="CF42" s="2154"/>
      <c r="CG42" s="2154"/>
      <c r="CH42" s="2154"/>
      <c r="CI42" s="2154"/>
      <c r="CJ42" s="2154"/>
      <c r="CK42" s="2154"/>
      <c r="CL42" s="2154"/>
      <c r="CM42" s="2154"/>
      <c r="CN42" s="2154"/>
      <c r="CO42" s="2154"/>
      <c r="CP42" s="2154"/>
      <c r="CQ42" s="2154"/>
      <c r="CR42" s="2154"/>
      <c r="CS42" s="2155"/>
    </row>
    <row r="43" spans="6:99" ht="16.8">
      <c r="F43" s="1608">
        <v>400</v>
      </c>
      <c r="G43" s="1608">
        <v>400</v>
      </c>
      <c r="H43" s="1608">
        <v>400</v>
      </c>
      <c r="I43" s="1608">
        <v>400</v>
      </c>
      <c r="J43" s="1608">
        <v>400</v>
      </c>
      <c r="K43" s="1608">
        <v>200</v>
      </c>
      <c r="L43" s="1608">
        <v>200</v>
      </c>
      <c r="M43" s="1608">
        <v>200</v>
      </c>
      <c r="N43" s="1608">
        <v>200</v>
      </c>
      <c r="O43" s="1608">
        <v>200</v>
      </c>
      <c r="P43" s="1608">
        <v>200</v>
      </c>
      <c r="Q43" s="1608">
        <v>200</v>
      </c>
      <c r="R43" s="1608">
        <v>200</v>
      </c>
      <c r="S43" s="1608">
        <v>200</v>
      </c>
      <c r="T43" s="1608">
        <v>200</v>
      </c>
      <c r="U43" s="1608">
        <v>200</v>
      </c>
      <c r="V43" s="1608">
        <v>200</v>
      </c>
      <c r="W43" s="1608">
        <v>200</v>
      </c>
      <c r="X43" s="1608">
        <v>200</v>
      </c>
      <c r="Y43" s="1608">
        <v>200</v>
      </c>
      <c r="Z43" s="1608">
        <v>200</v>
      </c>
      <c r="BF43" s="1608">
        <v>200</v>
      </c>
      <c r="BG43" s="1608">
        <v>200</v>
      </c>
      <c r="BH43" s="1608">
        <v>200</v>
      </c>
      <c r="BI43" s="1608">
        <v>200</v>
      </c>
      <c r="BJ43" s="1608">
        <v>200</v>
      </c>
      <c r="BK43" s="1608">
        <v>200</v>
      </c>
      <c r="BL43" s="1608">
        <v>200</v>
      </c>
      <c r="BM43" s="1608">
        <v>200</v>
      </c>
      <c r="BN43" s="1608">
        <v>200</v>
      </c>
      <c r="BO43" s="1608">
        <v>200</v>
      </c>
      <c r="BP43" s="1608">
        <v>200</v>
      </c>
      <c r="BQ43" s="1608">
        <v>200</v>
      </c>
      <c r="BR43" s="1608">
        <v>200</v>
      </c>
      <c r="BS43" s="1608">
        <v>200</v>
      </c>
      <c r="BT43" s="1608">
        <v>200</v>
      </c>
      <c r="BU43" s="1608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" thickBot="1"/>
    <row r="45" spans="6:99" ht="15" thickBot="1">
      <c r="K45" s="2141" t="s">
        <v>7</v>
      </c>
      <c r="L45" s="2142"/>
      <c r="M45" s="2142"/>
      <c r="N45" s="2143"/>
      <c r="O45" s="2607" t="s">
        <v>851</v>
      </c>
      <c r="P45" s="2608"/>
      <c r="Q45" s="2608"/>
      <c r="R45" s="2608"/>
      <c r="S45" s="2608"/>
      <c r="T45" s="2608"/>
      <c r="U45" s="2608"/>
      <c r="V45" s="2608"/>
      <c r="W45" s="2608"/>
      <c r="X45" s="2608"/>
      <c r="Y45" s="2608"/>
      <c r="Z45" s="2608"/>
      <c r="AA45" s="2608"/>
      <c r="AB45" s="2608"/>
      <c r="AC45" s="2608"/>
      <c r="AD45" s="2608"/>
      <c r="AE45" s="2608"/>
      <c r="AF45" s="2608"/>
      <c r="AG45" s="2608"/>
      <c r="AH45" s="2608"/>
      <c r="AI45" s="2608"/>
      <c r="AJ45" s="2608"/>
      <c r="AK45" s="2608"/>
      <c r="AL45" s="2608"/>
      <c r="AM45" s="2608"/>
      <c r="AN45" s="2608"/>
      <c r="AO45" s="2608"/>
      <c r="AP45" s="2608"/>
      <c r="AQ45" s="2608"/>
      <c r="AR45" s="2608"/>
      <c r="AS45" s="2608"/>
      <c r="AT45" s="2608"/>
      <c r="AU45" s="2608"/>
      <c r="AV45" s="2608"/>
      <c r="AW45" s="2609"/>
      <c r="BF45" s="2141" t="s">
        <v>7</v>
      </c>
      <c r="BG45" s="2142"/>
      <c r="BH45" s="2142"/>
      <c r="BI45" s="2143"/>
      <c r="BJ45" s="2607" t="s">
        <v>851</v>
      </c>
      <c r="BK45" s="2608"/>
      <c r="BL45" s="2608"/>
      <c r="BM45" s="2608"/>
      <c r="BN45" s="2608"/>
      <c r="BO45" s="2608"/>
      <c r="BP45" s="2608"/>
      <c r="BQ45" s="2608"/>
      <c r="BR45" s="2608"/>
      <c r="BS45" s="2608"/>
      <c r="BT45" s="2608"/>
      <c r="BU45" s="2608"/>
      <c r="BV45" s="2608"/>
      <c r="BW45" s="2608"/>
      <c r="BX45" s="2608"/>
      <c r="BY45" s="2608"/>
      <c r="BZ45" s="2608"/>
      <c r="CA45" s="2608"/>
      <c r="CB45" s="2608"/>
      <c r="CC45" s="2608"/>
      <c r="CD45" s="2608"/>
      <c r="CE45" s="2608"/>
      <c r="CF45" s="2608"/>
      <c r="CG45" s="2608"/>
      <c r="CH45" s="2608"/>
      <c r="CI45" s="2608"/>
      <c r="CJ45" s="2608"/>
      <c r="CK45" s="2608"/>
      <c r="CL45" s="2608"/>
      <c r="CM45" s="2608"/>
      <c r="CN45" s="2608"/>
      <c r="CO45" s="2608"/>
      <c r="CP45" s="2608"/>
      <c r="CQ45" s="2608"/>
      <c r="CR45" s="2609"/>
    </row>
    <row r="46" spans="6:99" ht="15" thickBot="1">
      <c r="K46" s="2147" t="s">
        <v>783</v>
      </c>
      <c r="L46" s="2148"/>
      <c r="M46" s="2148"/>
      <c r="N46" s="2148"/>
      <c r="O46" s="2148"/>
      <c r="P46" s="2149"/>
      <c r="Q46" s="2616" t="s">
        <v>810</v>
      </c>
      <c r="R46" s="2617"/>
      <c r="S46" s="2617"/>
      <c r="T46" s="2617"/>
      <c r="U46" s="2617"/>
      <c r="V46" s="2617"/>
      <c r="W46" s="2617"/>
      <c r="X46" s="2617"/>
      <c r="Y46" s="2617"/>
      <c r="Z46" s="2617"/>
      <c r="AA46" s="2153" t="s">
        <v>811</v>
      </c>
      <c r="AB46" s="2154"/>
      <c r="AC46" s="2154"/>
      <c r="AD46" s="2154"/>
      <c r="AE46" s="2154"/>
      <c r="AF46" s="2154"/>
      <c r="AG46" s="2154"/>
      <c r="AH46" s="2154"/>
      <c r="AI46" s="2154"/>
      <c r="AJ46" s="2154"/>
      <c r="AK46" s="2154"/>
      <c r="AL46" s="2154"/>
      <c r="AM46" s="2154"/>
      <c r="AN46" s="2154"/>
      <c r="AO46" s="2154"/>
      <c r="AP46" s="2154"/>
      <c r="AQ46" s="2154"/>
      <c r="AR46" s="2154"/>
      <c r="AS46" s="2154"/>
      <c r="AT46" s="2154"/>
      <c r="AU46" s="2154"/>
      <c r="AV46" s="2154"/>
      <c r="AW46" s="2155"/>
      <c r="BF46" s="2147" t="s">
        <v>783</v>
      </c>
      <c r="BG46" s="2148"/>
      <c r="BH46" s="2148"/>
      <c r="BI46" s="2148"/>
      <c r="BJ46" s="2148"/>
      <c r="BK46" s="2149"/>
      <c r="BL46" s="2616" t="s">
        <v>810</v>
      </c>
      <c r="BM46" s="2617"/>
      <c r="BN46" s="2617"/>
      <c r="BO46" s="2617"/>
      <c r="BP46" s="2617"/>
      <c r="BQ46" s="2617"/>
      <c r="BR46" s="2617"/>
      <c r="BS46" s="2617"/>
      <c r="BT46" s="2617"/>
      <c r="BU46" s="2617"/>
      <c r="BV46" s="2153" t="s">
        <v>811</v>
      </c>
      <c r="BW46" s="2154"/>
      <c r="BX46" s="2154"/>
      <c r="BY46" s="2154"/>
      <c r="BZ46" s="2154"/>
      <c r="CA46" s="2154"/>
      <c r="CB46" s="2154"/>
      <c r="CC46" s="2154"/>
      <c r="CD46" s="2154"/>
      <c r="CE46" s="2154"/>
      <c r="CF46" s="2154"/>
      <c r="CG46" s="2154"/>
      <c r="CH46" s="2154"/>
      <c r="CI46" s="2154"/>
      <c r="CJ46" s="2154"/>
      <c r="CK46" s="2154"/>
      <c r="CL46" s="2154"/>
      <c r="CM46" s="2154"/>
      <c r="CN46" s="2154"/>
      <c r="CO46" s="2154"/>
      <c r="CP46" s="2154"/>
      <c r="CQ46" s="2154"/>
      <c r="CR46" s="2155"/>
    </row>
    <row r="47" spans="6:99" ht="16.8">
      <c r="F47" s="1608">
        <v>400</v>
      </c>
      <c r="G47" s="1608">
        <v>400</v>
      </c>
      <c r="H47" s="1608">
        <v>400</v>
      </c>
      <c r="I47" s="1608">
        <v>400</v>
      </c>
      <c r="J47" s="1608">
        <v>400</v>
      </c>
      <c r="K47" s="1608">
        <v>200</v>
      </c>
      <c r="L47" s="1608">
        <v>200</v>
      </c>
      <c r="M47" s="1608">
        <v>200</v>
      </c>
      <c r="N47" s="1608">
        <v>200</v>
      </c>
      <c r="O47" s="1608">
        <v>200</v>
      </c>
      <c r="P47" s="1608">
        <v>200</v>
      </c>
      <c r="Q47" s="1608">
        <v>200</v>
      </c>
      <c r="R47" s="1608">
        <v>200</v>
      </c>
      <c r="S47" s="1608">
        <v>200</v>
      </c>
      <c r="T47" s="1608">
        <v>200</v>
      </c>
      <c r="U47" s="1608">
        <v>200</v>
      </c>
      <c r="V47" s="1608">
        <v>200</v>
      </c>
      <c r="W47" s="1608">
        <v>200</v>
      </c>
      <c r="X47" s="1608">
        <v>200</v>
      </c>
      <c r="Y47" s="1608">
        <v>200</v>
      </c>
      <c r="Z47" s="1608">
        <v>200</v>
      </c>
      <c r="BF47" s="1608">
        <v>200</v>
      </c>
      <c r="BG47" s="1608">
        <v>200</v>
      </c>
      <c r="BH47" s="1608">
        <v>200</v>
      </c>
      <c r="BI47" s="1608">
        <v>200</v>
      </c>
      <c r="BJ47" s="1608">
        <v>200</v>
      </c>
      <c r="BK47" s="1608">
        <v>200</v>
      </c>
      <c r="BL47" s="1608">
        <v>200</v>
      </c>
      <c r="BM47" s="1608">
        <v>200</v>
      </c>
      <c r="BN47" s="1608">
        <v>200</v>
      </c>
      <c r="BO47" s="1608">
        <v>200</v>
      </c>
      <c r="BP47" s="1608">
        <v>200</v>
      </c>
      <c r="BQ47" s="1608">
        <v>200</v>
      </c>
      <c r="BR47" s="1608">
        <v>200</v>
      </c>
      <c r="BS47" s="1608">
        <v>200</v>
      </c>
      <c r="BT47" s="1608">
        <v>200</v>
      </c>
      <c r="BU47" s="1608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" thickBot="1"/>
    <row r="49" spans="6:97" ht="16.2" thickBot="1">
      <c r="K49" s="2141" t="s">
        <v>850</v>
      </c>
      <c r="L49" s="2142"/>
      <c r="M49" s="2142"/>
      <c r="N49" s="2143"/>
      <c r="O49" s="2144" t="s">
        <v>849</v>
      </c>
      <c r="P49" s="2145"/>
      <c r="Q49" s="2145"/>
      <c r="R49" s="2145"/>
      <c r="S49" s="2145"/>
      <c r="T49" s="2145"/>
      <c r="U49" s="2145"/>
      <c r="V49" s="2145"/>
      <c r="W49" s="2145"/>
      <c r="X49" s="2145"/>
      <c r="Y49" s="2145"/>
      <c r="Z49" s="2145"/>
      <c r="AA49" s="2145"/>
      <c r="AB49" s="2145"/>
      <c r="AC49" s="2145"/>
      <c r="AD49" s="2145"/>
      <c r="AE49" s="2145"/>
      <c r="AF49" s="2145"/>
      <c r="AG49" s="2145"/>
      <c r="AH49" s="2145"/>
      <c r="AI49" s="2145"/>
      <c r="AJ49" s="2145"/>
      <c r="AK49" s="2145"/>
      <c r="AL49" s="2145"/>
      <c r="AM49" s="2145"/>
      <c r="AN49" s="2145"/>
      <c r="AO49" s="2145"/>
      <c r="AP49" s="2145"/>
      <c r="AQ49" s="2145"/>
      <c r="AR49" s="2145"/>
      <c r="AS49" s="2145"/>
      <c r="AT49" s="2145"/>
      <c r="AU49" s="2145"/>
      <c r="AV49" s="2145"/>
      <c r="AW49" s="2145"/>
      <c r="AX49" s="2146"/>
      <c r="BF49" s="2141" t="s">
        <v>850</v>
      </c>
      <c r="BG49" s="2142"/>
      <c r="BH49" s="2142"/>
      <c r="BI49" s="2143"/>
      <c r="BJ49" s="2144" t="s">
        <v>849</v>
      </c>
      <c r="BK49" s="2145"/>
      <c r="BL49" s="2145"/>
      <c r="BM49" s="2145"/>
      <c r="BN49" s="2145"/>
      <c r="BO49" s="2145"/>
      <c r="BP49" s="2145"/>
      <c r="BQ49" s="2145"/>
      <c r="BR49" s="2145"/>
      <c r="BS49" s="2145"/>
      <c r="BT49" s="2145"/>
      <c r="BU49" s="2145"/>
      <c r="BV49" s="2145"/>
      <c r="BW49" s="2145"/>
      <c r="BX49" s="2145"/>
      <c r="BY49" s="2145"/>
      <c r="BZ49" s="2145"/>
      <c r="CA49" s="2145"/>
      <c r="CB49" s="2145"/>
      <c r="CC49" s="2145"/>
      <c r="CD49" s="2145"/>
      <c r="CE49" s="2145"/>
      <c r="CF49" s="2145"/>
      <c r="CG49" s="2145"/>
      <c r="CH49" s="2145"/>
      <c r="CI49" s="2145"/>
      <c r="CJ49" s="2145"/>
      <c r="CK49" s="2145"/>
      <c r="CL49" s="2145"/>
      <c r="CM49" s="2145"/>
      <c r="CN49" s="2145"/>
      <c r="CO49" s="2145"/>
      <c r="CP49" s="2145"/>
      <c r="CQ49" s="2145"/>
      <c r="CR49" s="2145"/>
      <c r="CS49" s="2146"/>
    </row>
    <row r="50" spans="6:97" ht="15" thickBot="1">
      <c r="K50" s="2147" t="s">
        <v>783</v>
      </c>
      <c r="L50" s="2148"/>
      <c r="M50" s="2148"/>
      <c r="N50" s="2148"/>
      <c r="O50" s="2148"/>
      <c r="P50" s="2149"/>
      <c r="Q50" s="2150" t="s">
        <v>810</v>
      </c>
      <c r="R50" s="2151"/>
      <c r="S50" s="2151"/>
      <c r="T50" s="2151"/>
      <c r="U50" s="2151"/>
      <c r="V50" s="2151"/>
      <c r="W50" s="2151"/>
      <c r="X50" s="2151"/>
      <c r="Y50" s="2151"/>
      <c r="Z50" s="2152"/>
      <c r="AA50" s="2153" t="s">
        <v>811</v>
      </c>
      <c r="AB50" s="2154"/>
      <c r="AC50" s="2154"/>
      <c r="AD50" s="2154"/>
      <c r="AE50" s="2154"/>
      <c r="AF50" s="2154"/>
      <c r="AG50" s="2154"/>
      <c r="AH50" s="2154"/>
      <c r="AI50" s="2154"/>
      <c r="AJ50" s="2154"/>
      <c r="AK50" s="2154"/>
      <c r="AL50" s="2154"/>
      <c r="AM50" s="2154"/>
      <c r="AN50" s="2154"/>
      <c r="AO50" s="2154"/>
      <c r="AP50" s="2154"/>
      <c r="AQ50" s="2154"/>
      <c r="AR50" s="2154"/>
      <c r="AS50" s="2154"/>
      <c r="AT50" s="2154"/>
      <c r="AU50" s="2154"/>
      <c r="AV50" s="2154"/>
      <c r="AW50" s="2154"/>
      <c r="AX50" s="2155"/>
      <c r="BF50" s="2147" t="s">
        <v>783</v>
      </c>
      <c r="BG50" s="2148"/>
      <c r="BH50" s="2148"/>
      <c r="BI50" s="2148"/>
      <c r="BJ50" s="2148"/>
      <c r="BK50" s="2149"/>
      <c r="BL50" s="2150" t="s">
        <v>810</v>
      </c>
      <c r="BM50" s="2151"/>
      <c r="BN50" s="2151"/>
      <c r="BO50" s="2151"/>
      <c r="BP50" s="2151"/>
      <c r="BQ50" s="2151"/>
      <c r="BR50" s="2151"/>
      <c r="BS50" s="2151"/>
      <c r="BT50" s="2151"/>
      <c r="BU50" s="2152"/>
      <c r="BV50" s="2153" t="s">
        <v>811</v>
      </c>
      <c r="BW50" s="2154"/>
      <c r="BX50" s="2154"/>
      <c r="BY50" s="2154"/>
      <c r="BZ50" s="2154"/>
      <c r="CA50" s="2154"/>
      <c r="CB50" s="2154"/>
      <c r="CC50" s="2154"/>
      <c r="CD50" s="2154"/>
      <c r="CE50" s="2154"/>
      <c r="CF50" s="2154"/>
      <c r="CG50" s="2154"/>
      <c r="CH50" s="2154"/>
      <c r="CI50" s="2154"/>
      <c r="CJ50" s="2154"/>
      <c r="CK50" s="2154"/>
      <c r="CL50" s="2154"/>
      <c r="CM50" s="2154"/>
      <c r="CN50" s="2154"/>
      <c r="CO50" s="2154"/>
      <c r="CP50" s="2154"/>
      <c r="CQ50" s="2154"/>
      <c r="CR50" s="2154"/>
      <c r="CS50" s="2155"/>
    </row>
    <row r="51" spans="6:97" ht="16.8">
      <c r="F51" s="1608">
        <v>400</v>
      </c>
      <c r="G51" s="1608">
        <v>400</v>
      </c>
      <c r="H51" s="1608">
        <v>400</v>
      </c>
      <c r="I51" s="1608">
        <v>400</v>
      </c>
      <c r="J51" s="1608">
        <v>400</v>
      </c>
      <c r="K51" s="1608">
        <v>200</v>
      </c>
      <c r="L51" s="1608">
        <v>200</v>
      </c>
      <c r="M51" s="1608">
        <v>200</v>
      </c>
      <c r="N51" s="1608">
        <v>200</v>
      </c>
      <c r="O51" s="1608">
        <v>200</v>
      </c>
      <c r="P51" s="1608">
        <v>200</v>
      </c>
      <c r="Q51" s="1608">
        <v>200</v>
      </c>
      <c r="R51" s="1608">
        <v>200</v>
      </c>
      <c r="S51" s="1608">
        <v>200</v>
      </c>
      <c r="T51" s="1608">
        <v>200</v>
      </c>
      <c r="U51" s="1608">
        <v>200</v>
      </c>
      <c r="V51" s="1608">
        <v>200</v>
      </c>
      <c r="W51" s="1608">
        <v>200</v>
      </c>
      <c r="X51" s="1608">
        <v>200</v>
      </c>
      <c r="Y51" s="1608">
        <v>200</v>
      </c>
      <c r="Z51" s="1608">
        <v>200</v>
      </c>
      <c r="BF51" s="1608">
        <v>200</v>
      </c>
      <c r="BG51" s="1608">
        <v>200</v>
      </c>
      <c r="BH51" s="1608">
        <v>200</v>
      </c>
      <c r="BI51" s="1608">
        <v>200</v>
      </c>
      <c r="BJ51" s="1608">
        <v>200</v>
      </c>
      <c r="BK51" s="1608">
        <v>200</v>
      </c>
      <c r="BL51" s="1608">
        <v>200</v>
      </c>
      <c r="BM51" s="1608">
        <v>200</v>
      </c>
      <c r="BN51" s="1608">
        <v>200</v>
      </c>
      <c r="BO51" s="1608">
        <v>200</v>
      </c>
      <c r="BP51" s="1608">
        <v>200</v>
      </c>
      <c r="BQ51" s="1608">
        <v>200</v>
      </c>
      <c r="BR51" s="1608">
        <v>200</v>
      </c>
      <c r="BS51" s="1608">
        <v>200</v>
      </c>
      <c r="BT51" s="1608">
        <v>200</v>
      </c>
      <c r="BU51" s="1608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" thickBot="1"/>
    <row r="54" spans="6:97" ht="18.600000000000001" thickBot="1">
      <c r="K54" s="2285" t="s">
        <v>862</v>
      </c>
      <c r="L54" s="2286"/>
      <c r="M54" s="2287"/>
      <c r="N54" s="2288" t="s">
        <v>842</v>
      </c>
      <c r="O54" s="2289"/>
      <c r="P54" s="2289"/>
      <c r="Q54" s="2289"/>
      <c r="R54" s="2290"/>
    </row>
    <row r="55" spans="6:97" ht="15" thickBot="1">
      <c r="K55" s="2282">
        <v>1900</v>
      </c>
      <c r="L55" s="2283"/>
      <c r="M55" s="2284"/>
      <c r="N55" s="1595"/>
      <c r="O55" s="2280"/>
      <c r="P55" s="2281"/>
      <c r="Q55" s="1596"/>
      <c r="R55" s="1597"/>
    </row>
    <row r="56" spans="6:97" ht="16.8">
      <c r="K56" s="1608">
        <v>673</v>
      </c>
      <c r="L56" s="1608">
        <v>673</v>
      </c>
      <c r="M56" s="1608">
        <v>252</v>
      </c>
    </row>
    <row r="59" spans="6:97" ht="15" thickBot="1"/>
    <row r="60" spans="6:97" ht="21.6" thickBot="1">
      <c r="K60" s="2259" t="s">
        <v>862</v>
      </c>
      <c r="L60" s="2259"/>
      <c r="M60" s="2259"/>
      <c r="N60" s="2260"/>
      <c r="O60" s="2261" t="s">
        <v>808</v>
      </c>
      <c r="P60" s="2262"/>
      <c r="Q60" s="2262"/>
      <c r="R60" s="2262"/>
      <c r="S60" s="2262"/>
      <c r="T60" s="2262"/>
      <c r="U60" s="2262"/>
      <c r="V60" s="2262"/>
      <c r="W60" s="2262"/>
      <c r="X60" s="2262"/>
      <c r="Y60" s="2262"/>
      <c r="Z60" s="2262"/>
      <c r="AA60" s="2262"/>
      <c r="AB60" s="2263"/>
    </row>
    <row r="61" spans="6:97" ht="18.600000000000001" thickBot="1">
      <c r="K61" s="2640"/>
      <c r="L61" s="2641"/>
      <c r="M61" s="2270">
        <v>3</v>
      </c>
      <c r="N61" s="2271"/>
      <c r="O61" s="2642" t="s">
        <v>787</v>
      </c>
      <c r="P61" s="2643"/>
      <c r="Q61" s="2643"/>
      <c r="R61" s="2643"/>
      <c r="S61" s="2643"/>
      <c r="T61" s="2644"/>
      <c r="U61" s="2227">
        <v>4</v>
      </c>
      <c r="V61" s="2228"/>
      <c r="W61" s="2229" t="s">
        <v>809</v>
      </c>
      <c r="X61" s="2230"/>
      <c r="Y61" s="2230"/>
      <c r="Z61" s="2230"/>
      <c r="AA61" s="2230"/>
      <c r="AB61" s="2231"/>
    </row>
    <row r="62" spans="6:97" ht="16.8">
      <c r="K62" s="1608">
        <v>272</v>
      </c>
      <c r="L62" s="1608">
        <v>272</v>
      </c>
      <c r="O62" s="1608">
        <v>100</v>
      </c>
      <c r="P62" s="1608">
        <v>100</v>
      </c>
      <c r="Q62" s="1608">
        <v>100</v>
      </c>
      <c r="R62" s="1608">
        <v>100</v>
      </c>
      <c r="S62" s="1608">
        <v>100</v>
      </c>
      <c r="T62" s="1608">
        <v>100</v>
      </c>
    </row>
    <row r="66" spans="1:67">
      <c r="K66" s="2618" t="s">
        <v>768</v>
      </c>
      <c r="L66" s="2619"/>
      <c r="M66" s="2619"/>
      <c r="N66" s="2619"/>
      <c r="O66" s="2619"/>
      <c r="P66" s="2619"/>
      <c r="Q66" s="2619"/>
      <c r="R66" s="2619"/>
      <c r="S66" s="2619"/>
      <c r="T66" s="2619"/>
      <c r="U66" s="2619"/>
      <c r="V66" s="2620"/>
      <c r="W66" s="2621" t="s">
        <v>769</v>
      </c>
      <c r="X66" s="2622"/>
      <c r="Y66" s="2622"/>
      <c r="Z66" s="2622"/>
      <c r="AA66" s="2622"/>
      <c r="AB66" s="2622"/>
      <c r="AC66" s="2622"/>
      <c r="AD66" s="2622"/>
      <c r="AE66" s="2622"/>
      <c r="AF66" s="2622"/>
      <c r="AG66" s="2622"/>
      <c r="AH66" s="2623"/>
      <c r="AI66" s="2624" t="s">
        <v>770</v>
      </c>
      <c r="AJ66" s="2625"/>
      <c r="AK66" s="2625"/>
      <c r="AL66" s="2625"/>
      <c r="AM66" s="2625"/>
      <c r="AN66" s="2625"/>
      <c r="AO66" s="2625"/>
      <c r="AP66" s="2625"/>
      <c r="AQ66" s="2625"/>
      <c r="AR66" s="2625"/>
      <c r="AS66" s="2625"/>
      <c r="AT66" s="2625"/>
      <c r="AU66" s="2625"/>
      <c r="AV66" s="2625"/>
      <c r="AW66" s="2625"/>
      <c r="AX66" s="2625"/>
      <c r="AY66" s="2625"/>
      <c r="AZ66" s="2625"/>
      <c r="BA66" s="2625"/>
      <c r="BB66" s="2625"/>
      <c r="BC66" s="2625"/>
      <c r="BD66" s="2626"/>
      <c r="BE66" s="2627" t="s">
        <v>771</v>
      </c>
      <c r="BF66" s="2628"/>
    </row>
    <row r="67" spans="1:67">
      <c r="K67" s="2631" t="s">
        <v>772</v>
      </c>
      <c r="L67" s="2632"/>
      <c r="M67" s="2632"/>
      <c r="N67" s="2632"/>
      <c r="O67" s="2632"/>
      <c r="P67" s="2632"/>
      <c r="Q67" s="2632"/>
      <c r="R67" s="2632"/>
      <c r="S67" s="2632"/>
      <c r="T67" s="2632"/>
      <c r="U67" s="2632"/>
      <c r="V67" s="2633"/>
      <c r="W67" s="2634" t="s">
        <v>773</v>
      </c>
      <c r="X67" s="2635"/>
      <c r="Y67" s="2635"/>
      <c r="Z67" s="2635"/>
      <c r="AA67" s="2635"/>
      <c r="AB67" s="2635"/>
      <c r="AC67" s="2635"/>
      <c r="AD67" s="2635"/>
      <c r="AE67" s="2635"/>
      <c r="AF67" s="2635"/>
      <c r="AG67" s="2635"/>
      <c r="AH67" s="2636"/>
      <c r="AI67" s="2637" t="s">
        <v>774</v>
      </c>
      <c r="AJ67" s="2638"/>
      <c r="AK67" s="2638"/>
      <c r="AL67" s="2638"/>
      <c r="AM67" s="2638"/>
      <c r="AN67" s="2638"/>
      <c r="AO67" s="2638"/>
      <c r="AP67" s="2638"/>
      <c r="AQ67" s="2638"/>
      <c r="AR67" s="2638"/>
      <c r="AS67" s="2638"/>
      <c r="AT67" s="2638"/>
      <c r="AU67" s="2638"/>
      <c r="AV67" s="2638"/>
      <c r="AW67" s="2638"/>
      <c r="AX67" s="2638"/>
      <c r="AY67" s="2638"/>
      <c r="AZ67" s="2638"/>
      <c r="BA67" s="2638"/>
      <c r="BB67" s="2638"/>
      <c r="BC67" s="2638"/>
      <c r="BD67" s="2639"/>
      <c r="BE67" s="2629"/>
      <c r="BF67" s="2630"/>
    </row>
    <row r="68" spans="1:67" ht="16.8">
      <c r="K68" s="1608">
        <v>400</v>
      </c>
      <c r="L68" s="1608">
        <v>400</v>
      </c>
      <c r="M68" s="1608">
        <v>240</v>
      </c>
      <c r="N68" s="1608">
        <v>240</v>
      </c>
      <c r="O68" s="1608">
        <v>240</v>
      </c>
      <c r="P68" s="1608">
        <v>240</v>
      </c>
      <c r="Q68" s="1608">
        <v>240</v>
      </c>
      <c r="R68" s="1608">
        <v>240</v>
      </c>
      <c r="S68" s="1608">
        <v>240</v>
      </c>
      <c r="T68" s="1608">
        <v>240</v>
      </c>
      <c r="U68" s="1608">
        <v>240</v>
      </c>
      <c r="V68" s="1608">
        <v>240</v>
      </c>
    </row>
    <row r="71" spans="1:67">
      <c r="A71" s="66" t="s">
        <v>867</v>
      </c>
      <c r="K71" s="2314" t="s">
        <v>766</v>
      </c>
      <c r="L71" s="2315"/>
      <c r="M71" s="2315"/>
      <c r="N71" s="2315"/>
      <c r="O71" s="2315"/>
      <c r="P71" s="2315"/>
      <c r="Q71" s="2315"/>
      <c r="R71" s="2315"/>
      <c r="S71" s="2315"/>
      <c r="T71" s="2315"/>
      <c r="U71" s="2315"/>
      <c r="V71" s="2315"/>
      <c r="W71" s="2315"/>
      <c r="X71" s="2315"/>
      <c r="Y71" s="2315"/>
      <c r="Z71" s="2315"/>
      <c r="AA71" s="2315"/>
      <c r="AB71" s="2315"/>
      <c r="AC71" s="2315"/>
      <c r="AD71" s="2315"/>
      <c r="AE71" s="2315"/>
      <c r="AF71" s="2316"/>
      <c r="AJ71" s="2350" t="s">
        <v>880</v>
      </c>
      <c r="AK71" s="2351"/>
      <c r="AL71" s="2351"/>
      <c r="AM71" s="2351"/>
      <c r="AN71" s="2351"/>
      <c r="AO71" s="2351"/>
      <c r="AP71" s="2351"/>
      <c r="AQ71" s="2351"/>
      <c r="AR71" s="2351"/>
      <c r="AS71" s="2351"/>
      <c r="AT71" s="2351"/>
      <c r="AU71" s="2351"/>
      <c r="AV71" s="2351"/>
      <c r="AW71" s="2351"/>
      <c r="AX71" s="2351"/>
      <c r="AY71" s="2351"/>
      <c r="AZ71" s="2351"/>
      <c r="BA71" s="2352"/>
    </row>
    <row r="72" spans="1:67" ht="16.8">
      <c r="K72" s="1608">
        <v>215</v>
      </c>
      <c r="L72" s="1608">
        <v>215</v>
      </c>
      <c r="M72" s="1608">
        <v>215</v>
      </c>
      <c r="N72" s="1608">
        <v>50</v>
      </c>
      <c r="O72" s="1608">
        <v>50</v>
      </c>
      <c r="P72" s="1608">
        <v>50</v>
      </c>
      <c r="Q72" s="1608">
        <v>50</v>
      </c>
      <c r="R72" s="1608">
        <v>50</v>
      </c>
      <c r="S72" s="1608">
        <v>50</v>
      </c>
      <c r="T72" s="1608">
        <v>215</v>
      </c>
      <c r="U72" s="1608">
        <v>215</v>
      </c>
      <c r="V72" s="1608">
        <v>215</v>
      </c>
      <c r="W72" s="1608">
        <v>50</v>
      </c>
      <c r="X72" s="1608">
        <v>50</v>
      </c>
      <c r="Y72" s="1608">
        <v>50</v>
      </c>
      <c r="Z72" s="1608">
        <v>50</v>
      </c>
      <c r="AA72" s="1608">
        <v>50</v>
      </c>
      <c r="AB72" s="1608">
        <v>50</v>
      </c>
      <c r="AC72" s="1608">
        <v>215</v>
      </c>
      <c r="AD72" s="1608">
        <v>215</v>
      </c>
      <c r="AE72" s="1608">
        <v>215</v>
      </c>
      <c r="AF72" s="1608">
        <v>215</v>
      </c>
      <c r="AJ72" s="1608">
        <v>215</v>
      </c>
      <c r="AK72" s="1608">
        <v>215</v>
      </c>
      <c r="AL72" s="1608">
        <v>50</v>
      </c>
      <c r="AM72" s="1608">
        <v>50</v>
      </c>
      <c r="AN72" s="1608">
        <v>50</v>
      </c>
      <c r="AO72" s="1608">
        <v>50</v>
      </c>
      <c r="AP72" s="1608">
        <v>50</v>
      </c>
      <c r="AQ72" s="1608">
        <v>50</v>
      </c>
      <c r="AR72" s="1608">
        <v>50</v>
      </c>
      <c r="AS72" s="1608">
        <v>50</v>
      </c>
      <c r="AT72" s="1608">
        <v>50</v>
      </c>
      <c r="AU72" s="1608">
        <v>215</v>
      </c>
      <c r="AV72" s="1608">
        <v>215</v>
      </c>
      <c r="AW72" s="1608">
        <v>50</v>
      </c>
      <c r="AX72" s="1608">
        <v>50</v>
      </c>
      <c r="AY72" s="1608">
        <v>50</v>
      </c>
      <c r="AZ72" s="1608">
        <v>215</v>
      </c>
      <c r="BA72" s="1608">
        <v>215</v>
      </c>
      <c r="BB72" s="1709"/>
      <c r="BC72" s="1709"/>
      <c r="BD72" s="1709"/>
      <c r="BE72" s="1709"/>
      <c r="BF72" s="1709"/>
      <c r="BG72" s="1709"/>
      <c r="BH72" s="1709"/>
      <c r="BI72" s="1709"/>
      <c r="BJ72" s="1709"/>
      <c r="BK72" s="1709"/>
      <c r="BL72" s="1709"/>
      <c r="BM72" s="1709"/>
      <c r="BN72" s="1709"/>
      <c r="BO72" s="1709"/>
    </row>
    <row r="75" spans="1:67">
      <c r="A75" s="66" t="s">
        <v>868</v>
      </c>
      <c r="K75" s="2314" t="s">
        <v>766</v>
      </c>
      <c r="L75" s="2315"/>
      <c r="M75" s="2315"/>
      <c r="N75" s="2315"/>
      <c r="O75" s="2315"/>
      <c r="P75" s="2315"/>
      <c r="Q75" s="2315"/>
      <c r="R75" s="2315"/>
      <c r="S75" s="2315"/>
      <c r="T75" s="2315"/>
      <c r="U75" s="2315"/>
      <c r="V75" s="2315"/>
      <c r="W75" s="2315"/>
      <c r="X75" s="2315"/>
      <c r="Y75" s="2315"/>
      <c r="Z75" s="2315"/>
      <c r="AA75" s="2315"/>
      <c r="AB75" s="2315"/>
      <c r="AC75" s="2315"/>
      <c r="AD75" s="2315"/>
      <c r="AE75" s="2315"/>
      <c r="AF75" s="2316"/>
    </row>
    <row r="76" spans="1:67" ht="16.8">
      <c r="K76" s="1608">
        <v>215</v>
      </c>
      <c r="L76" s="1608">
        <v>215</v>
      </c>
      <c r="M76" s="1608">
        <v>215</v>
      </c>
      <c r="N76" s="1608">
        <v>50</v>
      </c>
      <c r="O76" s="1608">
        <v>50</v>
      </c>
      <c r="P76" s="1608">
        <v>50</v>
      </c>
      <c r="Q76" s="1608">
        <v>50</v>
      </c>
      <c r="R76" s="1608">
        <v>50</v>
      </c>
      <c r="S76" s="1608">
        <v>50</v>
      </c>
      <c r="T76" s="1608">
        <v>215</v>
      </c>
      <c r="U76" s="1608">
        <v>215</v>
      </c>
      <c r="V76" s="1608">
        <v>215</v>
      </c>
      <c r="W76" s="1608">
        <v>50</v>
      </c>
      <c r="X76" s="1608">
        <v>50</v>
      </c>
      <c r="Y76" s="1608">
        <v>50</v>
      </c>
      <c r="Z76" s="1608">
        <v>50</v>
      </c>
      <c r="AA76" s="1608">
        <v>50</v>
      </c>
      <c r="AB76" s="1608">
        <v>50</v>
      </c>
      <c r="AC76" s="1608">
        <v>215</v>
      </c>
      <c r="AD76" s="1608">
        <v>215</v>
      </c>
      <c r="AE76" s="1608">
        <v>215</v>
      </c>
      <c r="AF76" s="1608">
        <v>215</v>
      </c>
    </row>
    <row r="79" spans="1:67">
      <c r="A79" s="66" t="s">
        <v>869</v>
      </c>
      <c r="K79" s="2314" t="s">
        <v>766</v>
      </c>
      <c r="L79" s="2315"/>
      <c r="M79" s="2315"/>
      <c r="N79" s="2315"/>
      <c r="O79" s="2315"/>
      <c r="P79" s="2315"/>
      <c r="Q79" s="2315"/>
      <c r="R79" s="2315"/>
      <c r="S79" s="2315"/>
      <c r="T79" s="2315"/>
      <c r="U79" s="2315"/>
      <c r="V79" s="2315"/>
      <c r="W79" s="2315"/>
      <c r="X79" s="2315"/>
      <c r="Y79" s="2315"/>
      <c r="Z79" s="2315"/>
      <c r="AA79" s="2315"/>
      <c r="AB79" s="2315"/>
      <c r="AC79" s="2315"/>
      <c r="AD79" s="2315"/>
      <c r="AE79" s="2315"/>
      <c r="AF79" s="2316"/>
      <c r="AK79" s="2314" t="s">
        <v>752</v>
      </c>
      <c r="AL79" s="2315"/>
      <c r="AM79" s="2315"/>
      <c r="AN79" s="2315"/>
      <c r="AO79" s="2315"/>
      <c r="AP79" s="2315"/>
      <c r="AQ79" s="2315"/>
      <c r="AR79" s="2315"/>
      <c r="AS79" s="2315"/>
      <c r="AT79" s="2315"/>
      <c r="AU79" s="2315"/>
      <c r="AV79" s="2315"/>
      <c r="AW79" s="2315"/>
      <c r="AX79" s="2315"/>
      <c r="AY79" s="2315"/>
      <c r="AZ79" s="2315"/>
      <c r="BA79" s="2315"/>
      <c r="BB79" s="2315"/>
      <c r="BC79" s="2315"/>
      <c r="BD79" s="2315"/>
      <c r="BE79" s="2315"/>
      <c r="BF79" s="2315"/>
      <c r="BG79" s="2315"/>
      <c r="BH79" s="2315"/>
      <c r="BI79" s="2315"/>
      <c r="BJ79" s="2315"/>
      <c r="BK79" s="2315"/>
      <c r="BL79" s="2315"/>
      <c r="BM79" s="2316"/>
    </row>
    <row r="80" spans="1:67" ht="16.8">
      <c r="K80" s="1608">
        <v>215</v>
      </c>
      <c r="L80" s="1608">
        <v>215</v>
      </c>
      <c r="M80" s="1608">
        <v>215</v>
      </c>
      <c r="N80" s="1608">
        <v>50</v>
      </c>
      <c r="O80" s="1608">
        <v>50</v>
      </c>
      <c r="P80" s="1608">
        <v>50</v>
      </c>
      <c r="Q80" s="1608">
        <v>50</v>
      </c>
      <c r="R80" s="1608">
        <v>50</v>
      </c>
      <c r="S80" s="1608">
        <v>50</v>
      </c>
      <c r="T80" s="1608">
        <v>215</v>
      </c>
      <c r="U80" s="1608">
        <v>215</v>
      </c>
      <c r="V80" s="1608">
        <v>215</v>
      </c>
      <c r="W80" s="1608">
        <v>50</v>
      </c>
      <c r="X80" s="1608">
        <v>50</v>
      </c>
      <c r="Y80" s="1608">
        <v>50</v>
      </c>
      <c r="Z80" s="1608">
        <v>50</v>
      </c>
      <c r="AA80" s="1608">
        <v>50</v>
      </c>
      <c r="AB80" s="1608">
        <v>50</v>
      </c>
      <c r="AC80" s="1608">
        <v>215</v>
      </c>
      <c r="AD80" s="1608">
        <v>215</v>
      </c>
      <c r="AE80" s="1608">
        <v>215</v>
      </c>
      <c r="AF80" s="1608">
        <v>215</v>
      </c>
      <c r="AK80" s="1608">
        <v>215</v>
      </c>
      <c r="AL80" s="1608">
        <v>215</v>
      </c>
      <c r="AM80" s="1608">
        <v>215</v>
      </c>
      <c r="AN80" s="1608">
        <v>215</v>
      </c>
      <c r="AO80" s="1608">
        <v>50</v>
      </c>
      <c r="AP80" s="1608">
        <v>50</v>
      </c>
      <c r="AQ80" s="1608">
        <v>50</v>
      </c>
      <c r="AR80" s="1608">
        <v>50</v>
      </c>
      <c r="AS80" s="1608">
        <v>50</v>
      </c>
      <c r="AT80" s="1608">
        <v>50</v>
      </c>
      <c r="AU80" s="1608">
        <v>50</v>
      </c>
      <c r="AV80" s="1608">
        <v>50</v>
      </c>
      <c r="AW80" s="1608">
        <v>50</v>
      </c>
      <c r="AX80" s="1608">
        <v>50</v>
      </c>
      <c r="AY80" s="1608">
        <v>50</v>
      </c>
      <c r="AZ80" s="1608">
        <v>50</v>
      </c>
      <c r="BA80" s="1608">
        <v>215</v>
      </c>
      <c r="BB80" s="1608">
        <v>215</v>
      </c>
      <c r="BC80" s="1608">
        <v>215</v>
      </c>
      <c r="BD80" s="1608">
        <v>215</v>
      </c>
      <c r="BE80" s="1608">
        <v>50</v>
      </c>
      <c r="BF80" s="1608">
        <v>50</v>
      </c>
      <c r="BG80" s="1608">
        <v>50</v>
      </c>
      <c r="BH80" s="1608">
        <v>50</v>
      </c>
      <c r="BI80" s="1608">
        <v>50</v>
      </c>
      <c r="BJ80" s="1608">
        <v>215</v>
      </c>
      <c r="BK80" s="1608">
        <v>215</v>
      </c>
      <c r="BL80" s="1608">
        <v>215</v>
      </c>
      <c r="BM80" s="1608">
        <v>215</v>
      </c>
    </row>
    <row r="83" spans="1:58">
      <c r="A83" s="66" t="s">
        <v>870</v>
      </c>
      <c r="K83" s="2314" t="s">
        <v>766</v>
      </c>
      <c r="L83" s="2315"/>
      <c r="M83" s="2315"/>
      <c r="N83" s="2315"/>
      <c r="O83" s="2315"/>
      <c r="P83" s="2315"/>
      <c r="Q83" s="2315"/>
      <c r="R83" s="2315"/>
      <c r="S83" s="2315"/>
      <c r="T83" s="2315"/>
      <c r="U83" s="2315"/>
      <c r="V83" s="2315"/>
      <c r="W83" s="2315"/>
      <c r="X83" s="2315"/>
      <c r="Y83" s="2315"/>
      <c r="Z83" s="2315"/>
      <c r="AA83" s="2315"/>
      <c r="AB83" s="2315"/>
      <c r="AC83" s="2315"/>
      <c r="AD83" s="2315"/>
      <c r="AE83" s="2315"/>
      <c r="AF83" s="2316"/>
    </row>
    <row r="84" spans="1:58" ht="16.8">
      <c r="K84" s="1608">
        <v>215</v>
      </c>
      <c r="L84" s="1608">
        <v>215</v>
      </c>
      <c r="M84" s="1608">
        <v>215</v>
      </c>
      <c r="N84" s="1608">
        <v>50</v>
      </c>
      <c r="O84" s="1608">
        <v>50</v>
      </c>
      <c r="P84" s="1608">
        <v>50</v>
      </c>
      <c r="Q84" s="1608">
        <v>50</v>
      </c>
      <c r="R84" s="1608">
        <v>50</v>
      </c>
      <c r="S84" s="1608">
        <v>50</v>
      </c>
      <c r="T84" s="1608">
        <v>215</v>
      </c>
      <c r="U84" s="1608">
        <v>215</v>
      </c>
      <c r="V84" s="1608">
        <v>215</v>
      </c>
      <c r="W84" s="1608">
        <v>50</v>
      </c>
      <c r="X84" s="1608">
        <v>50</v>
      </c>
      <c r="Y84" s="1608">
        <v>50</v>
      </c>
      <c r="Z84" s="1608">
        <v>50</v>
      </c>
      <c r="AA84" s="1608">
        <v>50</v>
      </c>
      <c r="AB84" s="1608">
        <v>50</v>
      </c>
      <c r="AC84" s="1608">
        <v>215</v>
      </c>
      <c r="AD84" s="1608">
        <v>215</v>
      </c>
      <c r="AE84" s="1608">
        <v>215</v>
      </c>
      <c r="AF84" s="1608">
        <v>215</v>
      </c>
    </row>
    <row r="87" spans="1:58">
      <c r="A87" s="66" t="s">
        <v>871</v>
      </c>
      <c r="K87" s="2335" t="s">
        <v>351</v>
      </c>
      <c r="L87" s="2336"/>
      <c r="M87" s="2336"/>
      <c r="N87" s="2336"/>
      <c r="O87" s="2336"/>
      <c r="P87" s="2336"/>
      <c r="Q87" s="2336"/>
      <c r="R87" s="2336"/>
      <c r="S87" s="2336"/>
      <c r="T87" s="2336"/>
      <c r="U87" s="2336"/>
      <c r="V87" s="2336"/>
      <c r="W87" s="2336"/>
      <c r="X87" s="2336"/>
      <c r="Y87" s="2336"/>
      <c r="Z87" s="2337"/>
    </row>
    <row r="88" spans="1:58" ht="16.8">
      <c r="K88" s="1680">
        <v>652</v>
      </c>
      <c r="L88" s="1681">
        <v>652</v>
      </c>
      <c r="M88" s="1681">
        <v>650</v>
      </c>
      <c r="N88" s="1681">
        <v>150</v>
      </c>
      <c r="O88" s="1681">
        <v>150</v>
      </c>
      <c r="P88" s="1681">
        <v>150</v>
      </c>
      <c r="Q88" s="1681">
        <v>652</v>
      </c>
      <c r="R88" s="1681">
        <v>652</v>
      </c>
      <c r="S88" s="1681">
        <v>652</v>
      </c>
      <c r="T88" s="1681">
        <v>150</v>
      </c>
      <c r="U88" s="1681">
        <v>150</v>
      </c>
      <c r="V88" s="1681">
        <v>150</v>
      </c>
      <c r="W88" s="1681">
        <v>652</v>
      </c>
      <c r="X88" s="1681">
        <v>652</v>
      </c>
      <c r="Y88" s="1681">
        <v>652</v>
      </c>
      <c r="Z88" s="1682">
        <v>652</v>
      </c>
    </row>
    <row r="91" spans="1:58" ht="14.85" customHeight="1">
      <c r="A91" s="66" t="s">
        <v>872</v>
      </c>
      <c r="K91" s="2335" t="s">
        <v>411</v>
      </c>
      <c r="L91" s="2336"/>
      <c r="M91" s="2336"/>
      <c r="N91" s="2336"/>
      <c r="O91" s="2336"/>
      <c r="P91" s="2336"/>
      <c r="Q91" s="2336"/>
      <c r="R91" s="2336"/>
      <c r="S91" s="2336"/>
      <c r="T91" s="2336"/>
      <c r="U91" s="2336"/>
      <c r="V91" s="2336"/>
      <c r="W91" s="2336"/>
      <c r="X91" s="2336"/>
      <c r="Y91" s="2336"/>
      <c r="Z91" s="2337"/>
      <c r="AH91" s="2335" t="s">
        <v>767</v>
      </c>
      <c r="AI91" s="2336"/>
      <c r="AJ91" s="2336"/>
      <c r="AK91" s="2336"/>
      <c r="AL91" s="2336"/>
      <c r="AM91" s="2336"/>
      <c r="AN91" s="2336"/>
      <c r="AO91" s="2336"/>
      <c r="AP91" s="2336"/>
      <c r="AQ91" s="2336"/>
      <c r="AR91" s="2336"/>
      <c r="AS91" s="2336"/>
      <c r="AT91" s="2336"/>
      <c r="AU91" s="2336"/>
      <c r="AV91" s="2336"/>
      <c r="AW91" s="2336"/>
      <c r="AX91" s="2336"/>
      <c r="AY91" s="2336"/>
      <c r="AZ91" s="2337"/>
    </row>
    <row r="92" spans="1:58" ht="16.8">
      <c r="K92" s="1680">
        <v>652</v>
      </c>
      <c r="L92" s="1681">
        <v>652</v>
      </c>
      <c r="M92" s="1681">
        <v>652</v>
      </c>
      <c r="N92" s="1681">
        <v>150</v>
      </c>
      <c r="O92" s="1681">
        <v>150</v>
      </c>
      <c r="P92" s="1681">
        <v>150</v>
      </c>
      <c r="Q92" s="1681">
        <v>652</v>
      </c>
      <c r="R92" s="1681">
        <v>652</v>
      </c>
      <c r="S92" s="1681">
        <v>652</v>
      </c>
      <c r="T92" s="1681">
        <v>150</v>
      </c>
      <c r="U92" s="1681">
        <v>150</v>
      </c>
      <c r="V92" s="1681">
        <v>150</v>
      </c>
      <c r="W92" s="1681">
        <v>652</v>
      </c>
      <c r="X92" s="1681">
        <v>652</v>
      </c>
      <c r="Y92" s="1681">
        <v>652</v>
      </c>
      <c r="Z92" s="1682">
        <v>652</v>
      </c>
      <c r="AH92" s="1680">
        <v>652</v>
      </c>
      <c r="AI92" s="1681">
        <v>652</v>
      </c>
      <c r="AJ92" s="1681">
        <v>650</v>
      </c>
      <c r="AK92" s="1681">
        <v>150</v>
      </c>
      <c r="AL92" s="1681">
        <v>150</v>
      </c>
      <c r="AM92" s="1681">
        <v>150</v>
      </c>
      <c r="AN92" s="1681">
        <v>150</v>
      </c>
      <c r="AO92" s="1681">
        <v>150</v>
      </c>
      <c r="AP92" s="1681">
        <v>150</v>
      </c>
      <c r="AQ92" s="1681">
        <v>150</v>
      </c>
      <c r="AR92" s="1681">
        <v>652</v>
      </c>
      <c r="AS92" s="1681">
        <v>652</v>
      </c>
      <c r="AT92" s="1681">
        <v>652</v>
      </c>
      <c r="AU92" s="1681">
        <v>150</v>
      </c>
      <c r="AV92" s="1681">
        <v>150</v>
      </c>
      <c r="AW92" s="1681">
        <v>150</v>
      </c>
      <c r="AX92" s="1704">
        <v>652</v>
      </c>
      <c r="AY92" s="1704">
        <v>652</v>
      </c>
      <c r="AZ92" s="1685">
        <v>652</v>
      </c>
    </row>
    <row r="95" spans="1:58" s="185" customFormat="1">
      <c r="A95" s="209" t="s">
        <v>879</v>
      </c>
      <c r="Q95" s="1705" t="s">
        <v>877</v>
      </c>
      <c r="R95" s="1706"/>
      <c r="S95" s="1705"/>
      <c r="T95" s="1706"/>
      <c r="U95" s="1706"/>
      <c r="V95" s="1707"/>
      <c r="W95" s="1705" t="s">
        <v>878</v>
      </c>
      <c r="X95" s="1706"/>
      <c r="Y95" s="1706"/>
      <c r="Z95" s="1707"/>
      <c r="AA95" s="1705" t="s">
        <v>288</v>
      </c>
      <c r="AB95" s="1706"/>
      <c r="AC95" s="1706"/>
      <c r="AD95" s="1706"/>
      <c r="AE95" s="1706"/>
      <c r="AF95" s="1706"/>
      <c r="AG95" s="1706"/>
      <c r="AH95" s="1706"/>
      <c r="AI95" s="1706"/>
      <c r="AJ95" s="1706"/>
      <c r="AK95" s="1706"/>
      <c r="AL95" s="1706"/>
      <c r="AM95" s="1706"/>
      <c r="AN95" s="1706"/>
      <c r="AO95" s="1706"/>
      <c r="AP95" s="1706"/>
      <c r="AQ95" s="1706"/>
      <c r="AR95" s="1706"/>
      <c r="AS95" s="1706"/>
      <c r="AT95" s="1706"/>
      <c r="AU95" s="1706"/>
      <c r="AV95" s="1707"/>
    </row>
    <row r="96" spans="1:58" ht="16.8">
      <c r="Q96" s="1680">
        <v>900</v>
      </c>
      <c r="R96" s="1681">
        <v>900</v>
      </c>
      <c r="S96" s="1680">
        <v>900</v>
      </c>
      <c r="T96" s="1681">
        <v>90</v>
      </c>
      <c r="U96" s="1681">
        <v>90</v>
      </c>
      <c r="V96" s="1681">
        <v>90</v>
      </c>
      <c r="W96" s="1681">
        <v>540</v>
      </c>
      <c r="X96" s="1681">
        <v>540</v>
      </c>
      <c r="Y96" s="1681">
        <v>540</v>
      </c>
      <c r="Z96" s="1681">
        <v>540</v>
      </c>
      <c r="AA96" s="1681">
        <v>900</v>
      </c>
      <c r="AB96" s="1681">
        <v>900</v>
      </c>
      <c r="AC96" s="1681">
        <v>900</v>
      </c>
      <c r="AD96" s="1681">
        <v>90</v>
      </c>
      <c r="AE96" s="1681">
        <v>90</v>
      </c>
      <c r="AF96" s="1681">
        <v>90</v>
      </c>
      <c r="AG96" s="1681">
        <v>90</v>
      </c>
      <c r="AH96" s="1681">
        <v>90</v>
      </c>
      <c r="AI96" s="1681">
        <v>90</v>
      </c>
      <c r="AJ96" s="1681">
        <v>90</v>
      </c>
      <c r="AK96" s="1681">
        <v>900</v>
      </c>
      <c r="AL96" s="1681">
        <v>900</v>
      </c>
      <c r="AM96" s="1681">
        <v>900</v>
      </c>
      <c r="AN96" s="1681">
        <v>90</v>
      </c>
      <c r="AO96" s="1681">
        <v>90</v>
      </c>
      <c r="AP96" s="1681">
        <v>90</v>
      </c>
      <c r="AQ96" s="1681">
        <v>90</v>
      </c>
      <c r="AR96" s="1681">
        <v>90</v>
      </c>
      <c r="AS96" s="1681">
        <v>90</v>
      </c>
      <c r="AT96" s="1681">
        <v>900</v>
      </c>
      <c r="AU96" s="1681">
        <v>900</v>
      </c>
      <c r="AV96" s="1682">
        <v>900</v>
      </c>
      <c r="AW96" s="1708"/>
      <c r="AX96" s="1708"/>
      <c r="AY96" s="1708"/>
      <c r="AZ96" s="1708"/>
      <c r="BA96" s="1708"/>
      <c r="BB96" s="1708"/>
      <c r="BC96" s="1708"/>
      <c r="BD96" s="1708"/>
      <c r="BE96" s="1708"/>
      <c r="BF96" s="1708"/>
    </row>
  </sheetData>
  <mergeCells count="120"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Иванов Евгений</cp:lastModifiedBy>
  <cp:lastPrinted>2021-01-27T10:45:35Z</cp:lastPrinted>
  <dcterms:created xsi:type="dcterms:W3CDTF">2012-01-17T06:50:06Z</dcterms:created>
  <dcterms:modified xsi:type="dcterms:W3CDTF">2021-01-27T15:12:52Z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