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umr\OneDrive\Desktop\Learning\FTEC 6334 - Financial Applications of Machine Learning\2\"/>
    </mc:Choice>
  </mc:AlternateContent>
  <xr:revisionPtr revIDLastSave="0" documentId="13_ncr:1_{AF3FB586-66D4-413A-8294-BE8515DAD462}" xr6:coauthVersionLast="45" xr6:coauthVersionMax="45" xr10:uidLastSave="{00000000-0000-0000-0000-000000000000}"/>
  <bookViews>
    <workbookView xWindow="28680" yWindow="-120" windowWidth="29040" windowHeight="15840" xr2:uid="{AB219472-A173-4942-882C-E6C36FFFB216}"/>
  </bookViews>
  <sheets>
    <sheet name="Q1" sheetId="2" r:id="rId1"/>
  </sheets>
  <definedNames>
    <definedName name="solver_adj" localSheetId="0" hidden="1">'Q1'!$H$25:$J$25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'Q1'!$P$22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" i="2" l="1" a="1"/>
  <c r="AG4" i="2" s="1"/>
  <c r="AG3" i="2" a="1"/>
  <c r="AG3" i="2" s="1"/>
  <c r="AG2" i="2" a="1"/>
  <c r="AG2" i="2" s="1"/>
  <c r="G29" i="2"/>
  <c r="G32" i="2"/>
  <c r="G33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Y30" i="2"/>
  <c r="Y31" i="2"/>
  <c r="Y32" i="2"/>
  <c r="Y36" i="2"/>
  <c r="Y37" i="2"/>
  <c r="Y38" i="2"/>
  <c r="Y42" i="2"/>
  <c r="Y47" i="2"/>
  <c r="L51" i="2"/>
  <c r="Y40" i="2" l="1"/>
  <c r="Y34" i="2"/>
  <c r="Y48" i="2"/>
  <c r="Y33" i="2"/>
  <c r="Y39" i="2"/>
  <c r="Y35" i="2"/>
  <c r="Y45" i="2"/>
  <c r="Y43" i="2"/>
  <c r="Y41" i="2"/>
  <c r="Y46" i="2"/>
  <c r="Y44" i="2"/>
  <c r="Y29" i="2"/>
  <c r="G21" i="2" l="1"/>
  <c r="K21" i="2" s="1"/>
  <c r="G20" i="2"/>
  <c r="K20" i="2" s="1"/>
  <c r="G19" i="2"/>
  <c r="K19" i="2" s="1"/>
  <c r="G18" i="2"/>
  <c r="K18" i="2" s="1"/>
  <c r="G17" i="2"/>
  <c r="K17" i="2" s="1"/>
  <c r="G16" i="2"/>
  <c r="K16" i="2" s="1"/>
  <c r="G15" i="2"/>
  <c r="K15" i="2" s="1"/>
  <c r="G14" i="2"/>
  <c r="K14" i="2" s="1"/>
  <c r="G13" i="2"/>
  <c r="K13" i="2" s="1"/>
  <c r="G12" i="2"/>
  <c r="K12" i="2" s="1"/>
  <c r="G11" i="2"/>
  <c r="K11" i="2" s="1"/>
  <c r="G10" i="2"/>
  <c r="K10" i="2" s="1"/>
  <c r="G9" i="2"/>
  <c r="K9" i="2" s="1"/>
  <c r="G8" i="2"/>
  <c r="K8" i="2" s="1"/>
  <c r="G7" i="2"/>
  <c r="K7" i="2" s="1"/>
  <c r="G6" i="2"/>
  <c r="K6" i="2" s="1"/>
  <c r="G5" i="2"/>
  <c r="K5" i="2" s="1"/>
  <c r="G4" i="2"/>
  <c r="K4" i="2" s="1"/>
  <c r="G3" i="2"/>
  <c r="K3" i="2" s="1"/>
  <c r="G2" i="2"/>
  <c r="K2" i="2" s="1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11" i="2" l="1"/>
  <c r="F11" i="2" s="1"/>
  <c r="E3" i="2"/>
  <c r="F3" i="2" s="1"/>
  <c r="E18" i="2"/>
  <c r="F18" i="2" s="1"/>
  <c r="E8" i="2"/>
  <c r="F8" i="2" s="1"/>
  <c r="E21" i="2"/>
  <c r="F21" i="2" s="1"/>
  <c r="E10" i="2"/>
  <c r="F10" i="2" s="1"/>
  <c r="T10" i="2" s="1"/>
  <c r="E7" i="2"/>
  <c r="F7" i="2" s="1"/>
  <c r="T7" i="2" s="1"/>
  <c r="E6" i="2"/>
  <c r="F6" i="2" s="1"/>
  <c r="T6" i="2" s="1"/>
  <c r="E13" i="2"/>
  <c r="F13" i="2" s="1"/>
  <c r="E15" i="2"/>
  <c r="F15" i="2" s="1"/>
  <c r="E17" i="2"/>
  <c r="F17" i="2" s="1"/>
  <c r="E14" i="2"/>
  <c r="F14" i="2" s="1"/>
  <c r="E12" i="2"/>
  <c r="F12" i="2" s="1"/>
  <c r="E9" i="2"/>
  <c r="F9" i="2"/>
  <c r="T9" i="2" s="1"/>
  <c r="E19" i="2"/>
  <c r="F19" i="2" s="1"/>
  <c r="E4" i="2"/>
  <c r="F4" i="2" s="1"/>
  <c r="T4" i="2" s="1"/>
  <c r="E5" i="2"/>
  <c r="F5" i="2" s="1"/>
  <c r="E16" i="2"/>
  <c r="F16" i="2" s="1"/>
  <c r="E20" i="2"/>
  <c r="F20" i="2" s="1"/>
  <c r="T20" i="2" s="1"/>
  <c r="E2" i="2"/>
  <c r="E22" i="2" s="1"/>
  <c r="T19" i="2" l="1"/>
  <c r="U19" i="2" s="1"/>
  <c r="V19" i="2" s="1"/>
  <c r="T3" i="2"/>
  <c r="U3" i="2" s="1"/>
  <c r="V3" i="2" s="1"/>
  <c r="T15" i="2"/>
  <c r="U15" i="2" s="1"/>
  <c r="V15" i="2" s="1"/>
  <c r="T18" i="2"/>
  <c r="U18" i="2" s="1"/>
  <c r="V18" i="2" s="1"/>
  <c r="T16" i="2"/>
  <c r="U16" i="2" s="1"/>
  <c r="V16" i="2" s="1"/>
  <c r="T13" i="2"/>
  <c r="U13" i="2" s="1"/>
  <c r="V13" i="2" s="1"/>
  <c r="T5" i="2"/>
  <c r="U5" i="2" s="1"/>
  <c r="V5" i="2" s="1"/>
  <c r="T17" i="2"/>
  <c r="U17" i="2" s="1"/>
  <c r="V17" i="2" s="1"/>
  <c r="T11" i="2"/>
  <c r="U11" i="2" s="1"/>
  <c r="V11" i="2" s="1"/>
  <c r="U20" i="2"/>
  <c r="V20" i="2" s="1"/>
  <c r="U4" i="2"/>
  <c r="V4" i="2" s="1"/>
  <c r="T14" i="2"/>
  <c r="U14" i="2" s="1"/>
  <c r="V14" i="2" s="1"/>
  <c r="U6" i="2"/>
  <c r="V6" i="2" s="1"/>
  <c r="T8" i="2"/>
  <c r="U8" i="2" s="1"/>
  <c r="V8" i="2" s="1"/>
  <c r="U9" i="2"/>
  <c r="V9" i="2" s="1"/>
  <c r="F2" i="2"/>
  <c r="U10" i="2"/>
  <c r="V10" i="2" s="1"/>
  <c r="T12" i="2"/>
  <c r="U12" i="2" s="1"/>
  <c r="V12" i="2" s="1"/>
  <c r="T21" i="2"/>
  <c r="U21" i="2" s="1"/>
  <c r="V21" i="2" s="1"/>
  <c r="U7" i="2"/>
  <c r="V7" i="2" s="1"/>
  <c r="T2" i="2" l="1"/>
  <c r="U2" i="2" s="1"/>
  <c r="G34" i="2" l="1"/>
  <c r="V2" i="2"/>
  <c r="G30" i="2" l="1"/>
  <c r="G31" i="2"/>
  <c r="V22" i="2"/>
  <c r="W11" i="2"/>
  <c r="Z38" i="2" s="1"/>
  <c r="AA38" i="2" s="1"/>
  <c r="W20" i="2"/>
  <c r="Z47" i="2" s="1"/>
  <c r="AA47" i="2" s="1"/>
  <c r="W14" i="2"/>
  <c r="Z41" i="2" s="1"/>
  <c r="AA41" i="2" s="1"/>
  <c r="W17" i="2"/>
  <c r="Z44" i="2" s="1"/>
  <c r="AA44" i="2" s="1"/>
  <c r="W15" i="2"/>
  <c r="Z42" i="2" s="1"/>
  <c r="AA42" i="2" s="1"/>
  <c r="W18" i="2"/>
  <c r="Z45" i="2" s="1"/>
  <c r="AA45" i="2" s="1"/>
  <c r="W13" i="2"/>
  <c r="Z40" i="2" s="1"/>
  <c r="AA40" i="2" s="1"/>
  <c r="W7" i="2"/>
  <c r="Z34" i="2" s="1"/>
  <c r="AA34" i="2" s="1"/>
  <c r="W3" i="2"/>
  <c r="Z30" i="2" s="1"/>
  <c r="AA30" i="2" s="1"/>
  <c r="W12" i="2"/>
  <c r="Z39" i="2" s="1"/>
  <c r="AA39" i="2" s="1"/>
  <c r="W4" i="2"/>
  <c r="Z31" i="2" s="1"/>
  <c r="AA31" i="2" s="1"/>
  <c r="W10" i="2"/>
  <c r="Z37" i="2" s="1"/>
  <c r="AA37" i="2" s="1"/>
  <c r="W19" i="2"/>
  <c r="Z46" i="2" s="1"/>
  <c r="AA46" i="2" s="1"/>
  <c r="W5" i="2"/>
  <c r="Z32" i="2" s="1"/>
  <c r="AA32" i="2" s="1"/>
  <c r="W16" i="2"/>
  <c r="Z43" i="2" s="1"/>
  <c r="AA43" i="2" s="1"/>
  <c r="W21" i="2"/>
  <c r="Z48" i="2" s="1"/>
  <c r="AA48" i="2" s="1"/>
  <c r="W9" i="2"/>
  <c r="Z36" i="2" s="1"/>
  <c r="AA36" i="2" s="1"/>
  <c r="W2" i="2"/>
  <c r="Z29" i="2" s="1"/>
  <c r="AA29" i="2" s="1"/>
  <c r="W8" i="2"/>
  <c r="Z35" i="2" s="1"/>
  <c r="AA35" i="2" s="1"/>
  <c r="W6" i="2"/>
  <c r="Z33" i="2" s="1"/>
  <c r="AA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<sst xmlns="http://schemas.openxmlformats.org/spreadsheetml/2006/main" count="42" uniqueCount="29">
  <si>
    <t>Remodeled</t>
  </si>
  <si>
    <t>Neighborhood</t>
  </si>
  <si>
    <t>Age</t>
  </si>
  <si>
    <t>Price</t>
  </si>
  <si>
    <t>Y</t>
  </si>
  <si>
    <t>New</t>
  </si>
  <si>
    <t>Error</t>
  </si>
  <si>
    <t>Average</t>
  </si>
  <si>
    <t>Estimate</t>
  </si>
  <si>
    <t>Area</t>
  </si>
  <si>
    <t>Error*Error</t>
  </si>
  <si>
    <t>SSE</t>
  </si>
  <si>
    <t>SD</t>
  </si>
  <si>
    <t>Old Estimate</t>
  </si>
  <si>
    <t>New Estimate</t>
  </si>
  <si>
    <t>New Error</t>
  </si>
  <si>
    <t>Remodel</t>
  </si>
  <si>
    <t>Model Price</t>
  </si>
  <si>
    <t>MSE</t>
  </si>
  <si>
    <t>Var</t>
  </si>
  <si>
    <t>covariance</t>
  </si>
  <si>
    <t>beta</t>
  </si>
  <si>
    <t>NB-1 (+15)</t>
  </si>
  <si>
    <t>NB-2 (-5)</t>
  </si>
  <si>
    <t>Remodeled (+50000)</t>
  </si>
  <si>
    <t>New Price</t>
  </si>
  <si>
    <t>Area (SQFT) (+150)</t>
  </si>
  <si>
    <t>Age (2000)</t>
  </si>
  <si>
    <t>[area] x 150 + [nb-1]*15 - [nb-2]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</si>
</sst>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left"/>
    </xf>
    <xf numFmtId="167" fontId="1" fillId="0" borderId="0" xfId="0" applyNumberFormat="1" applyFont="1" applyAlignment="1">
      <alignment horizontal="center"/>
    </xf>
    <xf numFmtId="167" fontId="0" fillId="0" borderId="0" xfId="1" applyNumberFormat="1" applyFont="1"/>
    <xf numFmtId="0" fontId="1" fillId="0" borderId="0" xfId="0" applyFont="1"/>
    <xf numFmtId="1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AZ51"/>
  <sheetViews>
    <sheetView tabSelected="1" topLeftCell="P1" workbookViewId="0">
      <selection activeCell="V15" sqref="V15"/>
    </sheetView>
  </sheetViews>
  <sheetFormatPr defaultRowHeight="15" x14ac:dyDescent="0.25"/>
  <cols>
    <col min="1" max="1" width="17.5703125" style="2" bestFit="1" customWidth="1"/>
    <col min="2" max="6" width="15.7109375" style="2" customWidth="1"/>
    <col min="7" max="7" width="13" customWidth="1"/>
    <col min="8" max="8" width="19.42578125" style="2" bestFit="1" customWidth="1"/>
    <col min="9" max="10" width="11.85546875" style="2" customWidth="1"/>
    <col min="11" max="11" width="32" style="2" bestFit="1" customWidth="1"/>
    <col min="12" max="12" width="11.42578125" customWidth="1"/>
    <col min="13" max="13" width="13.42578125" bestFit="1" customWidth="1"/>
    <col min="14" max="14" width="3.140625" customWidth="1"/>
    <col min="15" max="15" width="18" bestFit="1" customWidth="1"/>
    <col min="16" max="16" width="18.140625" bestFit="1" customWidth="1"/>
    <col min="17" max="17" width="11" bestFit="1" customWidth="1"/>
    <col min="19" max="19" width="14" bestFit="1" customWidth="1"/>
    <col min="20" max="21" width="14" customWidth="1"/>
    <col min="22" max="22" width="18.28515625" bestFit="1" customWidth="1"/>
    <col min="23" max="23" width="14" bestFit="1" customWidth="1"/>
    <col min="24" max="24" width="1.42578125" customWidth="1"/>
    <col min="25" max="25" width="22.7109375" bestFit="1" customWidth="1"/>
    <col min="26" max="26" width="13.42578125" bestFit="1" customWidth="1"/>
    <col min="27" max="27" width="22.7109375" bestFit="1" customWidth="1"/>
    <col min="29" max="48" width="2" bestFit="1" customWidth="1"/>
    <col min="49" max="49" width="2.7109375" customWidth="1"/>
    <col min="50" max="52" width="2" bestFit="1" customWidth="1"/>
  </cols>
  <sheetData>
    <row r="1" spans="1:52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27</v>
      </c>
      <c r="H1" s="1" t="s">
        <v>24</v>
      </c>
      <c r="I1" s="1" t="s">
        <v>22</v>
      </c>
      <c r="J1" s="1" t="s">
        <v>23</v>
      </c>
      <c r="K1" s="1" t="s">
        <v>25</v>
      </c>
      <c r="L1" s="1" t="s">
        <v>6</v>
      </c>
      <c r="M1" s="1" t="s">
        <v>10</v>
      </c>
      <c r="O1" s="1"/>
      <c r="P1" s="1"/>
      <c r="R1" s="1" t="s">
        <v>2</v>
      </c>
      <c r="S1" s="1" t="s">
        <v>1</v>
      </c>
      <c r="T1" s="1" t="s">
        <v>8</v>
      </c>
      <c r="U1" s="1" t="s">
        <v>6</v>
      </c>
      <c r="V1" s="6" t="s">
        <v>10</v>
      </c>
      <c r="W1" s="6"/>
      <c r="Y1" s="1" t="s">
        <v>8</v>
      </c>
      <c r="Z1" s="1" t="s">
        <v>6</v>
      </c>
      <c r="AA1" s="1" t="s">
        <v>10</v>
      </c>
    </row>
    <row r="2" spans="1:52" x14ac:dyDescent="0.25">
      <c r="A2" s="2">
        <v>1500</v>
      </c>
      <c r="C2" s="2">
        <v>2</v>
      </c>
      <c r="D2" s="2">
        <v>20</v>
      </c>
      <c r="E2" s="3">
        <f>A2*$G$25+H2*$G$24+G2*$G$26+$L$2+IF(C2=1,15,IF(C2=2,-5))</f>
        <v>185000</v>
      </c>
      <c r="F2" s="5">
        <f>E2-(H2*$G$24)</f>
        <v>185000</v>
      </c>
      <c r="G2">
        <f>IF(D2="New",0,D2)</f>
        <v>20</v>
      </c>
      <c r="H2" s="2">
        <f>IF(B2="Y",1,0)</f>
        <v>0</v>
      </c>
      <c r="I2" s="2">
        <f>IF(C2=1,1,0)</f>
        <v>0</v>
      </c>
      <c r="J2" s="2">
        <f>IF(C2=2,1,0)</f>
        <v>1</v>
      </c>
      <c r="K2" s="2">
        <f>A2*150+G2*2000+I2*15+J2*-5</f>
        <v>264995</v>
      </c>
      <c r="L2" s="2">
        <v>5</v>
      </c>
      <c r="M2" s="2">
        <v>25</v>
      </c>
      <c r="O2" s="8"/>
      <c r="R2">
        <v>1</v>
      </c>
      <c r="S2" s="7">
        <v>0</v>
      </c>
      <c r="T2" s="7">
        <f>(F2+M2+R42*G2+S2+IF(C2=1,15,IF(C2=2,-5)))</f>
        <v>185020</v>
      </c>
      <c r="U2" s="7">
        <f>F2-T2</f>
        <v>-20</v>
      </c>
      <c r="V2">
        <f>U2*U2</f>
        <v>400</v>
      </c>
      <c r="W2" s="7">
        <f>$G$32</f>
        <v>81.1875</v>
      </c>
      <c r="Y2" s="5"/>
      <c r="Z2" s="9"/>
      <c r="AC2" s="2">
        <v>0</v>
      </c>
      <c r="AD2" s="2">
        <v>0</v>
      </c>
      <c r="AE2" s="2">
        <v>1</v>
      </c>
      <c r="AF2" s="2"/>
      <c r="AG2" s="2" cm="1">
        <f t="array" ref="AG2:AZ2">TRANSPOSE(AC2:AC21)</f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>
        <v>0</v>
      </c>
      <c r="AX2">
        <v>1</v>
      </c>
      <c r="AY2">
        <v>0</v>
      </c>
      <c r="AZ2">
        <v>0</v>
      </c>
    </row>
    <row r="3" spans="1:52" x14ac:dyDescent="0.25">
      <c r="A3" s="2">
        <v>2500</v>
      </c>
      <c r="C3" s="2">
        <v>2</v>
      </c>
      <c r="D3" s="2" t="s">
        <v>5</v>
      </c>
      <c r="E3" s="3">
        <f>A3*$G$25+H3*$G$24+G3*$G$26+$L$2+IF(C3=1,15,IF(C3=2,-5))</f>
        <v>375000</v>
      </c>
      <c r="F3" s="5">
        <f>E3-(H3*$G$24)</f>
        <v>375000</v>
      </c>
      <c r="G3">
        <f>IF(D3="New",0,D3)</f>
        <v>0</v>
      </c>
      <c r="H3" s="2">
        <f>IF(B3="Y",1,0)</f>
        <v>0</v>
      </c>
      <c r="I3" s="2">
        <f>IF(C3=1,1,0)</f>
        <v>0</v>
      </c>
      <c r="J3" s="2">
        <f>IF(C3=2,1,0)</f>
        <v>1</v>
      </c>
      <c r="K3" s="2">
        <f t="shared" ref="K3:K21" si="0">A3*150+G3*2000+I3*15+J3*-5</f>
        <v>374995</v>
      </c>
      <c r="L3" s="2">
        <v>5</v>
      </c>
      <c r="M3" s="2">
        <v>25</v>
      </c>
      <c r="O3" s="8"/>
      <c r="T3" s="7">
        <f>(F3+Q3+R43*G3+S3+IF(C3=1,15,IF(C3=2,-5)))</f>
        <v>374995</v>
      </c>
      <c r="U3" s="7">
        <f>F3-T3</f>
        <v>5</v>
      </c>
      <c r="V3">
        <f>U3*U3</f>
        <v>25</v>
      </c>
      <c r="W3" s="7">
        <f t="shared" ref="W3:W21" si="1">$G$32</f>
        <v>81.1875</v>
      </c>
      <c r="Y3" s="5"/>
      <c r="Z3" s="9"/>
      <c r="AC3" s="2">
        <v>0</v>
      </c>
      <c r="AD3" s="2">
        <v>0</v>
      </c>
      <c r="AE3" s="2">
        <v>1</v>
      </c>
      <c r="AF3" s="2"/>
      <c r="AG3" s="2" cm="1">
        <f t="array" ref="AG3:AZ3">TRANSPOSE(AD2:AD21)</f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s="2">
        <v>5000</v>
      </c>
      <c r="C4" s="2">
        <v>3</v>
      </c>
      <c r="D4" s="2">
        <v>14</v>
      </c>
      <c r="E4" s="3">
        <f>A4*$G$25+H4*$G$24+G4*$G$26+$L$2+IF(C4=1,15,IF(C4=2,-5))</f>
        <v>722005</v>
      </c>
      <c r="F4" s="5">
        <f>E4-(H4*$G$24)</f>
        <v>722005</v>
      </c>
      <c r="G4">
        <f>IF(D4="New",0,D4)</f>
        <v>14</v>
      </c>
      <c r="H4" s="2">
        <f>IF(B4="Y",1,0)</f>
        <v>0</v>
      </c>
      <c r="I4" s="2">
        <f>IF(C4=1,1,0)</f>
        <v>0</v>
      </c>
      <c r="J4" s="2">
        <f>IF(C4=2,1,0)</f>
        <v>0</v>
      </c>
      <c r="K4" s="2">
        <f t="shared" si="0"/>
        <v>778000</v>
      </c>
      <c r="L4" s="2">
        <v>0</v>
      </c>
      <c r="M4" s="2">
        <v>0</v>
      </c>
      <c r="O4" s="8"/>
      <c r="T4" s="7">
        <f>(F4+Q4+R44*G4+S4+IF(C4=1,15,IF(C4=2,-5)))</f>
        <v>722005</v>
      </c>
      <c r="U4" s="7">
        <f>F4-T4</f>
        <v>0</v>
      </c>
      <c r="V4">
        <f>U4*U4</f>
        <v>0</v>
      </c>
      <c r="W4" s="7">
        <f t="shared" si="1"/>
        <v>81.1875</v>
      </c>
      <c r="Y4" s="5"/>
      <c r="Z4" s="9"/>
      <c r="AC4" s="2">
        <v>0</v>
      </c>
      <c r="AD4" s="2">
        <v>0</v>
      </c>
      <c r="AE4" s="2">
        <v>0</v>
      </c>
      <c r="AF4" s="2"/>
      <c r="AG4" s="2" cm="1">
        <f t="array" ref="AG4:AZ4">TRANSPOSE(AE2:AE21)</f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1</v>
      </c>
      <c r="AR4" s="2">
        <v>1</v>
      </c>
      <c r="AS4" s="2">
        <v>1</v>
      </c>
      <c r="AT4" s="2">
        <v>0</v>
      </c>
      <c r="AU4" s="2">
        <v>0</v>
      </c>
      <c r="AV4" s="2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2">
        <v>4700</v>
      </c>
      <c r="B5" s="2" t="s">
        <v>4</v>
      </c>
      <c r="C5" s="2">
        <v>3</v>
      </c>
      <c r="D5" s="2">
        <v>12</v>
      </c>
      <c r="E5" s="3">
        <f>A5*$G$25+H5*$G$24+G5*$G$26+$L$2+IF(C5=1,15,IF(C5=2,-5))</f>
        <v>731005</v>
      </c>
      <c r="F5" s="5">
        <f>E5-(H5*$G$24)</f>
        <v>681005</v>
      </c>
      <c r="G5">
        <f>IF(D5="New",0,D5)</f>
        <v>12</v>
      </c>
      <c r="H5" s="2">
        <f>IF(B5="Y",1,0)</f>
        <v>1</v>
      </c>
      <c r="I5" s="2">
        <f>IF(C5=1,1,0)</f>
        <v>0</v>
      </c>
      <c r="J5" s="2">
        <f>IF(C5=2,1,0)</f>
        <v>0</v>
      </c>
      <c r="K5" s="2">
        <f t="shared" si="0"/>
        <v>729000</v>
      </c>
      <c r="L5" s="2">
        <v>0</v>
      </c>
      <c r="M5" s="2">
        <v>0</v>
      </c>
      <c r="O5" s="8"/>
      <c r="T5" s="7">
        <f>(F5+Q5+R45*G5+S5+IF(C5=1,15,IF(C5=2,-5)))</f>
        <v>681005</v>
      </c>
      <c r="U5" s="7">
        <f>F5-T5</f>
        <v>0</v>
      </c>
      <c r="V5">
        <f>U5*U5</f>
        <v>0</v>
      </c>
      <c r="W5" s="7">
        <f t="shared" si="1"/>
        <v>81.1875</v>
      </c>
      <c r="Y5" s="5"/>
      <c r="Z5" s="9"/>
      <c r="AC5" s="2">
        <v>1</v>
      </c>
      <c r="AD5" s="2">
        <v>0</v>
      </c>
      <c r="AE5" s="2">
        <v>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52" x14ac:dyDescent="0.25">
      <c r="A6" s="2">
        <v>3500</v>
      </c>
      <c r="C6" s="2">
        <v>3</v>
      </c>
      <c r="D6" s="2">
        <v>5</v>
      </c>
      <c r="E6" s="3">
        <f>A6*$G$25+H6*$G$24+G6*$G$26+$L$2+IF(C6=1,15,IF(C6=2,-5))</f>
        <v>515005</v>
      </c>
      <c r="F6" s="5">
        <f>E6-(H6*$G$24)</f>
        <v>515005</v>
      </c>
      <c r="G6">
        <f>IF(D6="New",0,D6)</f>
        <v>5</v>
      </c>
      <c r="H6" s="2">
        <f>IF(B6="Y",1,0)</f>
        <v>0</v>
      </c>
      <c r="I6" s="2">
        <f>IF(C6=1,1,0)</f>
        <v>0</v>
      </c>
      <c r="J6" s="2">
        <f>IF(C6=2,1,0)</f>
        <v>0</v>
      </c>
      <c r="K6" s="2">
        <f t="shared" si="0"/>
        <v>535000</v>
      </c>
      <c r="L6" s="2">
        <v>0</v>
      </c>
      <c r="M6" s="2">
        <v>0</v>
      </c>
      <c r="O6" s="8"/>
      <c r="T6" s="7">
        <f>(F6+Q6+R46*G6+S6+IF(C6=1,15,IF(C6=2,-5)))</f>
        <v>515005</v>
      </c>
      <c r="U6" s="7">
        <f>F6-T6</f>
        <v>0</v>
      </c>
      <c r="V6">
        <f>U6*U6</f>
        <v>0</v>
      </c>
      <c r="W6" s="7">
        <f t="shared" si="1"/>
        <v>81.1875</v>
      </c>
      <c r="Y6" s="5"/>
      <c r="Z6" s="9"/>
      <c r="AC6" s="2">
        <v>0</v>
      </c>
      <c r="AD6" s="2">
        <v>0</v>
      </c>
      <c r="AE6" s="2">
        <v>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52" x14ac:dyDescent="0.25">
      <c r="A7" s="2">
        <v>1000</v>
      </c>
      <c r="C7" s="2">
        <v>1</v>
      </c>
      <c r="D7" s="2">
        <v>25</v>
      </c>
      <c r="E7" s="3">
        <f>A7*$G$25+H7*$G$24+G7*$G$26+$L$2+IF(C7=1,15,IF(C7=2,-5))</f>
        <v>100020</v>
      </c>
      <c r="F7" s="5">
        <f>E7-(H7*$G$24)</f>
        <v>100020</v>
      </c>
      <c r="G7">
        <f>IF(D7="New",0,D7)</f>
        <v>25</v>
      </c>
      <c r="H7" s="2">
        <f>IF(B7="Y",1,0)</f>
        <v>0</v>
      </c>
      <c r="I7" s="2">
        <f>IF(C7=1,1,0)</f>
        <v>1</v>
      </c>
      <c r="J7" s="2">
        <f>IF(C7=2,1,0)</f>
        <v>0</v>
      </c>
      <c r="K7" s="2">
        <f t="shared" si="0"/>
        <v>200015</v>
      </c>
      <c r="L7" s="2">
        <v>-15</v>
      </c>
      <c r="M7" s="2">
        <v>225</v>
      </c>
      <c r="O7" s="8"/>
      <c r="T7" s="7">
        <f>(F7+Q7+R47*G7+S7+IF(C7=1,15,IF(C7=2,-5)))</f>
        <v>100035</v>
      </c>
      <c r="U7" s="7">
        <f>F7-T7</f>
        <v>-15</v>
      </c>
      <c r="V7">
        <f>U7*U7</f>
        <v>225</v>
      </c>
      <c r="W7" s="7">
        <f t="shared" si="1"/>
        <v>81.1875</v>
      </c>
      <c r="Y7" s="5"/>
      <c r="Z7" s="9"/>
      <c r="AC7" s="2">
        <v>0</v>
      </c>
      <c r="AD7" s="2">
        <v>1</v>
      </c>
      <c r="AE7" s="2">
        <v>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52" x14ac:dyDescent="0.25">
      <c r="A8" s="2">
        <v>1500</v>
      </c>
      <c r="C8" s="2">
        <v>2</v>
      </c>
      <c r="D8" s="2">
        <v>4</v>
      </c>
      <c r="E8" s="3">
        <f>A8*$G$25+H8*$G$24+G8*$G$26+$L$2+IF(C8=1,15,IF(C8=2,-5))</f>
        <v>217000</v>
      </c>
      <c r="F8" s="5">
        <f>E8-(H8*$G$24)</f>
        <v>217000</v>
      </c>
      <c r="G8">
        <f>IF(D8="New",0,D8)</f>
        <v>4</v>
      </c>
      <c r="H8" s="2">
        <f>IF(B8="Y",1,0)</f>
        <v>0</v>
      </c>
      <c r="I8" s="2">
        <f>IF(C8=1,1,0)</f>
        <v>0</v>
      </c>
      <c r="J8" s="2">
        <f>IF(C8=2,1,0)</f>
        <v>1</v>
      </c>
      <c r="K8" s="2">
        <f t="shared" si="0"/>
        <v>232995</v>
      </c>
      <c r="L8" s="2">
        <v>5</v>
      </c>
      <c r="M8" s="2">
        <v>25</v>
      </c>
      <c r="O8" s="8"/>
      <c r="T8" s="7">
        <f>(F8+Q8+R48*G8+S8+IF(C8=1,15,IF(C8=2,-5)))</f>
        <v>216995</v>
      </c>
      <c r="U8" s="7">
        <f>F8-T8</f>
        <v>5</v>
      </c>
      <c r="V8">
        <f>U8*U8</f>
        <v>25</v>
      </c>
      <c r="W8" s="7">
        <f t="shared" si="1"/>
        <v>81.1875</v>
      </c>
      <c r="Y8" s="5"/>
      <c r="Z8" s="9"/>
      <c r="AC8" s="2">
        <v>0</v>
      </c>
      <c r="AD8" s="2">
        <v>0</v>
      </c>
      <c r="AE8" s="2">
        <v>1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52" x14ac:dyDescent="0.25">
      <c r="A9" s="2">
        <v>1600</v>
      </c>
      <c r="B9" s="2" t="s">
        <v>4</v>
      </c>
      <c r="C9" s="2">
        <v>3</v>
      </c>
      <c r="D9" s="2">
        <v>3</v>
      </c>
      <c r="E9" s="3">
        <f>A9*$G$25+H9*$G$24+G9*$G$26+$L$2+IF(C9=1,15,IF(C9=2,-5))</f>
        <v>284005</v>
      </c>
      <c r="F9" s="5">
        <f>E9-(H9*$G$24)</f>
        <v>234005</v>
      </c>
      <c r="G9">
        <f>IF(D9="New",0,D9)</f>
        <v>3</v>
      </c>
      <c r="H9" s="2">
        <f>IF(B9="Y",1,0)</f>
        <v>1</v>
      </c>
      <c r="I9" s="2">
        <f>IF(C9=1,1,0)</f>
        <v>0</v>
      </c>
      <c r="J9" s="2">
        <f>IF(C9=2,1,0)</f>
        <v>0</v>
      </c>
      <c r="K9" s="2">
        <f t="shared" si="0"/>
        <v>246000</v>
      </c>
      <c r="L9" s="2">
        <v>0</v>
      </c>
      <c r="M9" s="2">
        <v>0</v>
      </c>
      <c r="O9" s="8"/>
      <c r="T9" s="7">
        <f>(F9+Q9+R49*G9+S9+IF(C9=1,15,IF(C9=2,-5)))</f>
        <v>234005</v>
      </c>
      <c r="U9" s="7">
        <f>F9-T9</f>
        <v>0</v>
      </c>
      <c r="V9">
        <f>U9*U9</f>
        <v>0</v>
      </c>
      <c r="W9" s="7">
        <f t="shared" si="1"/>
        <v>81.1875</v>
      </c>
      <c r="Y9" s="5"/>
      <c r="Z9" s="9"/>
      <c r="AC9" s="2">
        <v>1</v>
      </c>
      <c r="AD9" s="2">
        <v>0</v>
      </c>
      <c r="AE9" s="2">
        <v>0</v>
      </c>
    </row>
    <row r="10" spans="1:52" x14ac:dyDescent="0.25">
      <c r="A10" s="2">
        <v>2000</v>
      </c>
      <c r="C10" s="2">
        <v>1</v>
      </c>
      <c r="D10" s="2">
        <v>1</v>
      </c>
      <c r="E10" s="3">
        <f>A10*$G$25+H10*$G$24+G10*$G$26+$L$2+IF(C10=1,15,IF(C10=2,-5))</f>
        <v>298020</v>
      </c>
      <c r="F10" s="5">
        <f>E10-(H10*$G$24)</f>
        <v>298020</v>
      </c>
      <c r="G10">
        <f>IF(D10="New",0,D10)</f>
        <v>1</v>
      </c>
      <c r="H10" s="2">
        <f>IF(B10="Y",1,0)</f>
        <v>0</v>
      </c>
      <c r="I10" s="2">
        <f>IF(C10=1,1,0)</f>
        <v>1</v>
      </c>
      <c r="J10" s="2">
        <f>IF(C10=2,1,0)</f>
        <v>0</v>
      </c>
      <c r="K10" s="2">
        <f t="shared" si="0"/>
        <v>302015</v>
      </c>
      <c r="L10" s="2">
        <v>-15</v>
      </c>
      <c r="M10" s="2">
        <v>225</v>
      </c>
      <c r="O10" s="8"/>
      <c r="T10" s="7">
        <f>(F10+Q10+R50*G10+S10+IF(C10=1,15,IF(C10=2,-5)))</f>
        <v>298035</v>
      </c>
      <c r="U10" s="7">
        <f>F10-T10</f>
        <v>-15</v>
      </c>
      <c r="V10">
        <f>U10*U10</f>
        <v>225</v>
      </c>
      <c r="W10" s="7">
        <f t="shared" si="1"/>
        <v>81.1875</v>
      </c>
      <c r="Y10" s="5"/>
      <c r="Z10" s="9"/>
      <c r="AC10" s="2">
        <v>0</v>
      </c>
      <c r="AD10" s="2">
        <v>1</v>
      </c>
      <c r="AE10" s="2">
        <v>0</v>
      </c>
    </row>
    <row r="11" spans="1:52" x14ac:dyDescent="0.25">
      <c r="A11" s="2">
        <v>3000</v>
      </c>
      <c r="C11" s="2">
        <v>1</v>
      </c>
      <c r="D11" s="2" t="s">
        <v>5</v>
      </c>
      <c r="E11" s="3">
        <f>A11*$G$25+H11*$G$24+G11*$G$26+$L$2+IF(C11=1,15,IF(C11=2,-5))</f>
        <v>450020</v>
      </c>
      <c r="F11" s="5">
        <f>E11-(H11*$G$24)</f>
        <v>450020</v>
      </c>
      <c r="G11">
        <f>IF(D11="New",0,D11)</f>
        <v>0</v>
      </c>
      <c r="H11" s="2">
        <f>IF(B11="Y",1,0)</f>
        <v>0</v>
      </c>
      <c r="I11" s="2">
        <f>IF(C11=1,1,0)</f>
        <v>1</v>
      </c>
      <c r="J11" s="2">
        <f>IF(C11=2,1,0)</f>
        <v>0</v>
      </c>
      <c r="K11" s="2">
        <f t="shared" si="0"/>
        <v>450015</v>
      </c>
      <c r="L11" s="2">
        <v>-15</v>
      </c>
      <c r="M11" s="2">
        <v>225</v>
      </c>
      <c r="O11" s="8"/>
      <c r="T11" s="7">
        <f>(F11+Q11+R51*G11+S11+IF(C11=1,15,IF(C11=2,-5)))</f>
        <v>450035</v>
      </c>
      <c r="U11" s="7">
        <f>F11-T11</f>
        <v>-15</v>
      </c>
      <c r="V11">
        <f>U11*U11</f>
        <v>225</v>
      </c>
      <c r="W11" s="7">
        <f t="shared" si="1"/>
        <v>81.1875</v>
      </c>
      <c r="Y11" s="5"/>
      <c r="Z11" s="9"/>
      <c r="AC11" s="2">
        <v>0</v>
      </c>
      <c r="AD11" s="2">
        <v>1</v>
      </c>
      <c r="AE11" s="2">
        <v>0</v>
      </c>
    </row>
    <row r="12" spans="1:52" x14ac:dyDescent="0.25">
      <c r="A12" s="2">
        <v>3600</v>
      </c>
      <c r="C12" s="2">
        <v>2</v>
      </c>
      <c r="D12" s="2">
        <v>10</v>
      </c>
      <c r="E12" s="3">
        <f>A12*$G$25+H12*$G$24+G12*$G$26+$L$2+IF(C12=1,15,IF(C12=2,-5))</f>
        <v>520000</v>
      </c>
      <c r="F12" s="5">
        <f>E12-(H12*$G$24)</f>
        <v>520000</v>
      </c>
      <c r="G12">
        <f>IF(D12="New",0,D12)</f>
        <v>10</v>
      </c>
      <c r="H12" s="2">
        <f>IF(B12="Y",1,0)</f>
        <v>0</v>
      </c>
      <c r="I12" s="2">
        <f>IF(C12=1,1,0)</f>
        <v>0</v>
      </c>
      <c r="J12" s="2">
        <f>IF(C12=2,1,0)</f>
        <v>1</v>
      </c>
      <c r="K12" s="2">
        <f t="shared" si="0"/>
        <v>559995</v>
      </c>
      <c r="L12" s="2">
        <v>5</v>
      </c>
      <c r="M12" s="2">
        <v>25</v>
      </c>
      <c r="O12" s="8"/>
      <c r="T12" s="7">
        <f>(F12+Q12+R52*G12+S12+IF(C12=1,15,IF(C12=2,-5)))</f>
        <v>519995</v>
      </c>
      <c r="U12" s="7">
        <f>F12-T12</f>
        <v>5</v>
      </c>
      <c r="V12">
        <f>U12*U12</f>
        <v>25</v>
      </c>
      <c r="W12" s="7">
        <f t="shared" si="1"/>
        <v>81.1875</v>
      </c>
      <c r="Y12" s="5"/>
      <c r="Z12" s="9"/>
      <c r="AC12" s="2">
        <v>0</v>
      </c>
      <c r="AD12" s="2">
        <v>0</v>
      </c>
      <c r="AE12" s="2">
        <v>1</v>
      </c>
    </row>
    <row r="13" spans="1:52" x14ac:dyDescent="0.25">
      <c r="A13" s="2">
        <v>4100</v>
      </c>
      <c r="C13" s="2">
        <v>2</v>
      </c>
      <c r="D13" s="2">
        <v>35</v>
      </c>
      <c r="E13" s="3">
        <f>A13*$G$25+H13*$G$24+G13*$G$26+$L$2+IF(C13=1,15,IF(C13=2,-5))</f>
        <v>545000</v>
      </c>
      <c r="F13" s="5">
        <f>E13-(H13*$G$24)</f>
        <v>545000</v>
      </c>
      <c r="G13">
        <f>IF(D13="New",0,D13)</f>
        <v>35</v>
      </c>
      <c r="H13" s="2">
        <f>IF(B13="Y",1,0)</f>
        <v>0</v>
      </c>
      <c r="I13" s="2">
        <f>IF(C13=1,1,0)</f>
        <v>0</v>
      </c>
      <c r="J13" s="2">
        <f>IF(C13=2,1,0)</f>
        <v>1</v>
      </c>
      <c r="K13" s="2">
        <f t="shared" si="0"/>
        <v>684995</v>
      </c>
      <c r="L13" s="2">
        <v>5</v>
      </c>
      <c r="M13" s="2">
        <v>25</v>
      </c>
      <c r="O13" s="8"/>
      <c r="T13" s="7">
        <f>(F13+Q13+R53*G13+S13+IF(C13=1,15,IF(C13=2,-5)))</f>
        <v>544995</v>
      </c>
      <c r="U13" s="7">
        <f>F13-T13</f>
        <v>5</v>
      </c>
      <c r="V13">
        <f>U13*U13</f>
        <v>25</v>
      </c>
      <c r="W13" s="7">
        <f t="shared" si="1"/>
        <v>81.1875</v>
      </c>
      <c r="Y13" s="5"/>
      <c r="Z13" s="9"/>
      <c r="AC13" s="2">
        <v>0</v>
      </c>
      <c r="AD13" s="2">
        <v>0</v>
      </c>
      <c r="AE13" s="2">
        <v>1</v>
      </c>
    </row>
    <row r="14" spans="1:52" x14ac:dyDescent="0.25">
      <c r="A14" s="2">
        <v>4300</v>
      </c>
      <c r="B14" s="2" t="s">
        <v>4</v>
      </c>
      <c r="C14" s="2">
        <v>2</v>
      </c>
      <c r="D14" s="2">
        <v>22</v>
      </c>
      <c r="E14" s="3">
        <f>A14*$G$25+H14*$G$24+G14*$G$26+$L$2+IF(C14=1,15,IF(C14=2,-5))</f>
        <v>651000</v>
      </c>
      <c r="F14" s="5">
        <f>E14-(H14*$G$24)</f>
        <v>601000</v>
      </c>
      <c r="G14">
        <f>IF(D14="New",0,D14)</f>
        <v>22</v>
      </c>
      <c r="H14" s="2">
        <f>IF(B14="Y",1,0)</f>
        <v>1</v>
      </c>
      <c r="I14" s="2">
        <f>IF(C14=1,1,0)</f>
        <v>0</v>
      </c>
      <c r="J14" s="2">
        <f>IF(C14=2,1,0)</f>
        <v>1</v>
      </c>
      <c r="K14" s="2">
        <f t="shared" si="0"/>
        <v>688995</v>
      </c>
      <c r="L14" s="2">
        <v>5</v>
      </c>
      <c r="M14" s="2">
        <v>25</v>
      </c>
      <c r="O14" s="8"/>
      <c r="T14" s="7">
        <f>(F14+Q14+R54*G14+S14+IF(C14=1,15,IF(C14=2,-5)))</f>
        <v>600995</v>
      </c>
      <c r="U14" s="7">
        <f>F14-T14</f>
        <v>5</v>
      </c>
      <c r="V14">
        <f>U14*U14</f>
        <v>25</v>
      </c>
      <c r="W14" s="7">
        <f t="shared" si="1"/>
        <v>81.1875</v>
      </c>
      <c r="Y14" s="5"/>
      <c r="Z14" s="9"/>
      <c r="AC14" s="2">
        <v>1</v>
      </c>
      <c r="AD14" s="2">
        <v>0</v>
      </c>
      <c r="AE14" s="2">
        <v>1</v>
      </c>
    </row>
    <row r="15" spans="1:52" x14ac:dyDescent="0.25">
      <c r="A15" s="2">
        <v>6000</v>
      </c>
      <c r="C15" s="2">
        <v>1</v>
      </c>
      <c r="D15" s="2">
        <v>12</v>
      </c>
      <c r="E15" s="3">
        <f>A15*$G$25+H15*$G$24+G15*$G$26+$L$2+IF(C15=1,15,IF(C15=2,-5))</f>
        <v>876020</v>
      </c>
      <c r="F15" s="5">
        <f>E15-(H15*$G$24)</f>
        <v>876020</v>
      </c>
      <c r="G15">
        <f>IF(D15="New",0,D15)</f>
        <v>12</v>
      </c>
      <c r="H15" s="2">
        <f>IF(B15="Y",1,0)</f>
        <v>0</v>
      </c>
      <c r="I15" s="2">
        <f>IF(C15=1,1,0)</f>
        <v>1</v>
      </c>
      <c r="J15" s="2">
        <f>IF(C15=2,1,0)</f>
        <v>0</v>
      </c>
      <c r="K15" s="2">
        <f t="shared" si="0"/>
        <v>924015</v>
      </c>
      <c r="L15" s="2">
        <v>-15</v>
      </c>
      <c r="M15" s="2">
        <v>225</v>
      </c>
      <c r="O15" s="8"/>
      <c r="T15" s="7">
        <f>(F15+Q15+R55*G15+S15+IF(C15=1,15,IF(C15=2,-5)))</f>
        <v>876035</v>
      </c>
      <c r="U15" s="7">
        <f>F15-T15</f>
        <v>-15</v>
      </c>
      <c r="V15">
        <f>U15*U15</f>
        <v>225</v>
      </c>
      <c r="W15" s="7">
        <f t="shared" si="1"/>
        <v>81.1875</v>
      </c>
      <c r="Y15" s="5"/>
      <c r="Z15" s="9"/>
      <c r="AC15" s="2">
        <v>0</v>
      </c>
      <c r="AD15" s="2">
        <v>1</v>
      </c>
      <c r="AE15" s="2">
        <v>0</v>
      </c>
    </row>
    <row r="16" spans="1:52" x14ac:dyDescent="0.25">
      <c r="A16" s="2">
        <v>8000</v>
      </c>
      <c r="C16" s="2">
        <v>3</v>
      </c>
      <c r="D16" s="2">
        <v>28</v>
      </c>
      <c r="E16" s="3">
        <f>A16*$G$25+H16*$G$24+G16*$G$26+$L$2+IF(C16=1,15,IF(C16=2,-5))</f>
        <v>1144005</v>
      </c>
      <c r="F16" s="5">
        <f>E16-(H16*$G$24)</f>
        <v>1144005</v>
      </c>
      <c r="G16">
        <f>IF(D16="New",0,D16)</f>
        <v>28</v>
      </c>
      <c r="H16" s="2">
        <f>IF(B16="Y",1,0)</f>
        <v>0</v>
      </c>
      <c r="I16" s="2">
        <f>IF(C16=1,1,0)</f>
        <v>0</v>
      </c>
      <c r="J16" s="2">
        <f>IF(C16=2,1,0)</f>
        <v>0</v>
      </c>
      <c r="K16" s="2">
        <f t="shared" si="0"/>
        <v>1256000</v>
      </c>
      <c r="L16" s="2">
        <v>0</v>
      </c>
      <c r="M16" s="2">
        <v>0</v>
      </c>
      <c r="O16" s="8"/>
      <c r="T16" s="7">
        <f>(F16+Q16+R56*G16+S16+IF(C16=1,15,IF(C16=2,-5)))</f>
        <v>1144005</v>
      </c>
      <c r="U16" s="7">
        <f>F16-T16</f>
        <v>0</v>
      </c>
      <c r="V16">
        <f>U16*U16</f>
        <v>0</v>
      </c>
      <c r="W16" s="7">
        <f t="shared" si="1"/>
        <v>81.1875</v>
      </c>
      <c r="Y16" s="5"/>
      <c r="Z16" s="9"/>
      <c r="AC16" s="2">
        <v>0</v>
      </c>
      <c r="AD16" s="2">
        <v>0</v>
      </c>
      <c r="AE16" s="2">
        <v>0</v>
      </c>
    </row>
    <row r="17" spans="1:31" x14ac:dyDescent="0.25">
      <c r="A17" s="2">
        <v>6700</v>
      </c>
      <c r="C17" s="2">
        <v>1</v>
      </c>
      <c r="D17" s="2">
        <v>6</v>
      </c>
      <c r="E17" s="3">
        <f>A17*$G$25+H17*$G$24+G17*$G$26+$L$2+IF(C17=1,15,IF(C17=2,-5))</f>
        <v>993020</v>
      </c>
      <c r="F17" s="5">
        <f>E17-(H17*$G$24)</f>
        <v>993020</v>
      </c>
      <c r="G17">
        <f>IF(D17="New",0,D17)</f>
        <v>6</v>
      </c>
      <c r="H17" s="2">
        <f>IF(B17="Y",1,0)</f>
        <v>0</v>
      </c>
      <c r="I17" s="2">
        <f>IF(C17=1,1,0)</f>
        <v>1</v>
      </c>
      <c r="J17" s="2">
        <f>IF(C17=2,1,0)</f>
        <v>0</v>
      </c>
      <c r="K17" s="2">
        <f t="shared" si="0"/>
        <v>1017015</v>
      </c>
      <c r="L17" s="2">
        <v>-15</v>
      </c>
      <c r="M17" s="2">
        <v>225</v>
      </c>
      <c r="O17" s="8"/>
      <c r="T17" s="7">
        <f>(F17+Q17+AR2*G17+S17+IF(C17=1,15,IF(C17=2,-5)))</f>
        <v>993035</v>
      </c>
      <c r="U17" s="7">
        <f>F17-T17</f>
        <v>-15</v>
      </c>
      <c r="V17">
        <f>U17*U17</f>
        <v>225</v>
      </c>
      <c r="W17" s="7">
        <f t="shared" si="1"/>
        <v>81.1875</v>
      </c>
      <c r="Y17" s="5"/>
      <c r="Z17" s="9"/>
      <c r="AC17" s="2">
        <v>0</v>
      </c>
      <c r="AD17" s="2">
        <v>1</v>
      </c>
      <c r="AE17" s="2">
        <v>0</v>
      </c>
    </row>
    <row r="18" spans="1:31" x14ac:dyDescent="0.25">
      <c r="A18" s="2">
        <v>1400</v>
      </c>
      <c r="C18" s="2">
        <v>1</v>
      </c>
      <c r="D18" s="2">
        <v>4</v>
      </c>
      <c r="E18" s="3">
        <f>A18*$G$25+H18*$G$24+G18*$G$26+$L$2+IF(C18=1,15,IF(C18=2,-5))</f>
        <v>202020</v>
      </c>
      <c r="F18" s="5">
        <f>E18-(H18*$G$24)</f>
        <v>202020</v>
      </c>
      <c r="G18">
        <f>IF(D18="New",0,D18)</f>
        <v>4</v>
      </c>
      <c r="H18" s="2">
        <f>IF(B18="Y",1,0)</f>
        <v>0</v>
      </c>
      <c r="I18" s="2">
        <f>IF(C18=1,1,0)</f>
        <v>1</v>
      </c>
      <c r="J18" s="2">
        <f>IF(C18=2,1,0)</f>
        <v>0</v>
      </c>
      <c r="K18" s="2">
        <f t="shared" si="0"/>
        <v>218015</v>
      </c>
      <c r="L18" s="2">
        <v>-15</v>
      </c>
      <c r="M18" s="2">
        <v>225</v>
      </c>
      <c r="O18" s="8"/>
      <c r="T18" s="7">
        <f>(F18+Q18+AR3*G18+S18+IF(C18=1,15,IF(C18=2,-5)))</f>
        <v>202035</v>
      </c>
      <c r="U18" s="7">
        <f>F18-T18</f>
        <v>-15</v>
      </c>
      <c r="V18">
        <f>U18*U18</f>
        <v>225</v>
      </c>
      <c r="W18" s="7">
        <f t="shared" si="1"/>
        <v>81.1875</v>
      </c>
      <c r="Y18" s="5"/>
      <c r="Z18" s="9"/>
      <c r="AC18" s="2">
        <v>0</v>
      </c>
      <c r="AD18" s="2">
        <v>1</v>
      </c>
      <c r="AE18" s="2">
        <v>0</v>
      </c>
    </row>
    <row r="19" spans="1:31" x14ac:dyDescent="0.25">
      <c r="A19" s="2">
        <v>1800</v>
      </c>
      <c r="B19" s="2" t="s">
        <v>4</v>
      </c>
      <c r="C19" s="2">
        <v>1</v>
      </c>
      <c r="D19" s="2">
        <v>9</v>
      </c>
      <c r="E19" s="3">
        <f>A19*$G$25+H19*$G$24+G19*$G$26+$L$2+IF(C19=1,15,IF(C19=2,-5))</f>
        <v>302020</v>
      </c>
      <c r="F19" s="5">
        <f>E19-(H19*$G$24)</f>
        <v>252020</v>
      </c>
      <c r="G19">
        <f>IF(D19="New",0,D19)</f>
        <v>9</v>
      </c>
      <c r="H19" s="2">
        <f>IF(B19="Y",1,0)</f>
        <v>1</v>
      </c>
      <c r="I19" s="2">
        <f>IF(C19=1,1,0)</f>
        <v>1</v>
      </c>
      <c r="J19" s="2">
        <f>IF(C19=2,1,0)</f>
        <v>0</v>
      </c>
      <c r="K19" s="2">
        <f t="shared" si="0"/>
        <v>288015</v>
      </c>
      <c r="L19" s="2">
        <v>-15</v>
      </c>
      <c r="M19" s="2">
        <v>225</v>
      </c>
      <c r="O19" s="8"/>
      <c r="T19" s="7">
        <f>(F19+Q19+AR4*G19+S19+IF(C19=1,15,IF(C19=2,-5)))</f>
        <v>252044</v>
      </c>
      <c r="U19" s="7">
        <f>F19-T19</f>
        <v>-24</v>
      </c>
      <c r="V19">
        <f>U19*U19</f>
        <v>576</v>
      </c>
      <c r="W19" s="7">
        <f t="shared" si="1"/>
        <v>81.1875</v>
      </c>
      <c r="Y19" s="5"/>
      <c r="Z19" s="9"/>
      <c r="AC19" s="2">
        <v>1</v>
      </c>
      <c r="AD19" s="2">
        <v>1</v>
      </c>
      <c r="AE19" s="2">
        <v>0</v>
      </c>
    </row>
    <row r="20" spans="1:31" x14ac:dyDescent="0.25">
      <c r="A20" s="2">
        <v>2200</v>
      </c>
      <c r="C20" s="2">
        <v>1</v>
      </c>
      <c r="D20" s="2">
        <v>11</v>
      </c>
      <c r="E20" s="3">
        <f>A20*$G$25+H20*$G$24+G20*$G$26+$L$2+IF(C20=1,15,IF(C20=2,-5))</f>
        <v>308020</v>
      </c>
      <c r="F20" s="5">
        <f>E20-(H20*$G$24)</f>
        <v>308020</v>
      </c>
      <c r="G20">
        <f>IF(D20="New",0,D20)</f>
        <v>11</v>
      </c>
      <c r="H20" s="2">
        <f>IF(B20="Y",1,0)</f>
        <v>0</v>
      </c>
      <c r="I20" s="2">
        <f>IF(C20=1,1,0)</f>
        <v>1</v>
      </c>
      <c r="J20" s="2">
        <f>IF(C20=2,1,0)</f>
        <v>0</v>
      </c>
      <c r="K20" s="2">
        <f t="shared" si="0"/>
        <v>352015</v>
      </c>
      <c r="L20" s="2">
        <v>-15</v>
      </c>
      <c r="M20" s="2">
        <v>225</v>
      </c>
      <c r="O20" s="8"/>
      <c r="T20" s="7">
        <f>(F20+Q20+R60*G20+S20+IF(C20=1,15,IF(C20=2,-5)))</f>
        <v>308035</v>
      </c>
      <c r="U20" s="7">
        <f>F20-T20</f>
        <v>-15</v>
      </c>
      <c r="V20">
        <f>U20*U20</f>
        <v>225</v>
      </c>
      <c r="W20" s="7">
        <f t="shared" si="1"/>
        <v>81.1875</v>
      </c>
      <c r="Y20" s="5"/>
      <c r="Z20" s="9"/>
      <c r="AC20" s="2">
        <v>0</v>
      </c>
      <c r="AD20" s="2">
        <v>1</v>
      </c>
      <c r="AE20" s="2">
        <v>0</v>
      </c>
    </row>
    <row r="21" spans="1:31" x14ac:dyDescent="0.25">
      <c r="A21" s="2">
        <v>2800</v>
      </c>
      <c r="C21" s="2">
        <v>1</v>
      </c>
      <c r="D21" s="2" t="s">
        <v>5</v>
      </c>
      <c r="E21" s="3">
        <f>A21*$G$25+H21*$G$24+G21*$G$26+$L$2+IF(C21=1,15,IF(C21=2,-5))</f>
        <v>420020</v>
      </c>
      <c r="F21" s="5">
        <f>E21-(H21*$G$24)</f>
        <v>420020</v>
      </c>
      <c r="G21">
        <f>IF(D21="New",0,D21)</f>
        <v>0</v>
      </c>
      <c r="H21" s="2">
        <f>IF(B21="Y",1,0)</f>
        <v>0</v>
      </c>
      <c r="I21" s="2">
        <f>IF(C21=1,1,0)</f>
        <v>1</v>
      </c>
      <c r="J21" s="2">
        <f>IF(C21=2,1,0)</f>
        <v>0</v>
      </c>
      <c r="K21" s="2">
        <f t="shared" si="0"/>
        <v>420015</v>
      </c>
      <c r="L21" s="2">
        <v>-15</v>
      </c>
      <c r="M21" s="2">
        <v>225</v>
      </c>
      <c r="O21" s="8"/>
      <c r="T21" s="7">
        <f>(F21+Q21+R61*G21+S21+IF(C21=1,15,IF(C21=2,-5)))</f>
        <v>420035</v>
      </c>
      <c r="U21" s="7">
        <f>F21-T21</f>
        <v>-15</v>
      </c>
      <c r="V21">
        <f>U21*U21</f>
        <v>225</v>
      </c>
      <c r="W21" s="7">
        <f t="shared" si="1"/>
        <v>81.1875</v>
      </c>
      <c r="Y21" s="5"/>
      <c r="Z21" s="9"/>
      <c r="AC21" s="2">
        <v>0</v>
      </c>
      <c r="AD21" s="2">
        <v>1</v>
      </c>
      <c r="AE21" s="2">
        <v>0</v>
      </c>
    </row>
    <row r="22" spans="1:31" x14ac:dyDescent="0.25">
      <c r="D22" s="1" t="s">
        <v>7</v>
      </c>
      <c r="E22" s="4">
        <f>AVERAGE(E2:E21)</f>
        <v>491910.25</v>
      </c>
      <c r="F22" s="4">
        <v>486905.25</v>
      </c>
      <c r="K22" s="1" t="s">
        <v>28</v>
      </c>
      <c r="L22" s="2"/>
      <c r="M22" s="1">
        <v>2175</v>
      </c>
      <c r="V22" s="6">
        <f>SUM(V2:V21)</f>
        <v>2901</v>
      </c>
      <c r="Y22" s="4">
        <v>481905.25</v>
      </c>
    </row>
    <row r="24" spans="1:31" x14ac:dyDescent="0.25">
      <c r="E24" s="1" t="s">
        <v>16</v>
      </c>
      <c r="F24" s="1"/>
      <c r="G24" s="1">
        <v>50000</v>
      </c>
      <c r="P24" s="6"/>
    </row>
    <row r="25" spans="1:31" x14ac:dyDescent="0.25">
      <c r="E25" s="1" t="s">
        <v>9</v>
      </c>
      <c r="F25" s="1"/>
      <c r="G25" s="1">
        <v>150</v>
      </c>
      <c r="P25" s="6"/>
    </row>
    <row r="26" spans="1:31" x14ac:dyDescent="0.25">
      <c r="E26" s="1" t="s">
        <v>2</v>
      </c>
      <c r="F26" s="1"/>
      <c r="G26" s="1">
        <v>-2000</v>
      </c>
    </row>
    <row r="28" spans="1:31" x14ac:dyDescent="0.25">
      <c r="Y28" s="6" t="s">
        <v>13</v>
      </c>
      <c r="Z28" s="6" t="s">
        <v>14</v>
      </c>
      <c r="AA28" t="s">
        <v>15</v>
      </c>
    </row>
    <row r="29" spans="1:31" x14ac:dyDescent="0.25">
      <c r="E29" s="11" t="s">
        <v>11</v>
      </c>
      <c r="F29" s="15"/>
      <c r="G29" s="12">
        <f>M22</f>
        <v>2175</v>
      </c>
      <c r="Y29" s="5">
        <f>Y2</f>
        <v>0</v>
      </c>
      <c r="Z29" s="8">
        <f>F2+V2*$G$26+IF(W2=1,15,IF(W2=2,-5))</f>
        <v>-615000</v>
      </c>
      <c r="AA29" s="8">
        <f>Y29-Z29</f>
        <v>615000</v>
      </c>
    </row>
    <row r="30" spans="1:31" x14ac:dyDescent="0.25">
      <c r="E30" s="13" t="s">
        <v>12</v>
      </c>
      <c r="F30" s="16"/>
      <c r="G30" s="14">
        <f>_xlfn.STDEV.P(V2:V21)</f>
        <v>154.77579752661589</v>
      </c>
      <c r="Y30" s="5">
        <f>Y3</f>
        <v>0</v>
      </c>
      <c r="Z30" s="8">
        <f>F3+V3*$G$26+IF(W3=1,15,IF(W3=2,-5))</f>
        <v>325000</v>
      </c>
      <c r="AA30" s="8">
        <f>Y30-Z30</f>
        <v>-325000</v>
      </c>
    </row>
    <row r="31" spans="1:31" x14ac:dyDescent="0.25">
      <c r="E31" s="10" t="s">
        <v>18</v>
      </c>
      <c r="G31" s="6">
        <f>AVERAGE(V2:V21)</f>
        <v>145.05000000000001</v>
      </c>
      <c r="Y31" s="5">
        <f>Y4</f>
        <v>0</v>
      </c>
      <c r="Z31" s="8">
        <f>F4+V4*$G$26+IF(W4=1,15,IF(W4=2,-5))</f>
        <v>722005</v>
      </c>
      <c r="AA31" s="8">
        <f t="shared" ref="AA30:AA48" si="2">Y31-Z31</f>
        <v>-722005</v>
      </c>
    </row>
    <row r="32" spans="1:31" x14ac:dyDescent="0.25">
      <c r="E32" s="10" t="s">
        <v>19</v>
      </c>
      <c r="G32" s="1">
        <f>_xlfn.VAR.P(L2:L21)</f>
        <v>81.1875</v>
      </c>
      <c r="Y32" s="5">
        <f>Y5</f>
        <v>0</v>
      </c>
      <c r="Z32" s="8">
        <f>F5+V5*$G$26+IF(W5=1,15,IF(W5=2,-5))</f>
        <v>681005</v>
      </c>
      <c r="AA32" s="8">
        <f t="shared" si="2"/>
        <v>-681005</v>
      </c>
    </row>
    <row r="33" spans="5:27" x14ac:dyDescent="0.25">
      <c r="E33" s="10" t="s">
        <v>20</v>
      </c>
      <c r="G33" s="6">
        <f>_xlfn.COVARIANCE.P(L2:L21,M2:M21)</f>
        <v>-910.3125</v>
      </c>
      <c r="Y33" s="5">
        <f>Y6</f>
        <v>0</v>
      </c>
      <c r="Z33" s="8">
        <f>F6+V6*$G$26+IF(W6=1,15,IF(W6=2,-5))</f>
        <v>515005</v>
      </c>
      <c r="AA33" s="8">
        <f t="shared" si="2"/>
        <v>-515005</v>
      </c>
    </row>
    <row r="34" spans="5:27" x14ac:dyDescent="0.25">
      <c r="E34" s="1" t="s">
        <v>21</v>
      </c>
      <c r="G34">
        <f>G33/G32</f>
        <v>-11.212471131639722</v>
      </c>
      <c r="Y34" s="5">
        <f>Y7</f>
        <v>0</v>
      </c>
      <c r="Z34" s="8">
        <f>F7+V7*$G$26+IF(W7=1,15,IF(W7=2,-5))</f>
        <v>-349980</v>
      </c>
      <c r="AA34" s="8">
        <f t="shared" si="2"/>
        <v>349980</v>
      </c>
    </row>
    <row r="35" spans="5:27" x14ac:dyDescent="0.25">
      <c r="Y35" s="5">
        <f>Y8</f>
        <v>0</v>
      </c>
      <c r="Z35" s="8">
        <f>F8+V8*$G$26+IF(W8=1,15,IF(W8=2,-5))</f>
        <v>167000</v>
      </c>
      <c r="AA35" s="8">
        <f t="shared" si="2"/>
        <v>-167000</v>
      </c>
    </row>
    <row r="36" spans="5:27" x14ac:dyDescent="0.25">
      <c r="Y36" s="5">
        <f>Y9</f>
        <v>0</v>
      </c>
      <c r="Z36" s="8">
        <f>F9+V9*$G$26+IF(W9=1,15,IF(W9=2,-5))</f>
        <v>234005</v>
      </c>
      <c r="AA36" s="8">
        <f t="shared" si="2"/>
        <v>-234005</v>
      </c>
    </row>
    <row r="37" spans="5:27" x14ac:dyDescent="0.25">
      <c r="Y37" s="5">
        <f>Y10</f>
        <v>0</v>
      </c>
      <c r="Z37" s="8">
        <f>F10+V10*$G$26+IF(W10=1,15,IF(W10=2,-5))</f>
        <v>-151980</v>
      </c>
      <c r="AA37" s="8">
        <f t="shared" si="2"/>
        <v>151980</v>
      </c>
    </row>
    <row r="38" spans="5:27" x14ac:dyDescent="0.25">
      <c r="Y38" s="5">
        <f>Y11</f>
        <v>0</v>
      </c>
      <c r="Z38" s="8">
        <f>F11+V11*$G$26+IF(W11=1,15,IF(W11=2,-5))</f>
        <v>20</v>
      </c>
      <c r="AA38" s="8">
        <f t="shared" si="2"/>
        <v>-20</v>
      </c>
    </row>
    <row r="39" spans="5:27" x14ac:dyDescent="0.25">
      <c r="Y39" s="5">
        <f>Y12</f>
        <v>0</v>
      </c>
      <c r="Z39" s="8">
        <f>F12+V12*$G$26+IF(W12=1,15,IF(W12=2,-5))</f>
        <v>470000</v>
      </c>
      <c r="AA39" s="8">
        <f t="shared" si="2"/>
        <v>-470000</v>
      </c>
    </row>
    <row r="40" spans="5:27" x14ac:dyDescent="0.25">
      <c r="Y40" s="5">
        <f>Y13</f>
        <v>0</v>
      </c>
      <c r="Z40" s="8">
        <f>F13+V13*$G$26+IF(W13=1,15,IF(W13=2,-5))</f>
        <v>495000</v>
      </c>
      <c r="AA40" s="8">
        <f t="shared" si="2"/>
        <v>-495000</v>
      </c>
    </row>
    <row r="41" spans="5:27" x14ac:dyDescent="0.25">
      <c r="Y41" s="5">
        <f>Y14</f>
        <v>0</v>
      </c>
      <c r="Z41" s="8">
        <f>F14+V14*$G$26+IF(W14=1,15,IF(W14=2,-5))</f>
        <v>551000</v>
      </c>
      <c r="AA41" s="8">
        <f t="shared" si="2"/>
        <v>-551000</v>
      </c>
    </row>
    <row r="42" spans="5:27" x14ac:dyDescent="0.25">
      <c r="Y42" s="5">
        <f>Y15</f>
        <v>0</v>
      </c>
      <c r="Z42" s="8">
        <f>F15+V15*$G$26+IF(W15=1,15,IF(W15=2,-5))</f>
        <v>426020</v>
      </c>
      <c r="AA42" s="8">
        <f t="shared" si="2"/>
        <v>-426020</v>
      </c>
    </row>
    <row r="43" spans="5:27" x14ac:dyDescent="0.25">
      <c r="Y43" s="5">
        <f>Y16</f>
        <v>0</v>
      </c>
      <c r="Z43" s="8">
        <f>F16+V16*$G$26+IF(W16=1,15,IF(W16=2,-5))</f>
        <v>1144005</v>
      </c>
      <c r="AA43" s="8">
        <f t="shared" si="2"/>
        <v>-1144005</v>
      </c>
    </row>
    <row r="44" spans="5:27" x14ac:dyDescent="0.25">
      <c r="Y44" s="5">
        <f>Y17</f>
        <v>0</v>
      </c>
      <c r="Z44" s="8">
        <f>F17+V17*$G$26+IF(W17=1,15,IF(W17=2,-5))</f>
        <v>543020</v>
      </c>
      <c r="AA44" s="8">
        <f t="shared" si="2"/>
        <v>-543020</v>
      </c>
    </row>
    <row r="45" spans="5:27" x14ac:dyDescent="0.25">
      <c r="Y45" s="5">
        <f>Y18</f>
        <v>0</v>
      </c>
      <c r="Z45" s="8">
        <f>F18+V18*$G$26+IF(W18=1,15,IF(W18=2,-5))</f>
        <v>-247980</v>
      </c>
      <c r="AA45" s="8">
        <f t="shared" si="2"/>
        <v>247980</v>
      </c>
    </row>
    <row r="46" spans="5:27" x14ac:dyDescent="0.25">
      <c r="Y46" s="5">
        <f>Y19</f>
        <v>0</v>
      </c>
      <c r="Z46" s="8">
        <f>F19+V19*$G$26+IF(W19=1,15,IF(W19=2,-5))</f>
        <v>-899980</v>
      </c>
      <c r="AA46" s="8">
        <f t="shared" si="2"/>
        <v>899980</v>
      </c>
    </row>
    <row r="47" spans="5:27" x14ac:dyDescent="0.25">
      <c r="Y47" s="5">
        <f>Y20</f>
        <v>0</v>
      </c>
      <c r="Z47" s="8">
        <f>F20+V20*$G$26+IF(W20=1,15,IF(W20=2,-5))</f>
        <v>-141980</v>
      </c>
      <c r="AA47" s="8">
        <f t="shared" si="2"/>
        <v>141980</v>
      </c>
    </row>
    <row r="48" spans="5:27" x14ac:dyDescent="0.25">
      <c r="Y48" s="5">
        <f>Y21</f>
        <v>0</v>
      </c>
      <c r="Z48" s="8" t="e">
        <f>F21+#REF!*$G$26+IF(W21=1,15,IF(W21=2,-5))</f>
        <v>#REF!</v>
      </c>
      <c r="AA48" s="8" t="e">
        <f t="shared" si="2"/>
        <v>#REF!</v>
      </c>
    </row>
    <row r="51" spans="12:12" x14ac:dyDescent="0.25">
      <c r="L51">
        <f t="shared" ref="L30:L51" si="3">Y23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Nikhil Kumra</cp:lastModifiedBy>
  <dcterms:created xsi:type="dcterms:W3CDTF">2020-09-03T00:56:35Z</dcterms:created>
  <dcterms:modified xsi:type="dcterms:W3CDTF">2020-09-13T22:04:08Z</dcterms:modified>
</cp:coreProperties>
</file>