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8035" windowHeight="12330"/>
  </bookViews>
  <sheets>
    <sheet name="新" sheetId="2" r:id="rId1"/>
    <sheet name="旧" sheetId="1" r:id="rId2"/>
  </sheets>
  <calcPr calcId="145621"/>
</workbook>
</file>

<file path=xl/calcChain.xml><?xml version="1.0" encoding="utf-8"?>
<calcChain xmlns="http://schemas.openxmlformats.org/spreadsheetml/2006/main">
  <c r="I14" i="2" l="1"/>
  <c r="J14" i="2"/>
  <c r="I15" i="2"/>
  <c r="J15" i="2"/>
  <c r="I16" i="2"/>
  <c r="J16" i="2"/>
  <c r="I13" i="2"/>
  <c r="K13" i="2"/>
  <c r="K14" i="2"/>
  <c r="L14" i="2"/>
  <c r="K15" i="2"/>
  <c r="L15" i="2"/>
  <c r="K16" i="2"/>
  <c r="L16" i="2"/>
  <c r="L13" i="2"/>
  <c r="J13" i="2"/>
  <c r="G13" i="2"/>
  <c r="C31" i="2"/>
  <c r="C32" i="2" s="1"/>
  <c r="C24" i="2"/>
  <c r="E14" i="2"/>
  <c r="D14" i="2"/>
  <c r="C34" i="2"/>
  <c r="N12" i="2"/>
  <c r="D13" i="2"/>
  <c r="D15" i="2"/>
  <c r="D16" i="2"/>
  <c r="D12" i="2"/>
  <c r="E16" i="2"/>
  <c r="E15" i="2"/>
  <c r="H15" i="2" s="1"/>
  <c r="E13" i="2"/>
  <c r="F12" i="2"/>
  <c r="F16" i="2"/>
  <c r="F15" i="2"/>
  <c r="F13" i="2"/>
  <c r="F14" i="2"/>
  <c r="N14" i="2"/>
  <c r="N15" i="2"/>
  <c r="C25" i="2"/>
  <c r="Q14" i="2" l="1"/>
  <c r="G14" i="2"/>
  <c r="R15" i="2"/>
  <c r="S15" i="2" s="1"/>
  <c r="R14" i="2"/>
  <c r="S14" i="2" s="1"/>
  <c r="T12" i="2"/>
  <c r="H13" i="2"/>
  <c r="G15" i="2"/>
  <c r="H14" i="2"/>
  <c r="R13" i="2"/>
  <c r="S13" i="2" s="1"/>
  <c r="G16" i="2"/>
  <c r="Q15" i="2"/>
  <c r="Q12" i="2"/>
  <c r="Q16" i="2"/>
  <c r="R16" i="2"/>
  <c r="S16" i="2" s="1"/>
  <c r="H16" i="2"/>
  <c r="C40" i="1"/>
  <c r="T16" i="2" l="1"/>
  <c r="T15" i="2"/>
  <c r="T13" i="2"/>
  <c r="T14" i="2"/>
  <c r="C49" i="1"/>
  <c r="C46" i="1"/>
  <c r="C47" i="1" s="1"/>
  <c r="C39" i="1"/>
  <c r="E13" i="1"/>
  <c r="E16" i="1"/>
  <c r="G16" i="1" s="1"/>
  <c r="E23" i="1"/>
  <c r="G23" i="1" s="1"/>
  <c r="E28" i="1"/>
  <c r="G28" i="1" s="1"/>
  <c r="E31" i="1"/>
  <c r="E24" i="1"/>
  <c r="E19" i="1"/>
  <c r="C29" i="1"/>
  <c r="C30" i="1" s="1"/>
  <c r="C17" i="1"/>
  <c r="C18" i="1" s="1"/>
  <c r="C11" i="1"/>
  <c r="C12" i="1" s="1"/>
  <c r="B18" i="2" l="1"/>
  <c r="C20" i="1"/>
  <c r="E20" i="1" s="1"/>
  <c r="C25" i="1"/>
  <c r="E25" i="1" s="1"/>
  <c r="C32" i="1"/>
  <c r="E32" i="1" s="1"/>
</calcChain>
</file>

<file path=xl/comments1.xml><?xml version="1.0" encoding="utf-8"?>
<comments xmlns="http://schemas.openxmlformats.org/spreadsheetml/2006/main">
  <authors>
    <author>TAKUYA</author>
  </authors>
  <commentList>
    <comment ref="M13" authorId="0">
      <text>
        <r>
          <rPr>
            <sz val="9"/>
            <color indexed="81"/>
            <rFont val="ＭＳ Ｐゴシック"/>
            <family val="3"/>
            <charset val="128"/>
          </rPr>
          <t>仮</t>
        </r>
      </text>
    </comment>
    <comment ref="M16" authorId="0">
      <text>
        <r>
          <rPr>
            <sz val="9"/>
            <color indexed="81"/>
            <rFont val="ＭＳ Ｐゴシック"/>
            <family val="3"/>
            <charset val="128"/>
          </rPr>
          <t>仮</t>
        </r>
      </text>
    </comment>
  </commentList>
</comments>
</file>

<file path=xl/sharedStrings.xml><?xml version="1.0" encoding="utf-8"?>
<sst xmlns="http://schemas.openxmlformats.org/spreadsheetml/2006/main" count="157" uniqueCount="81">
  <si>
    <t>km</t>
    <phoneticPr fontId="2"/>
  </si>
  <si>
    <t>km</t>
    <phoneticPr fontId="2"/>
  </si>
  <si>
    <t>AU</t>
    <phoneticPr fontId="2"/>
  </si>
  <si>
    <t>AU</t>
    <phoneticPr fontId="2"/>
  </si>
  <si>
    <t>位置</t>
    <rPh sb="0" eb="2">
      <t>イチ</t>
    </rPh>
    <phoneticPr fontId="2"/>
  </si>
  <si>
    <t>Sel</t>
    <phoneticPr fontId="2"/>
  </si>
  <si>
    <t>半径</t>
    <rPh sb="0" eb="2">
      <t>ハンケイ</t>
    </rPh>
    <phoneticPr fontId="2"/>
  </si>
  <si>
    <t>見かけの大きさ</t>
    <rPh sb="0" eb="1">
      <t>ミ</t>
    </rPh>
    <rPh sb="4" eb="5">
      <t>オオ</t>
    </rPh>
    <phoneticPr fontId="2"/>
  </si>
  <si>
    <t>°</t>
    <phoneticPr fontId="2"/>
  </si>
  <si>
    <t>公転周期</t>
    <rPh sb="0" eb="4">
      <t>コウテンシュウキ</t>
    </rPh>
    <phoneticPr fontId="2"/>
  </si>
  <si>
    <t>G</t>
    <phoneticPr fontId="2"/>
  </si>
  <si>
    <t>質量</t>
    <rPh sb="0" eb="2">
      <t>シツリョウ</t>
    </rPh>
    <phoneticPr fontId="2"/>
  </si>
  <si>
    <t>kg</t>
    <phoneticPr fontId="2"/>
  </si>
  <si>
    <t>m</t>
    <phoneticPr fontId="2"/>
  </si>
  <si>
    <t>s</t>
    <phoneticPr fontId="2"/>
  </si>
  <si>
    <t>地球日</t>
    <rPh sb="0" eb="3">
      <t>チキュウニチ</t>
    </rPh>
    <phoneticPr fontId="2"/>
  </si>
  <si>
    <t>(地球の月は0.52°)</t>
    <rPh sb="1" eb="3">
      <t>チキュウ</t>
    </rPh>
    <rPh sb="4" eb="5">
      <t>ツキ</t>
    </rPh>
    <phoneticPr fontId="2"/>
  </si>
  <si>
    <t>自転の同期とか知らない</t>
    <rPh sb="0" eb="2">
      <t>ジテン</t>
    </rPh>
    <rPh sb="3" eb="5">
      <t>ドウキ</t>
    </rPh>
    <rPh sb="7" eb="8">
      <t>シ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</si>
  <si>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☉</t>
    </r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</si>
  <si>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⊕</t>
    </r>
    <phoneticPr fontId="2"/>
  </si>
  <si>
    <r>
      <t>地球質量 M</t>
    </r>
    <r>
      <rPr>
        <vertAlign val="subscript"/>
        <sz val="11"/>
        <color theme="1"/>
        <rFont val="Meiryo UI"/>
        <family val="3"/>
        <charset val="128"/>
      </rPr>
      <t>⊕</t>
    </r>
    <rPh sb="0" eb="4">
      <t>チキュウシツリョウ</t>
    </rPh>
    <phoneticPr fontId="2"/>
  </si>
  <si>
    <r>
      <t>太陽質量 M</t>
    </r>
    <r>
      <rPr>
        <vertAlign val="subscript"/>
        <sz val="11"/>
        <color theme="1"/>
        <rFont val="Meiryo UI"/>
        <family val="3"/>
        <charset val="128"/>
      </rPr>
      <t>☉</t>
    </r>
    <rPh sb="0" eb="4">
      <t>タイヨウシツリョウ</t>
    </rPh>
    <phoneticPr fontId="2"/>
  </si>
  <si>
    <t>倍</t>
    <rPh sb="0" eb="1">
      <t>バイ</t>
    </rPh>
    <phoneticPr fontId="2"/>
  </si>
  <si>
    <t>AU</t>
    <phoneticPr fontId="2"/>
  </si>
  <si>
    <r>
      <t>太陽のL</t>
    </r>
    <r>
      <rPr>
        <vertAlign val="subscript"/>
        <sz val="11"/>
        <color theme="1"/>
        <rFont val="Meiryo UI"/>
        <family val="3"/>
        <charset val="128"/>
      </rPr>
      <t>☉</t>
    </r>
    <rPh sb="0" eb="2">
      <t>タイヨウ</t>
    </rPh>
    <phoneticPr fontId="2"/>
  </si>
  <si>
    <t>⇕</t>
    <phoneticPr fontId="2"/>
  </si>
  <si>
    <t>Lintwの位置</t>
    <rPh sb="6" eb="8">
      <t>イチ</t>
    </rPh>
    <phoneticPr fontId="2"/>
  </si>
  <si>
    <t>Gliese581cの位置</t>
    <rPh sb="11" eb="13">
      <t>イチ</t>
    </rPh>
    <phoneticPr fontId="2"/>
  </si>
  <si>
    <t>　　　ちょっと近すぎるね！</t>
    <phoneticPr fontId="2"/>
  </si>
  <si>
    <t>　　　ちょうどいいね！</t>
    <phoneticPr fontId="2"/>
  </si>
  <si>
    <t>Cuaboŵvyu</t>
    <phoneticPr fontId="2"/>
  </si>
  <si>
    <t>Lintŵ</t>
    <phoneticPr fontId="2"/>
  </si>
  <si>
    <t>Waŵfiŵ</t>
    <phoneticPr fontId="2"/>
  </si>
  <si>
    <t>HZ Check</t>
    <phoneticPr fontId="2"/>
  </si>
  <si>
    <t>Gliese 581c</t>
    <phoneticPr fontId="2"/>
  </si>
  <si>
    <t>Lintw</t>
    <phoneticPr fontId="2"/>
  </si>
  <si>
    <t>Consts</t>
    <phoneticPr fontId="2"/>
  </si>
  <si>
    <t>日蝕は何分続くのか？</t>
    <rPh sb="0" eb="2">
      <t>ニッショク</t>
    </rPh>
    <rPh sb="3" eb="6">
      <t>ナンフンツヅ</t>
    </rPh>
    <phoneticPr fontId="2"/>
  </si>
  <si>
    <r>
      <t>主星Gliese581のL</t>
    </r>
    <r>
      <rPr>
        <vertAlign val="subscript"/>
        <sz val="11"/>
        <color theme="1"/>
        <rFont val="Meiryo UI"/>
        <family val="3"/>
        <charset val="128"/>
      </rPr>
      <t>☉</t>
    </r>
    <rPh sb="0" eb="2">
      <t>シュセイ</t>
    </rPh>
    <phoneticPr fontId="2"/>
  </si>
  <si>
    <r>
      <t>主星SelのL</t>
    </r>
    <r>
      <rPr>
        <vertAlign val="subscript"/>
        <sz val="11"/>
        <color theme="1"/>
        <rFont val="Meiryo UI"/>
        <family val="3"/>
        <charset val="128"/>
      </rPr>
      <t>☉</t>
    </r>
    <phoneticPr fontId="2"/>
  </si>
  <si>
    <t>太陽との光度の比</t>
    <rPh sb="0" eb="2">
      <t>タイヨウ</t>
    </rPh>
    <rPh sb="4" eb="6">
      <t>コウド</t>
    </rPh>
    <rPh sb="7" eb="8">
      <t>ヒ</t>
    </rPh>
    <phoneticPr fontId="2"/>
  </si>
  <si>
    <t>太陽との光度の比</t>
    <rPh sb="4" eb="6">
      <t>コウド</t>
    </rPh>
    <rPh sb="7" eb="8">
      <t>ヒ</t>
    </rPh>
    <phoneticPr fontId="2"/>
  </si>
  <si>
    <t>ハビタブルゾーン距離</t>
    <rPh sb="8" eb="10">
      <t>キョリ</t>
    </rPh>
    <phoneticPr fontId="2"/>
  </si>
  <si>
    <t>TODOs</t>
    <phoneticPr fontId="2"/>
  </si>
  <si>
    <t>Lintw</t>
    <phoneticPr fontId="2"/>
  </si>
  <si>
    <t>Waŵfiŵ</t>
    <phoneticPr fontId="2"/>
  </si>
  <si>
    <t>Sel</t>
    <phoneticPr fontId="10"/>
  </si>
  <si>
    <t>Cuaboŵvyu</t>
    <phoneticPr fontId="10"/>
  </si>
  <si>
    <t>Lintŵ</t>
    <phoneticPr fontId="10"/>
  </si>
  <si>
    <t>Waŵfiŵ</t>
    <phoneticPr fontId="10"/>
  </si>
  <si>
    <t>距離(AU)</t>
    <rPh sb="0" eb="2">
      <t>キョリ</t>
    </rPh>
    <phoneticPr fontId="10"/>
  </si>
  <si>
    <t>Na:bal</t>
    <phoneticPr fontId="10"/>
  </si>
  <si>
    <t>半径(AU)</t>
    <rPh sb="0" eb="2">
      <t>ハンケイ</t>
    </rPh>
    <phoneticPr fontId="10"/>
  </si>
  <si>
    <r>
      <t>地球質量M</t>
    </r>
    <r>
      <rPr>
        <vertAlign val="subscript"/>
        <sz val="11"/>
        <color theme="1"/>
        <rFont val="Meiryo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(kg) </t>
    </r>
    <rPh sb="0" eb="4">
      <t>チキュウシツリョウ</t>
    </rPh>
    <phoneticPr fontId="2"/>
  </si>
  <si>
    <r>
      <t>太陽質量 M</t>
    </r>
    <r>
      <rPr>
        <vertAlign val="subscript"/>
        <sz val="11"/>
        <color theme="1"/>
        <rFont val="Meiryo UI"/>
        <family val="3"/>
        <charset val="128"/>
      </rPr>
      <t>☉</t>
    </r>
    <r>
      <rPr>
        <sz val="11"/>
        <color theme="1"/>
        <rFont val="Meiryo UI"/>
        <family val="3"/>
        <charset val="128"/>
      </rPr>
      <t xml:space="preserve"> (kg) </t>
    </r>
    <rPh sb="0" eb="4">
      <t>タイヨウシツリョウ</t>
    </rPh>
    <phoneticPr fontId="2"/>
  </si>
  <si>
    <t>初期位相(rad)</t>
    <rPh sb="0" eb="4">
      <t>ショキイソウ</t>
    </rPh>
    <phoneticPr fontId="10"/>
  </si>
  <si>
    <t>質量(kg)</t>
    <rPh sb="0" eb="2">
      <t>シツリョウ</t>
    </rPh>
    <phoneticPr fontId="10"/>
  </si>
  <si>
    <t>表示半径(px)</t>
    <rPh sb="0" eb="4">
      <t>ヒョウジハンケイ</t>
    </rPh>
    <phoneticPr fontId="10"/>
  </si>
  <si>
    <t>色</t>
    <rPh sb="0" eb="1">
      <t>イロ</t>
    </rPh>
    <phoneticPr fontId="10"/>
  </si>
  <si>
    <t>#f6b</t>
    <phoneticPr fontId="10"/>
  </si>
  <si>
    <t>#753</t>
    <phoneticPr fontId="10"/>
  </si>
  <si>
    <t>#b8f</t>
    <phoneticPr fontId="10"/>
  </si>
  <si>
    <t>#645</t>
    <phoneticPr fontId="10"/>
  </si>
  <si>
    <t>#426</t>
    <phoneticPr fontId="10"/>
  </si>
  <si>
    <t>見かけの大きさ(°)</t>
    <rPh sb="0" eb="1">
      <t>ミ</t>
    </rPh>
    <rPh sb="4" eb="5">
      <t>オオ</t>
    </rPh>
    <phoneticPr fontId="10"/>
  </si>
  <si>
    <t>－</t>
  </si>
  <si>
    <t>AU(m)</t>
    <phoneticPr fontId="2"/>
  </si>
  <si>
    <t>距離(m)</t>
    <rPh sb="0" eb="2">
      <t>キョリ</t>
    </rPh>
    <phoneticPr fontId="10"/>
  </si>
  <si>
    <r>
      <t>x</t>
    </r>
    <r>
      <rPr>
        <b/>
        <vertAlign val="subscript"/>
        <sz val="11"/>
        <color theme="1"/>
        <rFont val="Meiryo UI"/>
        <family val="3"/>
        <charset val="128"/>
      </rPr>
      <t>0</t>
    </r>
    <r>
      <rPr>
        <b/>
        <sz val="11"/>
        <color theme="1"/>
        <rFont val="Meiryo UI"/>
        <family val="3"/>
        <charset val="128"/>
      </rPr>
      <t>(m)</t>
    </r>
    <phoneticPr fontId="10"/>
  </si>
  <si>
    <r>
      <t>y</t>
    </r>
    <r>
      <rPr>
        <b/>
        <vertAlign val="subscript"/>
        <sz val="11"/>
        <color theme="1"/>
        <rFont val="Meiryo UI"/>
        <family val="3"/>
        <charset val="128"/>
      </rPr>
      <t>0</t>
    </r>
    <r>
      <rPr>
        <b/>
        <sz val="11"/>
        <color theme="1"/>
        <rFont val="Meiryo UI"/>
        <family val="3"/>
        <charset val="128"/>
      </rPr>
      <t>(m)</t>
    </r>
    <phoneticPr fontId="10"/>
  </si>
  <si>
    <r>
      <t>vx</t>
    </r>
    <r>
      <rPr>
        <b/>
        <vertAlign val="subscript"/>
        <sz val="11"/>
        <color theme="1"/>
        <rFont val="Meiryo UI"/>
        <family val="3"/>
        <charset val="128"/>
      </rPr>
      <t>0</t>
    </r>
    <r>
      <rPr>
        <b/>
        <sz val="11"/>
        <color theme="1"/>
        <rFont val="Meiryo UI"/>
        <family val="3"/>
        <charset val="128"/>
      </rPr>
      <t>(m/s)</t>
    </r>
    <phoneticPr fontId="10"/>
  </si>
  <si>
    <r>
      <t>vy</t>
    </r>
    <r>
      <rPr>
        <b/>
        <vertAlign val="subscript"/>
        <sz val="11"/>
        <color theme="1"/>
        <rFont val="Meiryo UI"/>
        <family val="3"/>
        <charset val="128"/>
      </rPr>
      <t>0</t>
    </r>
    <r>
      <rPr>
        <b/>
        <sz val="11"/>
        <color theme="1"/>
        <rFont val="Meiryo UI"/>
        <family val="3"/>
        <charset val="128"/>
      </rPr>
      <t>(m/s)</t>
    </r>
    <phoneticPr fontId="10"/>
  </si>
  <si>
    <r>
      <t>ax</t>
    </r>
    <r>
      <rPr>
        <b/>
        <vertAlign val="subscript"/>
        <sz val="11"/>
        <color theme="1"/>
        <rFont val="Meiryo UI"/>
        <family val="3"/>
        <charset val="128"/>
      </rPr>
      <t>0</t>
    </r>
    <r>
      <rPr>
        <b/>
        <sz val="11"/>
        <color theme="1"/>
        <rFont val="Meiryo UI"/>
        <family val="3"/>
        <charset val="128"/>
      </rPr>
      <t>(m/s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)</t>
    </r>
    <phoneticPr fontId="10"/>
  </si>
  <si>
    <r>
      <t>ay</t>
    </r>
    <r>
      <rPr>
        <b/>
        <vertAlign val="subscript"/>
        <sz val="11"/>
        <color theme="1"/>
        <rFont val="Meiryo UI"/>
        <family val="3"/>
        <charset val="128"/>
      </rPr>
      <t>0</t>
    </r>
    <r>
      <rPr>
        <b/>
        <sz val="11"/>
        <color theme="1"/>
        <rFont val="Meiryo UI"/>
        <family val="3"/>
        <charset val="128"/>
      </rPr>
      <t>(m/s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)</t>
    </r>
    <phoneticPr fontId="10"/>
  </si>
  <si>
    <t>半径(m)</t>
    <phoneticPr fontId="10"/>
  </si>
  <si>
    <t>－</t>
    <phoneticPr fontId="10"/>
  </si>
  <si>
    <t>公転周期(s)</t>
    <rPh sb="0" eb="4">
      <t>コウテンシュウキ</t>
    </rPh>
    <phoneticPr fontId="10"/>
  </si>
  <si>
    <t>公転周期(地球日)</t>
    <rPh sb="0" eb="4">
      <t>コウテンシュウキ</t>
    </rPh>
    <rPh sb="5" eb="8">
      <t>チキュウニチ</t>
    </rPh>
    <phoneticPr fontId="10"/>
  </si>
  <si>
    <t>月：0.52°</t>
    <phoneticPr fontId="10"/>
  </si>
  <si>
    <t>Specs</t>
    <phoneticPr fontId="2"/>
  </si>
  <si>
    <t>JSON Object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</si>
</sst>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_ "/>
    <numFmt numFmtId="177" formatCode="0.0000"/>
    <numFmt numFmtId="178" formatCode="0.000"/>
    <numFmt numFmtId="179" formatCode="0.0"/>
    <numFmt numFmtId="180" formatCode="0.000000"/>
  </numFmts>
  <fonts count="16" x14ac:knownFonts="1">
    <font>
      <sz val="11"/>
      <color theme="1"/>
      <name val="Meiryo UI"/>
      <family val="3"/>
      <charset val="128"/>
    </font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1"/>
      <color rgb="FF0000FF"/>
      <name val="Meiryo UI"/>
      <family val="3"/>
      <charset val="128"/>
    </font>
    <font>
      <sz val="11"/>
      <name val="Meiryo UI"/>
      <family val="3"/>
      <charset val="128"/>
    </font>
    <font>
      <b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C00000"/>
      <name val="Meiryo UI"/>
      <family val="3"/>
      <charset val="128"/>
    </font>
    <font>
      <b/>
      <sz val="11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sz val="6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theme="1"/>
      <name val="Consolas"/>
      <family val="3"/>
    </font>
    <font>
      <b/>
      <vertAlign val="super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indexed="81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>
      <alignment vertical="center"/>
    </xf>
    <xf numFmtId="176" fontId="3" fillId="0" borderId="0" xfId="1" applyNumberFormat="1" applyFont="1" applyFill="1" applyBorder="1" applyAlignment="1">
      <alignment horizontal="right" vertical="center"/>
    </xf>
    <xf numFmtId="0" fontId="4" fillId="0" borderId="0" xfId="0" applyFont="1" applyFill="1">
      <alignment vertical="center"/>
    </xf>
    <xf numFmtId="179" fontId="0" fillId="0" borderId="0" xfId="0" applyNumberFormat="1" applyBorder="1">
      <alignment vertical="center"/>
    </xf>
    <xf numFmtId="179" fontId="3" fillId="0" borderId="0" xfId="0" applyNumberFormat="1" applyFont="1" applyBorder="1">
      <alignment vertical="center"/>
    </xf>
    <xf numFmtId="180" fontId="3" fillId="0" borderId="0" xfId="0" applyNumberFormat="1" applyFont="1" applyBorder="1">
      <alignment vertical="center"/>
    </xf>
    <xf numFmtId="11" fontId="0" fillId="0" borderId="0" xfId="0" applyNumberFormat="1" applyBorder="1">
      <alignment vertical="center"/>
    </xf>
    <xf numFmtId="0" fontId="0" fillId="0" borderId="0" xfId="0" applyFill="1" applyBorder="1">
      <alignment vertical="center"/>
    </xf>
    <xf numFmtId="11" fontId="3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79" fontId="0" fillId="0" borderId="2" xfId="0" applyNumberFormat="1" applyBorder="1">
      <alignment vertical="center"/>
    </xf>
    <xf numFmtId="177" fontId="4" fillId="0" borderId="2" xfId="1" applyNumberFormat="1" applyFont="1" applyFill="1" applyBorder="1" applyAlignment="1">
      <alignment horizontal="right" vertical="center"/>
    </xf>
    <xf numFmtId="177" fontId="0" fillId="0" borderId="4" xfId="0" applyNumberFormat="1" applyBorder="1">
      <alignment vertical="center"/>
    </xf>
    <xf numFmtId="0" fontId="7" fillId="0" borderId="0" xfId="0" applyFont="1" applyFill="1" applyBorder="1" applyAlignment="1">
      <alignment horizontal="left"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 wrapText="1"/>
    </xf>
    <xf numFmtId="0" fontId="0" fillId="0" borderId="5" xfId="0" applyBorder="1" applyAlignment="1">
      <alignment horizontal="right" vertical="center"/>
    </xf>
    <xf numFmtId="0" fontId="0" fillId="0" borderId="6" xfId="0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178" fontId="4" fillId="0" borderId="1" xfId="0" applyNumberFormat="1" applyFont="1" applyBorder="1">
      <alignment vertical="center"/>
    </xf>
    <xf numFmtId="178" fontId="3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>
      <alignment vertical="center"/>
    </xf>
    <xf numFmtId="0" fontId="9" fillId="2" borderId="0" xfId="0" applyFont="1" applyFill="1">
      <alignment vertical="center"/>
    </xf>
    <xf numFmtId="0" fontId="9" fillId="3" borderId="0" xfId="0" applyFont="1" applyFill="1" applyBorder="1" applyAlignment="1">
      <alignment horizontal="left" vertical="center"/>
    </xf>
    <xf numFmtId="0" fontId="0" fillId="0" borderId="2" xfId="0" applyFill="1" applyBorder="1">
      <alignment vertical="center"/>
    </xf>
    <xf numFmtId="0" fontId="5" fillId="0" borderId="0" xfId="0" applyFont="1" applyAlignment="1">
      <alignment horizontal="right" vertical="center"/>
    </xf>
    <xf numFmtId="0" fontId="0" fillId="4" borderId="0" xfId="0" applyNumberFormat="1" applyFill="1">
      <alignment vertical="center"/>
    </xf>
    <xf numFmtId="0" fontId="0" fillId="4" borderId="0" xfId="0" applyFill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11" fontId="0" fillId="0" borderId="2" xfId="0" applyNumberFormat="1" applyBorder="1">
      <alignment vertical="center"/>
    </xf>
    <xf numFmtId="180" fontId="4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2" fontId="3" fillId="0" borderId="0" xfId="0" applyNumberFormat="1" applyFont="1">
      <alignment vertical="center"/>
    </xf>
    <xf numFmtId="1" fontId="0" fillId="0" borderId="7" xfId="0" applyNumberFormat="1" applyBorder="1" applyAlignment="1">
      <alignment horizontal="right" vertical="center"/>
    </xf>
    <xf numFmtId="1" fontId="14" fillId="0" borderId="2" xfId="0" applyNumberFormat="1" applyFont="1" applyBorder="1" applyAlignment="1">
      <alignment horizontal="right" vertical="center"/>
    </xf>
    <xf numFmtId="0" fontId="12" fillId="0" borderId="2" xfId="0" applyFont="1" applyBorder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right" vertical="center" wrapText="1"/>
    </xf>
    <xf numFmtId="178" fontId="3" fillId="0" borderId="0" xfId="0" applyNumberFormat="1" applyFont="1" applyBorder="1">
      <alignment vertical="center"/>
    </xf>
    <xf numFmtId="0" fontId="0" fillId="0" borderId="0" xfId="0" applyBorder="1" applyAlignment="1">
      <alignment horizontal="center" vertical="center"/>
    </xf>
    <xf numFmtId="178" fontId="4" fillId="0" borderId="0" xfId="0" applyNumberFormat="1" applyFont="1" applyBorder="1">
      <alignment vertical="center"/>
    </xf>
    <xf numFmtId="0" fontId="12" fillId="5" borderId="0" xfId="0" applyFont="1" applyFill="1" applyBorder="1" applyAlignment="1">
      <alignment horizontal="left" vertical="center" wrapText="1" indent="1"/>
    </xf>
    <xf numFmtId="0" fontId="5" fillId="0" borderId="0" xfId="0" applyFont="1" applyFill="1" applyAlignment="1">
      <alignment horizontal="right" vertical="center"/>
    </xf>
    <xf numFmtId="177" fontId="0" fillId="0" borderId="4" xfId="0" applyNumberFormat="1" applyFill="1" applyBorder="1">
      <alignment vertical="center"/>
    </xf>
    <xf numFmtId="0" fontId="3" fillId="0" borderId="0" xfId="0" applyFont="1" applyFill="1">
      <alignment vertical="center"/>
    </xf>
    <xf numFmtId="11" fontId="0" fillId="0" borderId="2" xfId="0" applyNumberFormat="1" applyFill="1" applyBorder="1">
      <alignment vertical="center"/>
    </xf>
    <xf numFmtId="11" fontId="3" fillId="0" borderId="0" xfId="0" applyNumberFormat="1" applyFont="1" applyFill="1">
      <alignment vertical="center"/>
    </xf>
    <xf numFmtId="1" fontId="14" fillId="0" borderId="2" xfId="0" applyNumberFormat="1" applyFont="1" applyFill="1" applyBorder="1" applyAlignment="1">
      <alignment horizontal="right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12" fillId="0" borderId="2" xfId="0" applyFont="1" applyFill="1" applyBorder="1">
      <alignment vertical="center"/>
    </xf>
    <xf numFmtId="2" fontId="0" fillId="0" borderId="0" xfId="0" applyNumberFormat="1" applyFill="1" applyAlignment="1">
      <alignment horizontal="center" vertical="center"/>
    </xf>
    <xf numFmtId="2" fontId="3" fillId="0" borderId="0" xfId="0" applyNumberFormat="1" applyFont="1" applyFill="1">
      <alignment vertical="center"/>
    </xf>
  </cellXfs>
  <cellStyles count="2">
    <cellStyle name="桁区切り" xfId="1" builtinId="6"/>
    <cellStyle name="標準" xfId="0" builtinId="0" customBuiltin="1"/>
  </cellStyles>
  <dxfs count="0"/>
  <tableStyles count="0" defaultTableStyle="TableStyleMedium2" defaultPivotStyle="PivotStyleLight16"/>
  <colors>
    <mruColors>
      <color rgb="FFFFE7FF"/>
      <color rgb="FFFFCCFF"/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24</xdr:row>
      <xdr:rowOff>0</xdr:rowOff>
    </xdr:from>
    <xdr:to>
      <xdr:col>4</xdr:col>
      <xdr:colOff>247650</xdr:colOff>
      <xdr:row>27</xdr:row>
      <xdr:rowOff>0</xdr:rowOff>
    </xdr:to>
    <xdr:sp macro="" textlink="">
      <xdr:nvSpPr>
        <xdr:cNvPr id="6" name="右中かっこ 5"/>
        <xdr:cNvSpPr/>
      </xdr:nvSpPr>
      <xdr:spPr>
        <a:xfrm>
          <a:off x="4067175" y="8077200"/>
          <a:ext cx="152400" cy="600075"/>
        </a:xfrm>
        <a:prstGeom prst="rightBrace">
          <a:avLst>
            <a:gd name="adj1" fmla="val 37365"/>
            <a:gd name="adj2" fmla="val 50000"/>
          </a:avLst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31</xdr:row>
      <xdr:rowOff>0</xdr:rowOff>
    </xdr:from>
    <xdr:to>
      <xdr:col>4</xdr:col>
      <xdr:colOff>247650</xdr:colOff>
      <xdr:row>34</xdr:row>
      <xdr:rowOff>0</xdr:rowOff>
    </xdr:to>
    <xdr:sp macro="" textlink="">
      <xdr:nvSpPr>
        <xdr:cNvPr id="7" name="右中かっこ 6"/>
        <xdr:cNvSpPr/>
      </xdr:nvSpPr>
      <xdr:spPr>
        <a:xfrm>
          <a:off x="4067175" y="9515475"/>
          <a:ext cx="152400" cy="600075"/>
        </a:xfrm>
        <a:prstGeom prst="rightBrace">
          <a:avLst>
            <a:gd name="adj1" fmla="val 37365"/>
            <a:gd name="adj2" fmla="val 50000"/>
          </a:avLst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409575</xdr:colOff>
      <xdr:row>2</xdr:row>
      <xdr:rowOff>57150</xdr:rowOff>
    </xdr:from>
    <xdr:to>
      <xdr:col>1</xdr:col>
      <xdr:colOff>1489575</xdr:colOff>
      <xdr:row>7</xdr:row>
      <xdr:rowOff>137025</xdr:rowOff>
    </xdr:to>
    <xdr:sp macro="" textlink="">
      <xdr:nvSpPr>
        <xdr:cNvPr id="2" name="円/楕円 1"/>
        <xdr:cNvSpPr/>
      </xdr:nvSpPr>
      <xdr:spPr>
        <a:xfrm>
          <a:off x="1171575" y="457200"/>
          <a:ext cx="1080000" cy="1080000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289425</xdr:colOff>
      <xdr:row>3</xdr:row>
      <xdr:rowOff>117975</xdr:rowOff>
    </xdr:from>
    <xdr:to>
      <xdr:col>2</xdr:col>
      <xdr:colOff>847725</xdr:colOff>
      <xdr:row>6</xdr:row>
      <xdr:rowOff>76200</xdr:rowOff>
    </xdr:to>
    <xdr:sp macro="" textlink="">
      <xdr:nvSpPr>
        <xdr:cNvPr id="4" name="円/楕円 3"/>
        <xdr:cNvSpPr/>
      </xdr:nvSpPr>
      <xdr:spPr>
        <a:xfrm>
          <a:off x="2394450" y="718050"/>
          <a:ext cx="558300" cy="558300"/>
        </a:xfrm>
        <a:prstGeom prst="ellips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279900</xdr:colOff>
      <xdr:row>3</xdr:row>
      <xdr:rowOff>117975</xdr:rowOff>
    </xdr:from>
    <xdr:to>
      <xdr:col>6</xdr:col>
      <xdr:colOff>838200</xdr:colOff>
      <xdr:row>6</xdr:row>
      <xdr:rowOff>76200</xdr:rowOff>
    </xdr:to>
    <xdr:sp macro="" textlink="">
      <xdr:nvSpPr>
        <xdr:cNvPr id="5" name="円/楕円 4"/>
        <xdr:cNvSpPr/>
      </xdr:nvSpPr>
      <xdr:spPr>
        <a:xfrm>
          <a:off x="5985375" y="718050"/>
          <a:ext cx="558300" cy="558300"/>
        </a:xfrm>
        <a:prstGeom prst="ellips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394200</xdr:colOff>
      <xdr:row>4</xdr:row>
      <xdr:rowOff>89400</xdr:rowOff>
    </xdr:from>
    <xdr:to>
      <xdr:col>4</xdr:col>
      <xdr:colOff>609600</xdr:colOff>
      <xdr:row>5</xdr:row>
      <xdr:rowOff>104775</xdr:rowOff>
    </xdr:to>
    <xdr:sp macro="" textlink="">
      <xdr:nvSpPr>
        <xdr:cNvPr id="6" name="円/楕円 5"/>
        <xdr:cNvSpPr/>
      </xdr:nvSpPr>
      <xdr:spPr>
        <a:xfrm>
          <a:off x="4366125" y="889500"/>
          <a:ext cx="215400" cy="215400"/>
        </a:xfrm>
        <a:prstGeom prst="ellipse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39</xdr:row>
      <xdr:rowOff>0</xdr:rowOff>
    </xdr:from>
    <xdr:to>
      <xdr:col>4</xdr:col>
      <xdr:colOff>247650</xdr:colOff>
      <xdr:row>42</xdr:row>
      <xdr:rowOff>0</xdr:rowOff>
    </xdr:to>
    <xdr:sp macro="" textlink="">
      <xdr:nvSpPr>
        <xdr:cNvPr id="3" name="右中かっこ 2"/>
        <xdr:cNvSpPr/>
      </xdr:nvSpPr>
      <xdr:spPr>
        <a:xfrm>
          <a:off x="4067175" y="9515475"/>
          <a:ext cx="152400" cy="619125"/>
        </a:xfrm>
        <a:prstGeom prst="rightBrace">
          <a:avLst>
            <a:gd name="adj1" fmla="val 37365"/>
            <a:gd name="adj2" fmla="val 50000"/>
          </a:avLst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46</xdr:row>
      <xdr:rowOff>0</xdr:rowOff>
    </xdr:from>
    <xdr:to>
      <xdr:col>4</xdr:col>
      <xdr:colOff>247650</xdr:colOff>
      <xdr:row>49</xdr:row>
      <xdr:rowOff>0</xdr:rowOff>
    </xdr:to>
    <xdr:sp macro="" textlink="">
      <xdr:nvSpPr>
        <xdr:cNvPr id="7" name="右中かっこ 6"/>
        <xdr:cNvSpPr/>
      </xdr:nvSpPr>
      <xdr:spPr>
        <a:xfrm>
          <a:off x="4067175" y="10772775"/>
          <a:ext cx="152400" cy="619125"/>
        </a:xfrm>
        <a:prstGeom prst="rightBrace">
          <a:avLst>
            <a:gd name="adj1" fmla="val 37365"/>
            <a:gd name="adj2" fmla="val 50000"/>
          </a:avLst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X39"/>
  <sheetViews>
    <sheetView tabSelected="1" workbookViewId="0"/>
  </sheetViews>
  <sheetFormatPr defaultRowHeight="15.75" x14ac:dyDescent="0.25"/>
  <cols>
    <col min="1" max="1" width="2.44140625" customWidth="1"/>
    <col min="2" max="2" width="22.109375" customWidth="1"/>
    <col min="3" max="3" width="13.109375" bestFit="1" customWidth="1"/>
    <col min="4" max="4" width="13.109375" customWidth="1"/>
    <col min="5" max="5" width="12.88671875" bestFit="1" customWidth="1"/>
    <col min="6" max="6" width="11.33203125" bestFit="1" customWidth="1"/>
    <col min="7" max="7" width="13.6640625" bestFit="1" customWidth="1"/>
    <col min="8" max="8" width="12.77734375" bestFit="1" customWidth="1"/>
    <col min="9" max="10" width="10.21875" bestFit="1" customWidth="1"/>
    <col min="11" max="11" width="10.33203125" bestFit="1" customWidth="1"/>
    <col min="12" max="12" width="10.21875" bestFit="1" customWidth="1"/>
    <col min="13" max="13" width="10.5546875" bestFit="1" customWidth="1"/>
    <col min="14" max="14" width="9.109375" bestFit="1" customWidth="1"/>
    <col min="15" max="15" width="12.21875" bestFit="1" customWidth="1"/>
    <col min="16" max="16" width="4.88671875" bestFit="1" customWidth="1"/>
    <col min="17" max="17" width="14.77734375" bestFit="1" customWidth="1"/>
    <col min="18" max="18" width="10.6640625" bestFit="1" customWidth="1"/>
    <col min="19" max="19" width="15.21875" bestFit="1" customWidth="1"/>
    <col min="20" max="20" width="13.44140625" customWidth="1"/>
    <col min="21" max="21" width="9.109375" bestFit="1" customWidth="1"/>
    <col min="22" max="22" width="11.77734375" bestFit="1" customWidth="1"/>
    <col min="23" max="23" width="4.88671875" bestFit="1" customWidth="1"/>
    <col min="24" max="24" width="14" bestFit="1" customWidth="1"/>
  </cols>
  <sheetData>
    <row r="2" spans="2:24" x14ac:dyDescent="0.25">
      <c r="B2" s="31" t="s">
        <v>36</v>
      </c>
      <c r="C2" s="32"/>
      <c r="D2" s="32"/>
      <c r="E2" s="32"/>
      <c r="F2" s="32"/>
      <c r="G2" s="32"/>
      <c r="H2" s="32"/>
      <c r="I2" s="33"/>
    </row>
    <row r="4" spans="2:24" x14ac:dyDescent="0.25">
      <c r="B4" s="5" t="s">
        <v>66</v>
      </c>
      <c r="C4" s="6">
        <v>149597870700</v>
      </c>
      <c r="D4" s="6"/>
    </row>
    <row r="5" spans="2:24" x14ac:dyDescent="0.25">
      <c r="B5" s="5" t="s">
        <v>10</v>
      </c>
      <c r="C5" s="12">
        <v>6.67E-11</v>
      </c>
      <c r="D5" s="12"/>
    </row>
    <row r="6" spans="2:24" ht="17.25" x14ac:dyDescent="0.25">
      <c r="B6" s="5" t="s">
        <v>53</v>
      </c>
      <c r="C6" s="12">
        <v>5.9720000000000003E+24</v>
      </c>
      <c r="D6" s="12"/>
    </row>
    <row r="7" spans="2:24" ht="17.25" x14ac:dyDescent="0.25">
      <c r="B7" s="5" t="s">
        <v>54</v>
      </c>
      <c r="C7" s="12">
        <v>1.9889999999999999E+30</v>
      </c>
      <c r="D7" s="12"/>
    </row>
    <row r="9" spans="2:24" x14ac:dyDescent="0.25">
      <c r="B9" s="31" t="s">
        <v>79</v>
      </c>
      <c r="C9" s="32"/>
      <c r="D9" s="32"/>
      <c r="E9" s="32"/>
      <c r="F9" s="32"/>
      <c r="G9" s="32"/>
      <c r="H9" s="32"/>
      <c r="I9" s="33"/>
    </row>
    <row r="11" spans="2:24" ht="18" thickBot="1" x14ac:dyDescent="0.3">
      <c r="C11" s="17" t="s">
        <v>50</v>
      </c>
      <c r="D11" s="17" t="s">
        <v>67</v>
      </c>
      <c r="E11" s="17" t="s">
        <v>55</v>
      </c>
      <c r="F11" s="17" t="s">
        <v>56</v>
      </c>
      <c r="G11" s="17" t="s">
        <v>68</v>
      </c>
      <c r="H11" s="17" t="s">
        <v>69</v>
      </c>
      <c r="I11" s="17" t="s">
        <v>70</v>
      </c>
      <c r="J11" s="17" t="s">
        <v>71</v>
      </c>
      <c r="K11" s="17" t="s">
        <v>72</v>
      </c>
      <c r="L11" s="17" t="s">
        <v>73</v>
      </c>
      <c r="M11" s="17" t="s">
        <v>74</v>
      </c>
      <c r="N11" s="17" t="s">
        <v>52</v>
      </c>
      <c r="O11" s="17" t="s">
        <v>57</v>
      </c>
      <c r="P11" s="17" t="s">
        <v>58</v>
      </c>
      <c r="Q11" s="45" t="s">
        <v>64</v>
      </c>
      <c r="R11" s="17" t="s">
        <v>76</v>
      </c>
      <c r="S11" s="17" t="s">
        <v>77</v>
      </c>
      <c r="T11" s="17" t="s">
        <v>80</v>
      </c>
      <c r="U11" s="1"/>
      <c r="V11" s="1"/>
      <c r="W11" s="1"/>
      <c r="X11" s="1"/>
    </row>
    <row r="12" spans="2:24" ht="16.5" thickBot="1" x14ac:dyDescent="0.3">
      <c r="B12" s="36" t="s">
        <v>46</v>
      </c>
      <c r="C12">
        <v>0</v>
      </c>
      <c r="D12" s="39">
        <f>$C12*$C$4</f>
        <v>0</v>
      </c>
      <c r="E12" s="42" t="s">
        <v>75</v>
      </c>
      <c r="F12" s="41">
        <f>0.3*$C$7</f>
        <v>5.9669999999999996E+29</v>
      </c>
      <c r="G12" s="37">
        <v>0</v>
      </c>
      <c r="H12" s="38">
        <v>0</v>
      </c>
      <c r="I12" s="37">
        <v>0</v>
      </c>
      <c r="J12" s="38">
        <v>0</v>
      </c>
      <c r="K12" s="37">
        <v>0</v>
      </c>
      <c r="L12" s="38">
        <v>0</v>
      </c>
      <c r="M12" s="44">
        <v>181840000</v>
      </c>
      <c r="N12" s="11">
        <f>$M12/$C$4</f>
        <v>1.2155253223132942E-3</v>
      </c>
      <c r="O12" s="35">
        <v>15</v>
      </c>
      <c r="P12" s="49" t="s">
        <v>59</v>
      </c>
      <c r="Q12" s="46">
        <f>DEGREES(ATAN2(ABS($D$13-$D12), $M12))</f>
        <v>0.87486254086118964</v>
      </c>
      <c r="R12" s="1" t="s">
        <v>65</v>
      </c>
      <c r="S12" s="1" t="s">
        <v>65</v>
      </c>
      <c r="T12" s="50" t="str">
        <f>"{""name"":"""&amp;B12&amp;""",""m"":"&amp;$F12&amp;",""x"":"&amp;$G12&amp;",""y"":"&amp;$H12&amp;",""vx"":"&amp;I12&amp;",""vy"":"&amp;J12&amp;",""ax"":"&amp;K12&amp;",""ay"":"&amp;L12&amp;",""rshow"":"&amp;$O12&amp;",""color"":"""&amp;$P12&amp;"""}"</f>
        <v>{"name":"Sel","m":5.967E+29,"x":0,"y":0,"vx":0,"vy":0,"ax":0,"ay":0,"rshow":15,"color":"#f6b"}</v>
      </c>
    </row>
    <row r="13" spans="2:24" ht="16.5" thickBot="1" x14ac:dyDescent="0.3">
      <c r="B13" s="56" t="s">
        <v>48</v>
      </c>
      <c r="C13" s="57">
        <v>7.9600000000000004E-2</v>
      </c>
      <c r="D13" s="58">
        <f>$C13*$C$4</f>
        <v>11907990507.720001</v>
      </c>
      <c r="E13" s="35">
        <f>1.2*PI()</f>
        <v>3.7699111843077517</v>
      </c>
      <c r="F13" s="59">
        <f>0.87*$C$6</f>
        <v>5.1956400000000002E+24</v>
      </c>
      <c r="G13" s="58">
        <f>COS($E13)*$D13</f>
        <v>-9633766689.6010418</v>
      </c>
      <c r="H13" s="58">
        <f>SIN($E13)*$D13</f>
        <v>-6999341204.8765745</v>
      </c>
      <c r="I13" s="60">
        <f>-SIN($E13) * SQRT($C$5 * $F$12 / $D13)</f>
        <v>33981.330665542555</v>
      </c>
      <c r="J13" s="60">
        <f>COS($E13) * SQRT($C$5 * $F$12 / $D13)</f>
        <v>-46771.289161605462</v>
      </c>
      <c r="K13" s="60">
        <f>-COS($E13) * $C$5 * $F$12 / ($D13 * $D13)</f>
        <v>0.22707146231803801</v>
      </c>
      <c r="L13" s="60">
        <f>-SIN($E13) * $C$5 * $F$12 / ($D13 * $D13)</f>
        <v>0.16497707427042133</v>
      </c>
      <c r="M13" s="61">
        <v>6371000</v>
      </c>
      <c r="N13" s="62" t="s">
        <v>75</v>
      </c>
      <c r="O13" s="35">
        <v>6</v>
      </c>
      <c r="P13" s="63" t="s">
        <v>61</v>
      </c>
      <c r="Q13" s="64" t="s">
        <v>75</v>
      </c>
      <c r="R13" s="60">
        <f>2*PI()*SQRT($D13*$D13*$D13/$C$5/$F$12)</f>
        <v>1294185.8649170408</v>
      </c>
      <c r="S13" s="65">
        <f>$R13/60/60/24</f>
        <v>14.979003066169454</v>
      </c>
      <c r="T13" s="50" t="str">
        <f>"{""name"":"""&amp;B13&amp;""",""m"":"&amp;$F13&amp;",""x"":"&amp;$G13&amp;",""y"":"&amp;$H13&amp;",""vx"":"&amp;I13&amp;",""vy"":"&amp;J13&amp;",""ax"":"&amp;K13&amp;",""ay"":"&amp;L13&amp;",""rshow"":"&amp;$O13&amp;",""color"":"""&amp;$P13&amp;"""}"</f>
        <v>{"name":"Lintŵ","m":5.19564E+24,"x":-9633766689.60104,"y":-6999341204.87657,"vx":33981.3306655426,"vy":-46771.2891616055,"ax":0.227071462318038,"ay":0.164977074270421,"rshow":6,"color":"#b8f"}</v>
      </c>
    </row>
    <row r="14" spans="2:24" ht="16.5" thickBot="1" x14ac:dyDescent="0.3">
      <c r="B14" s="36" t="s">
        <v>47</v>
      </c>
      <c r="C14" s="19">
        <v>3.78E-2</v>
      </c>
      <c r="D14" s="39">
        <f>$C14*$C$4</f>
        <v>5654799512.46</v>
      </c>
      <c r="E14" s="3">
        <f>0*PI()</f>
        <v>0</v>
      </c>
      <c r="F14" s="41">
        <f>312*$C$6</f>
        <v>1.8632640000000002E+27</v>
      </c>
      <c r="G14" s="39">
        <f t="shared" ref="G14:G16" si="0">COS($E14)*$D14</f>
        <v>5654799512.46</v>
      </c>
      <c r="H14" s="39">
        <f t="shared" ref="H14:H16" si="1">SIN($E14)*$D14</f>
        <v>0</v>
      </c>
      <c r="I14" s="60">
        <f t="shared" ref="I14:I16" si="2">-SIN($E14) * SQRT($C$5 * $F$12 / $D14)</f>
        <v>0</v>
      </c>
      <c r="J14" s="60">
        <f t="shared" ref="J14:J16" si="3">COS($E14) * SQRT($C$5 * $F$12 / $D14)</f>
        <v>83894.275895839994</v>
      </c>
      <c r="K14" s="60">
        <f t="shared" ref="K14:K16" si="4">-COS($E14) * $C$5 * $F$12 / ($D14 * $D14)</f>
        <v>-1.2446505862107</v>
      </c>
      <c r="L14" s="60">
        <f t="shared" ref="L14:L16" si="5">-SIN($E14) * $C$5 * $F$12 / ($D14 * $D14)</f>
        <v>0</v>
      </c>
      <c r="M14" s="44">
        <v>108971000</v>
      </c>
      <c r="N14" s="11">
        <f>$M14/$C$4</f>
        <v>7.2842614330071473E-4</v>
      </c>
      <c r="O14" s="35">
        <v>10</v>
      </c>
      <c r="P14" s="49" t="s">
        <v>60</v>
      </c>
      <c r="Q14" s="46">
        <f>DEGREES(ATAN2(ABS($D$13-$D14), $M14))</f>
        <v>0.99836171471810764</v>
      </c>
      <c r="R14" s="40">
        <f>2*PI()*SQRT($D14*$D14*$D14/$C$5/$F$12)</f>
        <v>423511.05403004942</v>
      </c>
      <c r="S14" s="46">
        <f t="shared" ref="S14:S16" si="6">$R14/60/60/24</f>
        <v>4.9017483105329793</v>
      </c>
      <c r="T14" s="50" t="str">
        <f t="shared" ref="T14:T16" si="7">"{""name"":"""&amp;B14&amp;""",""m"":"&amp;$F14&amp;",""x"":"&amp;$G14&amp;",""y"":"&amp;$H14&amp;",""vx"":"&amp;I14&amp;",""vy"":"&amp;J14&amp;",""ax"":"&amp;K14&amp;",""ay"":"&amp;L14&amp;",""rshow"":"&amp;$O14&amp;",""color"":"""&amp;$P14&amp;"""}"</f>
        <v>{"name":"Cuaboŵvyu","m":1.863264E+27,"x":5654799512.46,"y":0,"vx":0,"vy":83894.27589584,"ax":-1.2446505862107,"ay":0,"rshow":10,"color":"#753"}</v>
      </c>
    </row>
    <row r="15" spans="2:24" ht="16.5" thickBot="1" x14ac:dyDescent="0.3">
      <c r="B15" s="36" t="s">
        <v>49</v>
      </c>
      <c r="C15" s="19">
        <v>0.11509999999999999</v>
      </c>
      <c r="D15" s="39">
        <f t="shared" ref="D15:D16" si="8">$C15*$C$4</f>
        <v>17218714917.57</v>
      </c>
      <c r="E15" s="3">
        <f>0.8*PI()</f>
        <v>2.5132741228718345</v>
      </c>
      <c r="F15" s="41">
        <f>238*$C$6</f>
        <v>1.421336E+27</v>
      </c>
      <c r="G15" s="39">
        <f t="shared" si="0"/>
        <v>-13930232989.611549</v>
      </c>
      <c r="H15" s="39">
        <f t="shared" si="1"/>
        <v>10120906691.976055</v>
      </c>
      <c r="I15" s="60">
        <f t="shared" si="2"/>
        <v>-28259.160324202414</v>
      </c>
      <c r="J15" s="60">
        <f t="shared" si="3"/>
        <v>-38895.397357928501</v>
      </c>
      <c r="K15" s="60">
        <f t="shared" si="4"/>
        <v>0.10860205545444634</v>
      </c>
      <c r="L15" s="60">
        <f t="shared" si="5"/>
        <v>-7.8904011916451869E-2</v>
      </c>
      <c r="M15" s="47">
        <v>88255000</v>
      </c>
      <c r="N15" s="11">
        <f>$M15/$C$4</f>
        <v>5.8994823647580169E-4</v>
      </c>
      <c r="O15" s="35">
        <v>9</v>
      </c>
      <c r="P15" s="49" t="s">
        <v>62</v>
      </c>
      <c r="Q15" s="46">
        <f>DEGREES(ATAN2(ABS($D$13-$D15), $M15))</f>
        <v>0.95206853458861984</v>
      </c>
      <c r="R15" s="40">
        <f t="shared" ref="R15:R16" si="9">2*PI()*SQRT($D15*$D15*$D15/$C$5/$F$12)</f>
        <v>2250298.0093112267</v>
      </c>
      <c r="S15" s="46">
        <f t="shared" si="6"/>
        <v>26.045115848509568</v>
      </c>
      <c r="T15" s="50" t="str">
        <f t="shared" si="7"/>
        <v>{"name":"Waŵfiŵ","m":1.421336E+27,"x":-13930232989.6115,"y":10120906691.9761,"vx":-28259.1603242024,"vy":-38895.3973579285,"ax":0.108602055454446,"ay":-0.0789040119164519,"rshow":9,"color":"#645"}</v>
      </c>
    </row>
    <row r="16" spans="2:24" ht="16.5" thickBot="1" x14ac:dyDescent="0.3">
      <c r="B16" s="36" t="s">
        <v>51</v>
      </c>
      <c r="C16" s="19">
        <v>0.1908</v>
      </c>
      <c r="D16" s="39">
        <f t="shared" si="8"/>
        <v>28543273729.560001</v>
      </c>
      <c r="E16" s="3">
        <f>0.9*PI()</f>
        <v>2.8274333882308138</v>
      </c>
      <c r="F16" s="41">
        <f>3.91*$C$6</f>
        <v>2.3350520000000001E+25</v>
      </c>
      <c r="G16" s="39">
        <f t="shared" si="0"/>
        <v>-27146266476.89431</v>
      </c>
      <c r="H16" s="39">
        <f t="shared" si="1"/>
        <v>8820356657.5300293</v>
      </c>
      <c r="I16" s="60">
        <f t="shared" si="2"/>
        <v>-11539.085963580259</v>
      </c>
      <c r="J16" s="60">
        <f t="shared" si="3"/>
        <v>-35513.654904160998</v>
      </c>
      <c r="K16" s="60">
        <f t="shared" si="4"/>
        <v>4.646015265949488E-2</v>
      </c>
      <c r="L16" s="60">
        <f t="shared" si="5"/>
        <v>-1.5095818689057537E-2</v>
      </c>
      <c r="M16" s="48">
        <v>8814000</v>
      </c>
      <c r="N16" s="42" t="s">
        <v>65</v>
      </c>
      <c r="O16" s="35">
        <v>7</v>
      </c>
      <c r="P16" s="49" t="s">
        <v>63</v>
      </c>
      <c r="Q16" s="46">
        <f>DEGREES(ATAN2(ABS($D$13-$D16), $M16))</f>
        <v>3.0357460503525717E-2</v>
      </c>
      <c r="R16" s="40">
        <f t="shared" si="9"/>
        <v>4802801.1516330764</v>
      </c>
      <c r="S16" s="46">
        <f t="shared" si="6"/>
        <v>55.58797629204949</v>
      </c>
      <c r="T16" s="50" t="str">
        <f t="shared" si="7"/>
        <v>{"name":"Na:bal","m":2.335052E+25,"x":-27146266476.8943,"y":8820356657.53003,"vx":-11539.0859635803,"vy":-35513.654904161,"ax":0.0464601526594949,"ay":-0.0150958186890575,"rshow":7,"color":"#426"}</v>
      </c>
    </row>
    <row r="17" spans="2:17" x14ac:dyDescent="0.25">
      <c r="Q17" s="43" t="s">
        <v>78</v>
      </c>
    </row>
    <row r="18" spans="2:17" ht="187.5" customHeight="1" x14ac:dyDescent="0.25">
      <c r="B18" s="55" t="str">
        <f>"["&amp;$T$12&amp;","&amp;$T$13&amp;","&amp;$T$14&amp;","&amp;$T$15&amp;","&amp;$T$16&amp;"]"</f>
        <v>[{"name":"Sel","m":5.967E+29,"x":0,"y":0,"vx":0,"vy":0,"ax":0,"ay":0,"rshow":15,"color":"#f6b"},{"name":"Lintŵ","m":5.19564E+24,"x":-9633766689.60104,"y":-6999341204.87657,"vx":33981.3306655426,"vy":-46771.2891616055,"ax":0.227071462318038,"ay":0.164977074270421,"rshow":6,"color":"#b8f"},{"name":"Cuaboŵvyu","m":1.863264E+27,"x":5654799512.46,"y":0,"vx":0,"vy":83894.27589584,"ax":-1.2446505862107,"ay":0,"rshow":10,"color":"#753"},{"name":"Waŵfiŵ","m":1.421336E+27,"x":-13930232989.6115,"y":10120906691.9761,"vx":-28259.1603242024,"vy":-38895.3973579285,"ax":0.108602055454446,"ay":-0.0789040119164519,"rshow":9,"color":"#645"},{"name":"Na:bal","m":2.335052E+25,"x":-27146266476.8943,"y":8820356657.53003,"vx":-11539.0859635803,"vy":-35513.654904161,"ax":0.0464601526594949,"ay":-0.0150958186890575,"rshow":7,"color":"#426"}]</v>
      </c>
      <c r="C18" s="55"/>
      <c r="D18" s="55"/>
      <c r="E18" s="55"/>
      <c r="F18" s="55"/>
      <c r="G18" s="55"/>
      <c r="H18" s="55"/>
      <c r="I18" s="55"/>
      <c r="Q18" s="43"/>
    </row>
    <row r="19" spans="2:17" x14ac:dyDescent="0.25">
      <c r="F19" s="8"/>
    </row>
    <row r="20" spans="2:17" x14ac:dyDescent="0.25">
      <c r="B20" s="31" t="s">
        <v>33</v>
      </c>
      <c r="C20" s="32"/>
      <c r="D20" s="32"/>
      <c r="E20" s="32"/>
      <c r="F20" s="32"/>
      <c r="G20" s="32"/>
      <c r="H20" s="32"/>
      <c r="I20" s="33"/>
    </row>
    <row r="22" spans="2:17" x14ac:dyDescent="0.25">
      <c r="B22" s="34" t="s">
        <v>34</v>
      </c>
      <c r="C22" s="6"/>
      <c r="D22" s="6"/>
    </row>
    <row r="23" spans="2:17" ht="17.25" x14ac:dyDescent="0.25">
      <c r="B23" s="5" t="s">
        <v>38</v>
      </c>
      <c r="C23" s="6">
        <v>1.2999999999999999E-2</v>
      </c>
      <c r="D23" s="6"/>
    </row>
    <row r="24" spans="2:17" x14ac:dyDescent="0.25">
      <c r="B24" s="51" t="s">
        <v>40</v>
      </c>
      <c r="C24" s="15">
        <f>1/$C$23</f>
        <v>76.92307692307692</v>
      </c>
      <c r="D24" s="6" t="s">
        <v>22</v>
      </c>
    </row>
    <row r="25" spans="2:17" x14ac:dyDescent="0.25">
      <c r="B25" s="5" t="s">
        <v>42</v>
      </c>
      <c r="C25" s="52">
        <f>SQRT(1/$C$24)</f>
        <v>0.11401754250991381</v>
      </c>
      <c r="D25" s="6" t="s">
        <v>2</v>
      </c>
    </row>
    <row r="26" spans="2:17" x14ac:dyDescent="0.25">
      <c r="B26" s="6"/>
      <c r="C26" s="53" t="s">
        <v>25</v>
      </c>
      <c r="D26" s="6"/>
      <c r="E26" s="30" t="s">
        <v>28</v>
      </c>
    </row>
    <row r="27" spans="2:17" x14ac:dyDescent="0.25">
      <c r="B27" s="5" t="s">
        <v>27</v>
      </c>
      <c r="C27" s="54">
        <v>7.0000000000000007E-2</v>
      </c>
      <c r="D27" s="6" t="s">
        <v>2</v>
      </c>
    </row>
    <row r="28" spans="2:17" x14ac:dyDescent="0.25">
      <c r="B28" s="6"/>
      <c r="C28" s="6"/>
      <c r="D28" s="6"/>
    </row>
    <row r="29" spans="2:17" ht="16.5" thickBot="1" x14ac:dyDescent="0.3">
      <c r="B29" s="34" t="s">
        <v>35</v>
      </c>
      <c r="C29" s="6"/>
      <c r="D29" s="6"/>
    </row>
    <row r="30" spans="2:17" ht="18" thickBot="1" x14ac:dyDescent="0.3">
      <c r="B30" s="5" t="s">
        <v>39</v>
      </c>
      <c r="C30" s="3">
        <v>5.0000000000000001E-3</v>
      </c>
      <c r="D30" s="6"/>
    </row>
    <row r="31" spans="2:17" x14ac:dyDescent="0.25">
      <c r="B31" s="51" t="s">
        <v>41</v>
      </c>
      <c r="C31" s="15">
        <f>1/$C$30</f>
        <v>200</v>
      </c>
      <c r="D31" s="6" t="s">
        <v>22</v>
      </c>
    </row>
    <row r="32" spans="2:17" x14ac:dyDescent="0.25">
      <c r="B32" s="5" t="s">
        <v>42</v>
      </c>
      <c r="C32" s="52">
        <f>SQRT(1/$C$31)</f>
        <v>7.0710678118654752E-2</v>
      </c>
      <c r="D32" s="6" t="s">
        <v>2</v>
      </c>
    </row>
    <row r="33" spans="2:9" x14ac:dyDescent="0.25">
      <c r="B33" s="6"/>
      <c r="C33" s="53" t="s">
        <v>25</v>
      </c>
      <c r="D33" s="6"/>
      <c r="E33" s="30" t="s">
        <v>29</v>
      </c>
    </row>
    <row r="34" spans="2:9" x14ac:dyDescent="0.25">
      <c r="B34" s="5" t="s">
        <v>26</v>
      </c>
      <c r="C34" s="52">
        <f>$C$13</f>
        <v>7.9600000000000004E-2</v>
      </c>
      <c r="D34" s="6" t="s">
        <v>2</v>
      </c>
    </row>
    <row r="36" spans="2:9" x14ac:dyDescent="0.25">
      <c r="B36" s="5"/>
      <c r="C36" s="12"/>
      <c r="D36" s="12"/>
      <c r="E36" s="6"/>
      <c r="F36" s="6"/>
      <c r="G36" s="6"/>
      <c r="H36" s="6"/>
    </row>
    <row r="37" spans="2:9" x14ac:dyDescent="0.25">
      <c r="B37" s="31" t="s">
        <v>43</v>
      </c>
      <c r="C37" s="32"/>
      <c r="D37" s="32"/>
      <c r="E37" s="32"/>
      <c r="F37" s="32"/>
      <c r="G37" s="32"/>
      <c r="H37" s="32"/>
      <c r="I37" s="33"/>
    </row>
    <row r="38" spans="2:9" x14ac:dyDescent="0.25">
      <c r="B38" s="21" t="s">
        <v>37</v>
      </c>
    </row>
    <row r="39" spans="2:9" x14ac:dyDescent="0.25">
      <c r="B39" s="21" t="s">
        <v>17</v>
      </c>
    </row>
  </sheetData>
  <mergeCells count="1">
    <mergeCell ref="B18:I18"/>
  </mergeCells>
  <phoneticPr fontId="10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9"/>
  <sheetViews>
    <sheetView workbookViewId="0">
      <selection activeCell="H20" sqref="H20"/>
    </sheetView>
  </sheetViews>
  <sheetFormatPr defaultRowHeight="15.75" x14ac:dyDescent="0.25"/>
  <cols>
    <col min="1" max="1" width="2.44140625" customWidth="1"/>
    <col min="2" max="2" width="22.109375" customWidth="1"/>
    <col min="3" max="3" width="12.88671875" customWidth="1"/>
    <col min="5" max="5" width="11.33203125" bestFit="1" customWidth="1"/>
    <col min="7" max="7" width="12.77734375" bestFit="1" customWidth="1"/>
  </cols>
  <sheetData>
    <row r="2" spans="2:8" x14ac:dyDescent="0.25">
      <c r="B2" s="17" t="s">
        <v>5</v>
      </c>
    </row>
    <row r="3" spans="2:8" x14ac:dyDescent="0.25">
      <c r="C3" s="17" t="s">
        <v>30</v>
      </c>
      <c r="G3" s="17" t="s">
        <v>32</v>
      </c>
    </row>
    <row r="4" spans="2:8" x14ac:dyDescent="0.25">
      <c r="E4" s="17" t="s">
        <v>31</v>
      </c>
    </row>
    <row r="10" spans="2:8" ht="16.5" thickBot="1" x14ac:dyDescent="0.3">
      <c r="B10" s="31" t="s">
        <v>5</v>
      </c>
      <c r="C10" s="32"/>
      <c r="D10" s="32"/>
      <c r="E10" s="32"/>
      <c r="F10" s="32"/>
      <c r="G10" s="32"/>
      <c r="H10" s="33"/>
    </row>
    <row r="11" spans="2:8" ht="16.5" thickBot="1" x14ac:dyDescent="0.3">
      <c r="B11" s="5" t="s">
        <v>6</v>
      </c>
      <c r="C11" s="11">
        <f>$E$11/$C$52</f>
        <v>1.2155253223132942E-3</v>
      </c>
      <c r="D11" s="6" t="s">
        <v>3</v>
      </c>
      <c r="E11" s="18">
        <v>181840</v>
      </c>
      <c r="F11" s="6" t="s">
        <v>1</v>
      </c>
      <c r="G11" s="6"/>
    </row>
    <row r="12" spans="2:8" ht="16.5" thickBot="1" x14ac:dyDescent="0.3">
      <c r="B12" s="5" t="s">
        <v>7</v>
      </c>
      <c r="C12" s="11">
        <f>DEGREES(ATAN2($C$23, $C$11))</f>
        <v>0.87486254086118975</v>
      </c>
      <c r="D12" s="6" t="s">
        <v>8</v>
      </c>
      <c r="E12" s="9" t="s">
        <v>16</v>
      </c>
      <c r="F12" s="6"/>
      <c r="G12" s="6"/>
    </row>
    <row r="13" spans="2:8" ht="18" thickBot="1" x14ac:dyDescent="0.3">
      <c r="B13" s="5" t="s">
        <v>11</v>
      </c>
      <c r="C13" s="3">
        <v>0.3</v>
      </c>
      <c r="D13" s="16" t="s">
        <v>18</v>
      </c>
      <c r="E13" s="14">
        <f>$C13*$C$55</f>
        <v>5.9669999999999996E+29</v>
      </c>
      <c r="F13" s="13" t="s">
        <v>12</v>
      </c>
      <c r="G13" s="6"/>
    </row>
    <row r="14" spans="2:8" x14ac:dyDescent="0.25">
      <c r="B14" s="6"/>
      <c r="C14" s="6"/>
      <c r="D14" s="6"/>
      <c r="E14" s="6"/>
      <c r="F14" s="6"/>
      <c r="G14" s="6"/>
    </row>
    <row r="15" spans="2:8" ht="16.5" thickBot="1" x14ac:dyDescent="0.3">
      <c r="B15" s="31" t="s">
        <v>30</v>
      </c>
      <c r="C15" s="32"/>
      <c r="D15" s="32"/>
      <c r="E15" s="32"/>
      <c r="F15" s="32"/>
      <c r="G15" s="32"/>
      <c r="H15" s="33"/>
    </row>
    <row r="16" spans="2:8" ht="16.5" thickBot="1" x14ac:dyDescent="0.3">
      <c r="B16" s="5" t="s">
        <v>4</v>
      </c>
      <c r="C16" s="19">
        <v>3.78E-2</v>
      </c>
      <c r="D16" s="6" t="s">
        <v>3</v>
      </c>
      <c r="E16" s="7">
        <f>$C16*$C$52</f>
        <v>5654799.5124599999</v>
      </c>
      <c r="F16" s="6" t="s">
        <v>0</v>
      </c>
      <c r="G16" s="15">
        <f>E16*1000</f>
        <v>5654799512.46</v>
      </c>
      <c r="H16" t="s">
        <v>13</v>
      </c>
    </row>
    <row r="17" spans="2:8" ht="16.5" thickBot="1" x14ac:dyDescent="0.3">
      <c r="B17" s="5" t="s">
        <v>6</v>
      </c>
      <c r="C17" s="11">
        <f>$E$17/$C$52</f>
        <v>7.2842614330071484E-4</v>
      </c>
      <c r="D17" s="6" t="s">
        <v>3</v>
      </c>
      <c r="E17" s="18">
        <v>108971</v>
      </c>
      <c r="F17" s="6" t="s">
        <v>1</v>
      </c>
      <c r="G17" s="6"/>
    </row>
    <row r="18" spans="2:8" ht="16.5" thickBot="1" x14ac:dyDescent="0.3">
      <c r="B18" s="5" t="s">
        <v>7</v>
      </c>
      <c r="C18" s="11">
        <f>DEGREES(ATAN2($C$23-$C$16, $C$17))</f>
        <v>0.99836171471810786</v>
      </c>
      <c r="D18" s="6" t="s">
        <v>8</v>
      </c>
      <c r="E18" s="9" t="s">
        <v>16</v>
      </c>
      <c r="F18" s="6"/>
      <c r="G18" s="6"/>
    </row>
    <row r="19" spans="2:8" ht="18" thickBot="1" x14ac:dyDescent="0.3">
      <c r="B19" s="5" t="s">
        <v>11</v>
      </c>
      <c r="C19" s="35">
        <v>312</v>
      </c>
      <c r="D19" s="16" t="s">
        <v>19</v>
      </c>
      <c r="E19" s="14">
        <f>$C19*$C$54</f>
        <v>1.8632640000000002E+27</v>
      </c>
      <c r="F19" s="13" t="s">
        <v>12</v>
      </c>
      <c r="G19" s="6"/>
    </row>
    <row r="20" spans="2:8" x14ac:dyDescent="0.25">
      <c r="B20" s="5" t="s">
        <v>9</v>
      </c>
      <c r="C20" s="14">
        <f>2*PI()*SQRT($G$16*$G$16*$G$16/$C$53/$E$13)</f>
        <v>423511.05403004942</v>
      </c>
      <c r="D20" s="13" t="s">
        <v>14</v>
      </c>
      <c r="E20" s="10">
        <f>$C20/60/60/24</f>
        <v>4.9017483105329793</v>
      </c>
      <c r="F20" s="6" t="s">
        <v>15</v>
      </c>
      <c r="G20" s="6"/>
    </row>
    <row r="21" spans="2:8" x14ac:dyDescent="0.25">
      <c r="B21" s="6"/>
      <c r="C21" s="6"/>
      <c r="D21" s="6"/>
      <c r="E21" s="6"/>
      <c r="F21" s="6"/>
      <c r="G21" s="6"/>
    </row>
    <row r="22" spans="2:8" ht="16.5" thickBot="1" x14ac:dyDescent="0.3">
      <c r="B22" s="31" t="s">
        <v>44</v>
      </c>
      <c r="C22" s="32"/>
      <c r="D22" s="32"/>
      <c r="E22" s="32"/>
      <c r="F22" s="32"/>
      <c r="G22" s="32"/>
      <c r="H22" s="33"/>
    </row>
    <row r="23" spans="2:8" ht="16.5" thickBot="1" x14ac:dyDescent="0.3">
      <c r="B23" s="5" t="s">
        <v>4</v>
      </c>
      <c r="C23" s="20">
        <v>7.9600000000000004E-2</v>
      </c>
      <c r="D23" s="6" t="s">
        <v>3</v>
      </c>
      <c r="E23" s="7">
        <f>$C23*$C$52</f>
        <v>11907990.507719999</v>
      </c>
      <c r="F23" s="6" t="s">
        <v>1</v>
      </c>
      <c r="G23" s="15">
        <f>E23*1000</f>
        <v>11907990507.719999</v>
      </c>
      <c r="H23" t="s">
        <v>13</v>
      </c>
    </row>
    <row r="24" spans="2:8" ht="18" thickBot="1" x14ac:dyDescent="0.3">
      <c r="B24" s="5" t="s">
        <v>11</v>
      </c>
      <c r="C24" s="35">
        <v>0.89</v>
      </c>
      <c r="D24" s="16" t="s">
        <v>19</v>
      </c>
      <c r="E24" s="14">
        <f>$C24*$C$54</f>
        <v>5.3150800000000005E+24</v>
      </c>
      <c r="F24" s="13" t="s">
        <v>12</v>
      </c>
      <c r="G24" s="6"/>
    </row>
    <row r="25" spans="2:8" x14ac:dyDescent="0.25">
      <c r="B25" s="5" t="s">
        <v>9</v>
      </c>
      <c r="C25" s="14">
        <f>2*PI()*SQRT($G$23*$G$23*$G$23/$C$53/$E$13)</f>
        <v>1294185.8649170403</v>
      </c>
      <c r="D25" s="13" t="s">
        <v>14</v>
      </c>
      <c r="E25" s="10">
        <f>$C25/60/60/24</f>
        <v>14.979003066169447</v>
      </c>
      <c r="F25" s="6" t="s">
        <v>15</v>
      </c>
      <c r="G25" s="6"/>
    </row>
    <row r="26" spans="2:8" x14ac:dyDescent="0.25">
      <c r="B26" s="6"/>
      <c r="C26" s="6"/>
      <c r="D26" s="6"/>
      <c r="E26" s="6"/>
      <c r="F26" s="6"/>
      <c r="G26" s="6"/>
    </row>
    <row r="27" spans="2:8" ht="16.5" thickBot="1" x14ac:dyDescent="0.3">
      <c r="B27" s="31" t="s">
        <v>45</v>
      </c>
      <c r="C27" s="32"/>
      <c r="D27" s="32"/>
      <c r="E27" s="32"/>
      <c r="F27" s="32"/>
      <c r="G27" s="32"/>
      <c r="H27" s="33"/>
    </row>
    <row r="28" spans="2:8" ht="16.5" thickBot="1" x14ac:dyDescent="0.3">
      <c r="B28" s="5" t="s">
        <v>4</v>
      </c>
      <c r="C28" s="19">
        <v>0.11509999999999999</v>
      </c>
      <c r="D28" s="6" t="s">
        <v>3</v>
      </c>
      <c r="E28" s="7">
        <f>$C28*$C$52</f>
        <v>17218714.917569999</v>
      </c>
      <c r="F28" s="6" t="s">
        <v>1</v>
      </c>
      <c r="G28" s="15">
        <f>E28*1000</f>
        <v>17218714917.57</v>
      </c>
      <c r="H28" t="s">
        <v>13</v>
      </c>
    </row>
    <row r="29" spans="2:8" ht="16.5" thickBot="1" x14ac:dyDescent="0.3">
      <c r="B29" s="5" t="s">
        <v>6</v>
      </c>
      <c r="C29" s="11">
        <f>$E$29/$C$52</f>
        <v>5.8994823647580169E-4</v>
      </c>
      <c r="D29" s="6" t="s">
        <v>3</v>
      </c>
      <c r="E29" s="18">
        <v>88255</v>
      </c>
      <c r="F29" s="6" t="s">
        <v>1</v>
      </c>
      <c r="G29" s="6"/>
    </row>
    <row r="30" spans="2:8" ht="16.5" thickBot="1" x14ac:dyDescent="0.3">
      <c r="B30" s="5" t="s">
        <v>7</v>
      </c>
      <c r="C30" s="11">
        <f>DEGREES(ATAN2($C$28-$C$23, $C$29))</f>
        <v>0.95206853458861984</v>
      </c>
      <c r="D30" s="6" t="s">
        <v>8</v>
      </c>
      <c r="E30" s="9" t="s">
        <v>16</v>
      </c>
      <c r="F30" s="6"/>
      <c r="G30" s="6"/>
    </row>
    <row r="31" spans="2:8" ht="18" thickBot="1" x14ac:dyDescent="0.3">
      <c r="B31" s="5" t="s">
        <v>11</v>
      </c>
      <c r="C31" s="35">
        <v>238</v>
      </c>
      <c r="D31" s="16" t="s">
        <v>19</v>
      </c>
      <c r="E31" s="14">
        <f>$C31*$C$54</f>
        <v>1.421336E+27</v>
      </c>
      <c r="F31" s="13" t="s">
        <v>12</v>
      </c>
      <c r="G31" s="6"/>
    </row>
    <row r="32" spans="2:8" x14ac:dyDescent="0.25">
      <c r="B32" s="5" t="s">
        <v>9</v>
      </c>
      <c r="C32" s="14">
        <f>2*PI()*SQRT($G$28*$G$28*$G$28/$C$53/$E$13)</f>
        <v>2250298.0093112267</v>
      </c>
      <c r="D32" s="13" t="s">
        <v>14</v>
      </c>
      <c r="E32" s="10">
        <f>$C32/60/60/24</f>
        <v>26.045115848509568</v>
      </c>
      <c r="F32" s="6" t="s">
        <v>15</v>
      </c>
      <c r="G32" s="6"/>
    </row>
    <row r="33" spans="2:8" x14ac:dyDescent="0.25">
      <c r="E33" s="8"/>
    </row>
    <row r="34" spans="2:8" x14ac:dyDescent="0.25">
      <c r="B34" s="31" t="s">
        <v>33</v>
      </c>
      <c r="C34" s="32"/>
      <c r="D34" s="32"/>
      <c r="E34" s="32"/>
      <c r="F34" s="32"/>
      <c r="G34" s="32"/>
      <c r="H34" s="33"/>
    </row>
    <row r="35" spans="2:8" ht="17.25" x14ac:dyDescent="0.25">
      <c r="B35" s="4" t="s">
        <v>24</v>
      </c>
      <c r="C35" s="2">
        <v>1</v>
      </c>
      <c r="D35" s="2"/>
    </row>
    <row r="37" spans="2:8" x14ac:dyDescent="0.25">
      <c r="B37" s="34" t="s">
        <v>34</v>
      </c>
    </row>
    <row r="38" spans="2:8" ht="17.25" x14ac:dyDescent="0.25">
      <c r="B38" s="4" t="s">
        <v>38</v>
      </c>
      <c r="C38" s="2">
        <v>1.2999999999999999E-2</v>
      </c>
      <c r="D38" s="2"/>
    </row>
    <row r="39" spans="2:8" x14ac:dyDescent="0.25">
      <c r="B39" s="23" t="s">
        <v>40</v>
      </c>
      <c r="C39" s="26">
        <f>$C$35/$C$38</f>
        <v>76.92307692307692</v>
      </c>
      <c r="D39" s="2" t="s">
        <v>22</v>
      </c>
    </row>
    <row r="40" spans="2:8" x14ac:dyDescent="0.25">
      <c r="B40" s="4" t="s">
        <v>42</v>
      </c>
      <c r="C40" s="29">
        <f>SQRT(1/$C$39)</f>
        <v>0.11401754250991381</v>
      </c>
      <c r="D40" s="2" t="s">
        <v>23</v>
      </c>
    </row>
    <row r="41" spans="2:8" x14ac:dyDescent="0.25">
      <c r="C41" s="1" t="s">
        <v>25</v>
      </c>
      <c r="E41" s="30" t="s">
        <v>28</v>
      </c>
    </row>
    <row r="42" spans="2:8" x14ac:dyDescent="0.25">
      <c r="B42" s="4" t="s">
        <v>27</v>
      </c>
      <c r="C42" s="28">
        <v>7.0000000000000007E-2</v>
      </c>
      <c r="D42" s="2" t="s">
        <v>23</v>
      </c>
    </row>
    <row r="44" spans="2:8" ht="16.5" thickBot="1" x14ac:dyDescent="0.3">
      <c r="B44" s="34" t="s">
        <v>35</v>
      </c>
    </row>
    <row r="45" spans="2:8" ht="18" thickBot="1" x14ac:dyDescent="0.3">
      <c r="B45" s="24" t="s">
        <v>39</v>
      </c>
      <c r="C45" s="3">
        <v>5.0000000000000001E-3</v>
      </c>
      <c r="D45" s="25"/>
    </row>
    <row r="46" spans="2:8" x14ac:dyDescent="0.25">
      <c r="B46" s="23" t="s">
        <v>41</v>
      </c>
      <c r="C46" s="27">
        <f>$C$35/$C$45</f>
        <v>200</v>
      </c>
      <c r="D46" s="2" t="s">
        <v>22</v>
      </c>
    </row>
    <row r="47" spans="2:8" x14ac:dyDescent="0.25">
      <c r="B47" s="4" t="s">
        <v>42</v>
      </c>
      <c r="C47" s="29">
        <f>SQRT(1/$C$46)</f>
        <v>7.0710678118654752E-2</v>
      </c>
      <c r="D47" s="2" t="s">
        <v>23</v>
      </c>
    </row>
    <row r="48" spans="2:8" x14ac:dyDescent="0.25">
      <c r="C48" s="1" t="s">
        <v>25</v>
      </c>
      <c r="E48" s="30" t="s">
        <v>29</v>
      </c>
    </row>
    <row r="49" spans="2:8" x14ac:dyDescent="0.25">
      <c r="B49" s="4" t="s">
        <v>26</v>
      </c>
      <c r="C49" s="29">
        <f>$C$23</f>
        <v>7.9600000000000004E-2</v>
      </c>
      <c r="D49" s="2" t="s">
        <v>23</v>
      </c>
    </row>
    <row r="51" spans="2:8" x14ac:dyDescent="0.25">
      <c r="B51" s="31" t="s">
        <v>36</v>
      </c>
      <c r="C51" s="32"/>
      <c r="D51" s="32"/>
      <c r="E51" s="32"/>
      <c r="F51" s="32"/>
      <c r="G51" s="32"/>
      <c r="H51" s="33"/>
    </row>
    <row r="52" spans="2:8" x14ac:dyDescent="0.25">
      <c r="B52" s="4" t="s">
        <v>2</v>
      </c>
      <c r="C52" s="2">
        <v>149597870.69999999</v>
      </c>
      <c r="D52" s="2" t="s">
        <v>0</v>
      </c>
      <c r="E52" s="6"/>
      <c r="F52" s="6"/>
      <c r="G52" s="6"/>
    </row>
    <row r="53" spans="2:8" x14ac:dyDescent="0.25">
      <c r="B53" s="4" t="s">
        <v>10</v>
      </c>
      <c r="C53" s="22">
        <v>6.67E-11</v>
      </c>
      <c r="D53" s="2"/>
      <c r="E53" s="6"/>
      <c r="F53" s="6"/>
      <c r="G53" s="6"/>
    </row>
    <row r="54" spans="2:8" ht="17.25" x14ac:dyDescent="0.25">
      <c r="B54" s="4" t="s">
        <v>20</v>
      </c>
      <c r="C54" s="22">
        <v>5.9720000000000003E+24</v>
      </c>
      <c r="D54" s="2" t="s">
        <v>12</v>
      </c>
      <c r="E54" s="6"/>
      <c r="F54" s="6"/>
      <c r="G54" s="6"/>
    </row>
    <row r="55" spans="2:8" ht="17.25" x14ac:dyDescent="0.25">
      <c r="B55" s="4" t="s">
        <v>21</v>
      </c>
      <c r="C55" s="22">
        <v>1.9889999999999999E+30</v>
      </c>
      <c r="D55" s="2" t="s">
        <v>12</v>
      </c>
      <c r="E55" s="6"/>
      <c r="F55" s="6"/>
      <c r="G55" s="6"/>
    </row>
    <row r="56" spans="2:8" x14ac:dyDescent="0.25">
      <c r="B56" s="5"/>
      <c r="C56" s="12"/>
      <c r="D56" s="6"/>
      <c r="E56" s="6"/>
      <c r="F56" s="6"/>
      <c r="G56" s="6"/>
    </row>
    <row r="57" spans="2:8" x14ac:dyDescent="0.25">
      <c r="B57" s="31" t="s">
        <v>43</v>
      </c>
      <c r="C57" s="32"/>
      <c r="D57" s="32"/>
      <c r="E57" s="32"/>
      <c r="F57" s="32"/>
      <c r="G57" s="32"/>
      <c r="H57" s="33"/>
    </row>
    <row r="58" spans="2:8" x14ac:dyDescent="0.25">
      <c r="B58" s="21" t="s">
        <v>37</v>
      </c>
    </row>
    <row r="59" spans="2:8" x14ac:dyDescent="0.25">
      <c r="B59" s="21" t="s">
        <v>17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新</vt:lpstr>
      <vt:lpstr>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</dc:creator>
  <cp:lastModifiedBy>TAKUYA</cp:lastModifiedBy>
  <dcterms:created xsi:type="dcterms:W3CDTF">2015-11-11T19:01:28Z</dcterms:created>
  <dcterms:modified xsi:type="dcterms:W3CDTF">2015-11-14T15:24:43Z</dcterms:modified>
</cp:coreProperties>
</file>