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defaultThemeVersion="166925"/>
  <mc:AlternateContent xmlns:mc="http://schemas.openxmlformats.org/markup-compatibility/2006">
    <mc:Choice Requires="x15">
      <x15ac:absPath xmlns:x15ac="http://schemas.microsoft.com/office/spreadsheetml/2010/11/ac" url="/Users/jamespotvin/1_Ergonomics/_Current Ergo Projects/AFF - Arm Force Field/AFF Spreadsheets/_AFF Worksheet (move hand location)/__Old Stuff/"/>
    </mc:Choice>
  </mc:AlternateContent>
  <xr:revisionPtr revIDLastSave="0" documentId="13_ncr:1_{9BBA0371-5EBF-2F43-86C0-E6CD133C6CB9}" xr6:coauthVersionLast="47" xr6:coauthVersionMax="47" xr10:uidLastSave="{00000000-0000-0000-0000-000000000000}"/>
  <workbookProtection workbookAlgorithmName="SHA-512" workbookHashValue="CnAg8W6nb41Q2IpirJk7Gm9uDSGUVIXPrnVq34qa57CkiwFUud06phSDNN/PbaRME49XAXUN5mL4PdAdvP98pg==" workbookSaltValue="/DOu/CPupdeNgt3APfNiag==" workbookSpinCount="100000" lockStructure="1"/>
  <bookViews>
    <workbookView xWindow="0" yWindow="500" windowWidth="30880" windowHeight="20580" tabRatio="836" xr2:uid="{00000000-000D-0000-FFFF-FFFF00000000}"/>
  </bookViews>
  <sheets>
    <sheet name="Input Data" sheetId="14" r:id="rId1"/>
    <sheet name="Instructions" sheetId="16" r:id="rId2"/>
    <sheet name="Hands wrt Shoulder Axis System" sheetId="3" state="hidden" r:id="rId3"/>
    <sheet name="Lft - Gravity correction" sheetId="4" state="hidden" r:id="rId4"/>
    <sheet name="Rt - Gravity correction" sheetId="2" state="hidden" r:id="rId5"/>
    <sheet name="Lft - ANN 13 nodes" sheetId="10" state="hidden" r:id="rId6"/>
    <sheet name="Rt - ANN 13 nodes" sheetId="8" state="hidden" r:id="rId7"/>
    <sheet name="Min&amp;Max" sheetId="12" state="hidden" r:id="rId8"/>
  </sheets>
  <definedNames>
    <definedName name="ArmL" localSheetId="5">#REF!</definedName>
    <definedName name="ArmL" localSheetId="6">#REF!</definedName>
    <definedName name="ArmL">#REF!</definedName>
    <definedName name="dd" localSheetId="5">#REF!</definedName>
    <definedName name="dd">#REF!</definedName>
    <definedName name="H" localSheetId="5">#REF!</definedName>
    <definedName name="H">#REF!</definedName>
    <definedName name="L" localSheetId="5">#REF!</definedName>
    <definedName name="L">#REF!</definedName>
    <definedName name="_xlnm.Print_Area" localSheetId="0">'Input Data'!$B$2:$R$54</definedName>
    <definedName name="Reach" localSheetId="5">#REF!</definedName>
    <definedName name="Reach">#REF!</definedName>
    <definedName name="V" localSheetId="5">#REF!</definedName>
    <definedName name="V">#REF!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42" i="14" l="1"/>
  <c r="AH52" i="14"/>
  <c r="AS37" i="14"/>
  <c r="AT37" i="14"/>
  <c r="AQ38" i="14"/>
  <c r="M24" i="8"/>
  <c r="T68" i="10"/>
  <c r="U16" i="2"/>
  <c r="U16" i="4"/>
  <c r="F28" i="14"/>
  <c r="AH70" i="14"/>
  <c r="W45" i="14"/>
  <c r="W42" i="14"/>
  <c r="AP15" i="14"/>
  <c r="AR60" i="14"/>
  <c r="AR95" i="14"/>
  <c r="D23" i="14"/>
  <c r="H23" i="14"/>
  <c r="K17" i="2"/>
  <c r="K17" i="4"/>
  <c r="AL84" i="14"/>
  <c r="AL85" i="14"/>
  <c r="AL107" i="14"/>
  <c r="AK107" i="14"/>
  <c r="AJ107" i="14"/>
  <c r="AK88" i="14"/>
  <c r="AJ88" i="14"/>
  <c r="AG88" i="14"/>
  <c r="AF88" i="14"/>
  <c r="AI85" i="14"/>
  <c r="AI84" i="14"/>
  <c r="AL83" i="14"/>
  <c r="F13" i="14"/>
  <c r="G13" i="14"/>
  <c r="F14" i="14"/>
  <c r="G14" i="14"/>
  <c r="G12" i="14"/>
  <c r="F12" i="14"/>
  <c r="AE4" i="14"/>
  <c r="AK36" i="14"/>
  <c r="AL36" i="14"/>
  <c r="AJ36" i="14"/>
  <c r="AK17" i="14"/>
  <c r="AJ17" i="14"/>
  <c r="AG17" i="14"/>
  <c r="AF17" i="14"/>
  <c r="AG32" i="14"/>
  <c r="AG103" i="14"/>
  <c r="AH32" i="14"/>
  <c r="AH103" i="14"/>
  <c r="AF32" i="14"/>
  <c r="AF103" i="14"/>
  <c r="J21" i="14"/>
  <c r="AL18" i="14"/>
  <c r="I21" i="14"/>
  <c r="AK18" i="14"/>
  <c r="AK89" i="14"/>
  <c r="H21" i="14"/>
  <c r="AJ18" i="14"/>
  <c r="AJ89" i="14"/>
  <c r="F21" i="14"/>
  <c r="AH18" i="14"/>
  <c r="E21" i="14"/>
  <c r="D21" i="14"/>
  <c r="AL89" i="14"/>
  <c r="AH89" i="14"/>
  <c r="AF18" i="14"/>
  <c r="AF89" i="14"/>
  <c r="AG18" i="14"/>
  <c r="AG89" i="14"/>
  <c r="E72" i="2"/>
  <c r="E72" i="4"/>
  <c r="Y116" i="14"/>
  <c r="Y62" i="14"/>
  <c r="Y111" i="14"/>
  <c r="Y57" i="14"/>
  <c r="Y110" i="14"/>
  <c r="Y56" i="14"/>
  <c r="Y99" i="14"/>
  <c r="Y45" i="14"/>
  <c r="Y96" i="14"/>
  <c r="Y95" i="14"/>
  <c r="Y41" i="14"/>
  <c r="Y94" i="14"/>
  <c r="Y40" i="14"/>
  <c r="X116" i="14"/>
  <c r="X62" i="14"/>
  <c r="X111" i="14"/>
  <c r="X57" i="14"/>
  <c r="X110" i="14"/>
  <c r="X56" i="14"/>
  <c r="X99" i="14"/>
  <c r="X45" i="14"/>
  <c r="X96" i="14"/>
  <c r="X42" i="14"/>
  <c r="X95" i="14"/>
  <c r="X41" i="14"/>
  <c r="AQ15" i="14"/>
  <c r="X94" i="14"/>
  <c r="X40" i="14"/>
  <c r="W116" i="14"/>
  <c r="W62" i="14"/>
  <c r="W111" i="14"/>
  <c r="W57" i="14"/>
  <c r="W110" i="14"/>
  <c r="W56" i="14"/>
  <c r="W99" i="14"/>
  <c r="V10" i="14"/>
  <c r="W95" i="14"/>
  <c r="W41" i="14"/>
  <c r="AF64" i="14"/>
  <c r="AF136" i="14"/>
  <c r="W96" i="14"/>
  <c r="V25" i="14"/>
  <c r="W94" i="14"/>
  <c r="W40" i="14"/>
  <c r="W14" i="14"/>
  <c r="X14" i="14"/>
  <c r="V14" i="14"/>
  <c r="Y42" i="14"/>
  <c r="X25" i="14"/>
  <c r="AH64" i="14"/>
  <c r="AR15" i="14"/>
  <c r="AG16" i="14"/>
  <c r="AG87" i="14"/>
  <c r="AG64" i="14"/>
  <c r="AH136" i="14"/>
  <c r="AF16" i="14"/>
  <c r="X63" i="14"/>
  <c r="AG15" i="14"/>
  <c r="Y63" i="14"/>
  <c r="X12" i="14"/>
  <c r="AH16" i="14"/>
  <c r="V12" i="14"/>
  <c r="AE16" i="14"/>
  <c r="AE87" i="14"/>
  <c r="W63" i="14"/>
  <c r="X10" i="14"/>
  <c r="W12" i="14"/>
  <c r="W10" i="14"/>
  <c r="AG23" i="14"/>
  <c r="AF30" i="14"/>
  <c r="AF101" i="14"/>
  <c r="AF87" i="14"/>
  <c r="AG30" i="14"/>
  <c r="AG101" i="14"/>
  <c r="AG136" i="14"/>
  <c r="AI64" i="14"/>
  <c r="AG29" i="14"/>
  <c r="AG86" i="14"/>
  <c r="AH30" i="14"/>
  <c r="AH101" i="14"/>
  <c r="AH87" i="14"/>
  <c r="AF23" i="14"/>
  <c r="AF15" i="14"/>
  <c r="AE15" i="14"/>
  <c r="AE86" i="14"/>
  <c r="AH23" i="14"/>
  <c r="AH15" i="14"/>
  <c r="AG22" i="14"/>
  <c r="AP57" i="14"/>
  <c r="W25" i="14"/>
  <c r="K18" i="2"/>
  <c r="K18" i="4"/>
  <c r="D6" i="14"/>
  <c r="AE5" i="14"/>
  <c r="D5" i="14"/>
  <c r="AE6" i="14"/>
  <c r="G4" i="4"/>
  <c r="H4" i="4"/>
  <c r="I4" i="4"/>
  <c r="J4" i="4"/>
  <c r="K4" i="4"/>
  <c r="L4" i="4"/>
  <c r="D5" i="2"/>
  <c r="AF29" i="14"/>
  <c r="AF100" i="14"/>
  <c r="AF86" i="14"/>
  <c r="AG65" i="14"/>
  <c r="AI136" i="14"/>
  <c r="AD87" i="14"/>
  <c r="AG112" i="14"/>
  <c r="AD85" i="14"/>
  <c r="AD83" i="14"/>
  <c r="AD86" i="14"/>
  <c r="AD84" i="14"/>
  <c r="AG100" i="14"/>
  <c r="AH29" i="14"/>
  <c r="AH100" i="14"/>
  <c r="AH86" i="14"/>
  <c r="AF65" i="14"/>
  <c r="AH65" i="14"/>
  <c r="AF22" i="14"/>
  <c r="AH22" i="14"/>
  <c r="AE23" i="14"/>
  <c r="AE22" i="14"/>
  <c r="AD13" i="14"/>
  <c r="AD14" i="14"/>
  <c r="AD12" i="14"/>
  <c r="AD15" i="14"/>
  <c r="AD16" i="14"/>
  <c r="K20" i="14"/>
  <c r="G20" i="14"/>
  <c r="H29" i="14"/>
  <c r="AG111" i="14"/>
  <c r="AG40" i="14"/>
  <c r="AF40" i="14"/>
  <c r="AF111" i="14"/>
  <c r="AF112" i="14"/>
  <c r="AG41" i="14"/>
  <c r="AF41" i="14"/>
  <c r="AF137" i="14"/>
  <c r="AH137" i="14"/>
  <c r="AG137" i="14"/>
  <c r="AI55" i="14"/>
  <c r="AI127" i="14"/>
  <c r="AF55" i="14"/>
  <c r="AF127" i="14"/>
  <c r="AF6" i="14"/>
  <c r="AG6" i="14"/>
  <c r="BE57" i="14"/>
  <c r="AF58" i="14"/>
  <c r="AF130" i="14"/>
  <c r="AS15" i="14"/>
  <c r="AS19" i="14"/>
  <c r="AP19" i="14"/>
  <c r="AQ19" i="14"/>
  <c r="AR19" i="14"/>
  <c r="T68" i="8"/>
  <c r="D14" i="3"/>
  <c r="E14" i="3"/>
  <c r="C14" i="3"/>
  <c r="D13" i="3"/>
  <c r="E13" i="3"/>
  <c r="C13" i="3"/>
  <c r="T60" i="8"/>
  <c r="W60" i="8"/>
  <c r="T60" i="10"/>
  <c r="C10" i="3"/>
  <c r="D10" i="3"/>
  <c r="E10" i="3"/>
  <c r="D9" i="3"/>
  <c r="E9" i="3"/>
  <c r="C9" i="3"/>
  <c r="E11" i="3"/>
  <c r="D11" i="3"/>
  <c r="C11" i="3"/>
  <c r="E6" i="3"/>
  <c r="D6" i="3"/>
  <c r="C6" i="3"/>
  <c r="C5" i="3"/>
  <c r="D5" i="3"/>
  <c r="E5" i="3"/>
  <c r="D4" i="3"/>
  <c r="E4" i="3"/>
  <c r="C4" i="3"/>
  <c r="D38" i="3"/>
  <c r="E38" i="3"/>
  <c r="D32" i="3"/>
  <c r="E32" i="3"/>
  <c r="L38" i="3"/>
  <c r="M38" i="3"/>
  <c r="M32" i="3"/>
  <c r="L32" i="3"/>
  <c r="K38" i="3"/>
  <c r="F5" i="3"/>
  <c r="K32" i="3"/>
  <c r="F4" i="3"/>
  <c r="F10" i="3"/>
  <c r="C38" i="3"/>
  <c r="C32" i="3"/>
  <c r="F9" i="3"/>
  <c r="D47" i="3"/>
  <c r="C47" i="3"/>
  <c r="E28" i="4"/>
  <c r="H28" i="4"/>
  <c r="E47" i="3"/>
  <c r="D48" i="3"/>
  <c r="C48" i="3"/>
  <c r="E48" i="3"/>
  <c r="E3" i="14"/>
  <c r="B4" i="4"/>
  <c r="B4" i="2"/>
  <c r="C4" i="4"/>
  <c r="C4" i="2"/>
  <c r="D29" i="14"/>
  <c r="D33" i="14"/>
  <c r="M4" i="4"/>
  <c r="N4" i="4"/>
  <c r="O4" i="4"/>
  <c r="H33" i="14"/>
  <c r="T74" i="8"/>
  <c r="W74" i="8"/>
  <c r="T74" i="10"/>
  <c r="W74" i="10"/>
  <c r="E15" i="14"/>
  <c r="D15" i="14"/>
  <c r="AG147" i="14"/>
  <c r="AF147" i="14"/>
  <c r="AE147" i="14"/>
  <c r="AD147" i="14"/>
  <c r="K21" i="2"/>
  <c r="L21" i="2"/>
  <c r="K20" i="2"/>
  <c r="L20" i="2"/>
  <c r="K21" i="4"/>
  <c r="L21" i="4"/>
  <c r="K20" i="4"/>
  <c r="L20" i="4"/>
  <c r="AP77" i="14"/>
  <c r="AP85" i="14"/>
  <c r="F25" i="14"/>
  <c r="K19" i="2"/>
  <c r="L19" i="2"/>
  <c r="K19" i="4"/>
  <c r="L19" i="4"/>
  <c r="I23" i="14"/>
  <c r="E23" i="14"/>
  <c r="E6" i="14"/>
  <c r="E5" i="14"/>
  <c r="J25" i="14"/>
  <c r="J23" i="14"/>
  <c r="F23" i="14"/>
  <c r="X7" i="14"/>
  <c r="X11" i="14"/>
  <c r="V7" i="14"/>
  <c r="V11" i="14"/>
  <c r="W7" i="14"/>
  <c r="W11" i="14"/>
  <c r="X22" i="14"/>
  <c r="W68" i="10"/>
  <c r="W22" i="14"/>
  <c r="V22" i="14"/>
  <c r="W59" i="14"/>
  <c r="X34" i="14"/>
  <c r="AW111" i="14"/>
  <c r="AZ111" i="14"/>
  <c r="AW108" i="14"/>
  <c r="AZ108" i="14"/>
  <c r="AP48" i="14"/>
  <c r="BD48" i="14"/>
  <c r="AQ48" i="14"/>
  <c r="AW48" i="14"/>
  <c r="AV48" i="14"/>
  <c r="BC48" i="14"/>
  <c r="AQ53" i="14"/>
  <c r="AP53" i="14"/>
  <c r="AT100" i="14"/>
  <c r="AP60" i="14"/>
  <c r="AV60" i="14"/>
  <c r="BC60" i="14"/>
  <c r="BC61" i="14"/>
  <c r="AU99" i="14"/>
  <c r="AU101" i="14"/>
  <c r="AP59" i="14"/>
  <c r="BE59" i="14"/>
  <c r="AR59" i="14"/>
  <c r="AX59" i="14"/>
  <c r="AP66" i="14"/>
  <c r="AP67" i="14"/>
  <c r="BF67" i="14"/>
  <c r="AS67" i="14"/>
  <c r="AY67" i="14"/>
  <c r="AP68" i="14"/>
  <c r="BF68" i="14"/>
  <c r="AS68" i="14"/>
  <c r="AY68" i="14"/>
  <c r="AV68" i="14"/>
  <c r="BC68" i="14"/>
  <c r="BC69" i="14"/>
  <c r="AV67" i="14"/>
  <c r="BC67" i="14"/>
  <c r="AV66" i="14"/>
  <c r="AV91" i="14"/>
  <c r="AV59" i="14"/>
  <c r="BC59" i="14"/>
  <c r="AP51" i="14"/>
  <c r="AQ51" i="14"/>
  <c r="AV51" i="14"/>
  <c r="AR57" i="14"/>
  <c r="AS77" i="14"/>
  <c r="AR85" i="14"/>
  <c r="AQ50" i="14"/>
  <c r="AS76" i="14"/>
  <c r="AT114" i="14"/>
  <c r="AV57" i="14"/>
  <c r="AV65" i="14"/>
  <c r="BC65" i="14"/>
  <c r="AT117" i="14"/>
  <c r="AS65" i="14"/>
  <c r="AS75" i="14"/>
  <c r="AV117" i="14"/>
  <c r="AP65" i="14"/>
  <c r="AP95" i="14"/>
  <c r="AV49" i="14"/>
  <c r="BC49" i="14"/>
  <c r="AV58" i="14"/>
  <c r="AV89" i="14"/>
  <c r="AV52" i="14"/>
  <c r="BC52" i="14"/>
  <c r="AV100" i="14"/>
  <c r="AR58" i="14"/>
  <c r="AX58" i="14"/>
  <c r="AV104" i="14"/>
  <c r="AV107" i="14"/>
  <c r="AP58" i="14"/>
  <c r="BE58" i="14"/>
  <c r="BF82" i="14"/>
  <c r="AT99" i="14"/>
  <c r="AT101" i="14"/>
  <c r="AQ49" i="14"/>
  <c r="AW49" i="14"/>
  <c r="G4" i="2"/>
  <c r="H4" i="2"/>
  <c r="I4" i="2"/>
  <c r="L14" i="2"/>
  <c r="U17" i="12"/>
  <c r="W17" i="12"/>
  <c r="V17" i="12"/>
  <c r="U18" i="12"/>
  <c r="V18" i="12"/>
  <c r="W18" i="12"/>
  <c r="U19" i="12"/>
  <c r="V19" i="12"/>
  <c r="W19" i="12"/>
  <c r="U20" i="12"/>
  <c r="W20" i="12"/>
  <c r="V20" i="12"/>
  <c r="U21" i="12"/>
  <c r="W21" i="12"/>
  <c r="U22" i="12"/>
  <c r="W22" i="12"/>
  <c r="U23" i="12"/>
  <c r="W23" i="12"/>
  <c r="U24" i="12"/>
  <c r="W24" i="12"/>
  <c r="V24" i="12"/>
  <c r="U25" i="12"/>
  <c r="W25" i="12"/>
  <c r="V25" i="12"/>
  <c r="U26" i="12"/>
  <c r="W26" i="12"/>
  <c r="U27" i="12"/>
  <c r="W27" i="12"/>
  <c r="V27" i="12"/>
  <c r="U28" i="12"/>
  <c r="V28" i="12"/>
  <c r="W28" i="12"/>
  <c r="L14" i="4"/>
  <c r="X17" i="12"/>
  <c r="Z17" i="12"/>
  <c r="X18" i="12"/>
  <c r="Z18" i="12"/>
  <c r="X19" i="12"/>
  <c r="Z19" i="12"/>
  <c r="X20" i="12"/>
  <c r="Z20" i="12"/>
  <c r="X21" i="12"/>
  <c r="Z21" i="12"/>
  <c r="X22" i="12"/>
  <c r="Z22" i="12"/>
  <c r="Y22" i="12"/>
  <c r="X23" i="12"/>
  <c r="Z23" i="12"/>
  <c r="Y23" i="12"/>
  <c r="X24" i="12"/>
  <c r="Z24" i="12"/>
  <c r="X25" i="12"/>
  <c r="Z25" i="12"/>
  <c r="X26" i="12"/>
  <c r="Z26" i="12"/>
  <c r="Y26" i="12"/>
  <c r="X27" i="12"/>
  <c r="Z27" i="12"/>
  <c r="X28" i="12"/>
  <c r="Z28" i="12"/>
  <c r="AB45" i="12"/>
  <c r="AB46" i="12"/>
  <c r="AB47" i="12"/>
  <c r="AB48" i="12"/>
  <c r="AB49" i="12"/>
  <c r="AB50" i="12"/>
  <c r="AB51" i="12"/>
  <c r="AB52" i="12"/>
  <c r="AB53" i="12"/>
  <c r="AB54" i="12"/>
  <c r="AB55" i="12"/>
  <c r="AB56" i="12"/>
  <c r="AB57" i="12"/>
  <c r="AB58" i="12"/>
  <c r="AB59" i="12"/>
  <c r="AB60" i="12"/>
  <c r="AB61" i="12"/>
  <c r="AB62" i="12"/>
  <c r="AB63" i="12"/>
  <c r="AB64" i="12"/>
  <c r="AB65" i="12"/>
  <c r="AB66" i="12"/>
  <c r="AB67" i="12"/>
  <c r="AB68" i="12"/>
  <c r="AB69" i="12"/>
  <c r="AB70" i="12"/>
  <c r="AB71" i="12"/>
  <c r="AB72" i="12"/>
  <c r="AB73" i="12"/>
  <c r="AB74" i="12"/>
  <c r="AB75" i="12"/>
  <c r="AB76" i="12"/>
  <c r="AB77" i="12"/>
  <c r="AB78" i="12"/>
  <c r="AB79" i="12"/>
  <c r="AB80" i="12"/>
  <c r="AK32" i="12"/>
  <c r="AK33" i="12"/>
  <c r="AK34" i="12"/>
  <c r="AK35" i="12"/>
  <c r="AK36" i="12"/>
  <c r="AK37" i="12"/>
  <c r="AK38" i="12"/>
  <c r="AK39" i="12"/>
  <c r="AK40" i="12"/>
  <c r="AK41" i="12"/>
  <c r="AK42" i="12"/>
  <c r="AK43" i="12"/>
  <c r="AK44" i="12"/>
  <c r="AK31" i="12"/>
  <c r="AK18" i="12"/>
  <c r="AK19" i="12"/>
  <c r="AK20" i="12"/>
  <c r="AK21" i="12"/>
  <c r="AK22" i="12"/>
  <c r="AK23" i="12"/>
  <c r="AK24" i="12"/>
  <c r="AK25" i="12"/>
  <c r="AK26" i="12"/>
  <c r="AK27" i="12"/>
  <c r="AK28" i="12"/>
  <c r="AK29" i="12"/>
  <c r="AK30" i="12"/>
  <c r="AK17" i="12"/>
  <c r="AK4" i="12"/>
  <c r="AK5" i="12"/>
  <c r="AK6" i="12"/>
  <c r="AK7" i="12"/>
  <c r="AK8" i="12"/>
  <c r="AK9" i="12"/>
  <c r="AK10" i="12"/>
  <c r="AK11" i="12"/>
  <c r="AK12" i="12"/>
  <c r="AK13" i="12"/>
  <c r="AK14" i="12"/>
  <c r="AK15" i="12"/>
  <c r="AK16" i="12"/>
  <c r="AK3" i="12"/>
  <c r="AJ32" i="12"/>
  <c r="AJ33" i="12"/>
  <c r="AJ34" i="12"/>
  <c r="AJ35" i="12"/>
  <c r="AJ36" i="12"/>
  <c r="AJ37" i="12"/>
  <c r="AJ38" i="12"/>
  <c r="AJ39" i="12"/>
  <c r="AJ40" i="12"/>
  <c r="AJ41" i="12"/>
  <c r="AJ42" i="12"/>
  <c r="AJ43" i="12"/>
  <c r="AJ44" i="12"/>
  <c r="AJ31" i="12"/>
  <c r="AJ18" i="12"/>
  <c r="AJ19" i="12"/>
  <c r="AJ20" i="12"/>
  <c r="AJ21" i="12"/>
  <c r="AJ22" i="12"/>
  <c r="AJ23" i="12"/>
  <c r="AJ24" i="12"/>
  <c r="AJ25" i="12"/>
  <c r="AJ26" i="12"/>
  <c r="AJ27" i="12"/>
  <c r="AJ28" i="12"/>
  <c r="AJ29" i="12"/>
  <c r="AJ30" i="12"/>
  <c r="AJ17" i="12"/>
  <c r="AJ4" i="12"/>
  <c r="AJ5" i="12"/>
  <c r="AJ6" i="12"/>
  <c r="AJ7" i="12"/>
  <c r="AJ8" i="12"/>
  <c r="AJ9" i="12"/>
  <c r="AJ10" i="12"/>
  <c r="AJ11" i="12"/>
  <c r="AJ12" i="12"/>
  <c r="AJ13" i="12"/>
  <c r="AJ14" i="12"/>
  <c r="AJ15" i="12"/>
  <c r="AJ16" i="12"/>
  <c r="AJ3" i="12"/>
  <c r="AB4" i="12"/>
  <c r="AB5" i="12"/>
  <c r="AB6" i="12"/>
  <c r="AB7" i="12"/>
  <c r="AB8" i="12"/>
  <c r="AB9" i="12"/>
  <c r="AB1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3" i="12"/>
  <c r="L4" i="2"/>
  <c r="K4" i="2"/>
  <c r="J4" i="2"/>
  <c r="F4" i="2"/>
  <c r="E4" i="2"/>
  <c r="D4" i="2"/>
  <c r="V22" i="12"/>
  <c r="AP52" i="14"/>
  <c r="BD52" i="14"/>
  <c r="AS66" i="14"/>
  <c r="AY66" i="14"/>
  <c r="AY91" i="14"/>
  <c r="AQ52" i="14"/>
  <c r="AW52" i="14"/>
  <c r="AV99" i="14"/>
  <c r="AV101" i="14"/>
  <c r="AP50" i="14"/>
  <c r="AU104" i="14"/>
  <c r="AU107" i="14"/>
  <c r="AU117" i="14"/>
  <c r="AU100" i="14"/>
  <c r="AP49" i="14"/>
  <c r="BD49" i="14"/>
  <c r="AU114" i="14"/>
  <c r="AV114" i="14"/>
  <c r="AV50" i="14"/>
  <c r="AT104" i="14"/>
  <c r="AT107" i="14"/>
  <c r="Y21" i="12"/>
  <c r="BF66" i="14"/>
  <c r="AP97" i="14"/>
  <c r="AY111" i="14"/>
  <c r="AV81" i="14"/>
  <c r="BC81" i="14"/>
  <c r="AV86" i="14"/>
  <c r="AV88" i="14"/>
  <c r="AV90" i="14"/>
  <c r="BC51" i="14"/>
  <c r="AX60" i="14"/>
  <c r="AW51" i="14"/>
  <c r="AS88" i="14"/>
  <c r="AR86" i="14"/>
  <c r="BE60" i="14"/>
  <c r="AY82" i="14"/>
  <c r="AX89" i="14"/>
  <c r="BD51" i="14"/>
  <c r="AP86" i="14"/>
  <c r="AP88" i="14"/>
  <c r="AP76" i="14"/>
  <c r="BF76" i="14"/>
  <c r="BD50" i="14"/>
  <c r="AV76" i="14"/>
  <c r="BC76" i="14"/>
  <c r="BC50" i="14"/>
  <c r="BF77" i="14"/>
  <c r="BE85" i="14"/>
  <c r="BF80" i="14"/>
  <c r="BF83" i="14"/>
  <c r="AV83" i="14"/>
  <c r="BC83" i="14"/>
  <c r="BC66" i="14"/>
  <c r="AV82" i="14"/>
  <c r="BC82" i="14"/>
  <c r="BC58" i="14"/>
  <c r="AP75" i="14"/>
  <c r="BF75" i="14"/>
  <c r="BF65" i="14"/>
  <c r="AV77" i="14"/>
  <c r="BC57" i="14"/>
  <c r="V23" i="12"/>
  <c r="Y25" i="12"/>
  <c r="V26" i="12"/>
  <c r="Y19" i="12"/>
  <c r="Y28" i="12"/>
  <c r="Y27" i="12"/>
  <c r="W60" i="14"/>
  <c r="C8" i="3"/>
  <c r="V26" i="14"/>
  <c r="C3" i="3"/>
  <c r="Y60" i="14"/>
  <c r="E8" i="3"/>
  <c r="X60" i="14"/>
  <c r="D8" i="3"/>
  <c r="Y59" i="14"/>
  <c r="AR54" i="14"/>
  <c r="AX54" i="14"/>
  <c r="AX70" i="14"/>
  <c r="AX71" i="14"/>
  <c r="E3" i="3"/>
  <c r="W26" i="14"/>
  <c r="D3" i="3"/>
  <c r="AX111" i="14"/>
  <c r="AW50" i="14"/>
  <c r="AY76" i="14"/>
  <c r="B35" i="3"/>
  <c r="F35" i="3"/>
  <c r="D20" i="3"/>
  <c r="J42" i="3"/>
  <c r="N42" i="3"/>
  <c r="AY108" i="14"/>
  <c r="J36" i="3"/>
  <c r="N36" i="3"/>
  <c r="AX108" i="14"/>
  <c r="K20" i="3"/>
  <c r="AW107" i="14"/>
  <c r="AZ107" i="14"/>
  <c r="AW104" i="14"/>
  <c r="AY65" i="14"/>
  <c r="AY75" i="14"/>
  <c r="AX57" i="14"/>
  <c r="AY77" i="14"/>
  <c r="AX85" i="14"/>
  <c r="B36" i="3"/>
  <c r="F36" i="3"/>
  <c r="U66" i="8"/>
  <c r="S4" i="4"/>
  <c r="S4" i="2"/>
  <c r="Q4" i="4"/>
  <c r="Q4" i="2"/>
  <c r="R4" i="4"/>
  <c r="R4" i="2"/>
  <c r="M20" i="3"/>
  <c r="B41" i="3"/>
  <c r="F41" i="3"/>
  <c r="B42" i="3"/>
  <c r="F42" i="3"/>
  <c r="X59" i="14"/>
  <c r="AP54" i="14"/>
  <c r="X26" i="14"/>
  <c r="AV54" i="14"/>
  <c r="Y20" i="12"/>
  <c r="AV110" i="14"/>
  <c r="AW101" i="14"/>
  <c r="AX101" i="14"/>
  <c r="AT110" i="14"/>
  <c r="Y24" i="12"/>
  <c r="AV78" i="14"/>
  <c r="AV75" i="14"/>
  <c r="BC75" i="14"/>
  <c r="L18" i="3"/>
  <c r="D18" i="3"/>
  <c r="J35" i="3"/>
  <c r="N35" i="3"/>
  <c r="K18" i="3"/>
  <c r="C18" i="3"/>
  <c r="J40" i="3"/>
  <c r="V21" i="12"/>
  <c r="U30" i="12"/>
  <c r="J41" i="3"/>
  <c r="AU110" i="14"/>
  <c r="E18" i="3"/>
  <c r="M18" i="3"/>
  <c r="AY80" i="14"/>
  <c r="AY83" i="14"/>
  <c r="J34" i="3"/>
  <c r="N34" i="3"/>
  <c r="Y18" i="12"/>
  <c r="W68" i="8"/>
  <c r="Y17" i="12"/>
  <c r="U31" i="12"/>
  <c r="AP78" i="14"/>
  <c r="AP87" i="14"/>
  <c r="AS78" i="14"/>
  <c r="AS87" i="14"/>
  <c r="AV80" i="14"/>
  <c r="BC80" i="14"/>
  <c r="N41" i="3"/>
  <c r="N40" i="3"/>
  <c r="BA111" i="14"/>
  <c r="AV62" i="14"/>
  <c r="AV72" i="14"/>
  <c r="AV73" i="14"/>
  <c r="AP62" i="14"/>
  <c r="AP72" i="14"/>
  <c r="AP73" i="14"/>
  <c r="AS62" i="14"/>
  <c r="AY62" i="14"/>
  <c r="AY72" i="14"/>
  <c r="AY73" i="14"/>
  <c r="AY81" i="14"/>
  <c r="AY90" i="14"/>
  <c r="AY88" i="14"/>
  <c r="AX86" i="14"/>
  <c r="BC86" i="14"/>
  <c r="BC88" i="14"/>
  <c r="BF81" i="14"/>
  <c r="BE86" i="14"/>
  <c r="BF88" i="14"/>
  <c r="BC78" i="14"/>
  <c r="BC87" i="14"/>
  <c r="AV87" i="14"/>
  <c r="BC77" i="14"/>
  <c r="BC85" i="14"/>
  <c r="AV85" i="14"/>
  <c r="BF78" i="14"/>
  <c r="BF87" i="14"/>
  <c r="AP70" i="14"/>
  <c r="AP71" i="14"/>
  <c r="BE54" i="14"/>
  <c r="AV70" i="14"/>
  <c r="AV71" i="14"/>
  <c r="BC54" i="14"/>
  <c r="AR70" i="14"/>
  <c r="AR71" i="14"/>
  <c r="AX107" i="14"/>
  <c r="AY107" i="14"/>
  <c r="BA108" i="14"/>
  <c r="AY78" i="14"/>
  <c r="AY87" i="14"/>
  <c r="B34" i="3"/>
  <c r="F34" i="3"/>
  <c r="L20" i="3"/>
  <c r="N20" i="3"/>
  <c r="C20" i="3"/>
  <c r="E26" i="3"/>
  <c r="B30" i="3"/>
  <c r="AY104" i="14"/>
  <c r="AX104" i="14"/>
  <c r="AZ104" i="14"/>
  <c r="AY101" i="14"/>
  <c r="AZ101" i="14"/>
  <c r="E20" i="3"/>
  <c r="B40" i="3"/>
  <c r="F40" i="3"/>
  <c r="W60" i="10"/>
  <c r="U66" i="10"/>
  <c r="M26" i="3"/>
  <c r="J30" i="3"/>
  <c r="L26" i="3"/>
  <c r="J29" i="3"/>
  <c r="K26" i="3"/>
  <c r="J28" i="3"/>
  <c r="C26" i="3"/>
  <c r="B28" i="3"/>
  <c r="D26" i="3"/>
  <c r="B29" i="3"/>
  <c r="AW110" i="14"/>
  <c r="AY110" i="14"/>
  <c r="F18" i="3"/>
  <c r="D19" i="3"/>
  <c r="G28" i="4"/>
  <c r="F28" i="4"/>
  <c r="N18" i="3"/>
  <c r="L19" i="3"/>
  <c r="Y30" i="12"/>
  <c r="BC62" i="14"/>
  <c r="BF62" i="14"/>
  <c r="AS72" i="14"/>
  <c r="AS73" i="14"/>
  <c r="BA107" i="14"/>
  <c r="BE71" i="14"/>
  <c r="BE70" i="14"/>
  <c r="BF73" i="14"/>
  <c r="BF72" i="14"/>
  <c r="BC73" i="14"/>
  <c r="BC72" i="14"/>
  <c r="BC71" i="14"/>
  <c r="BC70" i="14"/>
  <c r="BC108" i="14"/>
  <c r="BD108" i="14"/>
  <c r="F20" i="3"/>
  <c r="C21" i="3"/>
  <c r="C19" i="3"/>
  <c r="C30" i="3"/>
  <c r="BA101" i="14"/>
  <c r="AZ110" i="14"/>
  <c r="BA104" i="14"/>
  <c r="E19" i="3"/>
  <c r="E29" i="4"/>
  <c r="H29" i="4"/>
  <c r="F29" i="4"/>
  <c r="G29" i="4"/>
  <c r="L30" i="3"/>
  <c r="K21" i="3"/>
  <c r="M21" i="3"/>
  <c r="K19" i="3"/>
  <c r="M19" i="3"/>
  <c r="AX110" i="14"/>
  <c r="D30" i="3"/>
  <c r="L21" i="3"/>
  <c r="D21" i="3"/>
  <c r="E22" i="3"/>
  <c r="E21" i="3"/>
  <c r="F19" i="3"/>
  <c r="E30" i="3"/>
  <c r="E36" i="3"/>
  <c r="C42" i="3"/>
  <c r="C36" i="3"/>
  <c r="H13" i="4"/>
  <c r="BA110" i="14"/>
  <c r="BC111" i="14"/>
  <c r="BD111" i="14"/>
  <c r="K30" i="3"/>
  <c r="N19" i="3"/>
  <c r="L22" i="3"/>
  <c r="M22" i="3"/>
  <c r="N21" i="3"/>
  <c r="I13" i="4"/>
  <c r="D36" i="3"/>
  <c r="D42" i="3"/>
  <c r="M30" i="3"/>
  <c r="L36" i="3"/>
  <c r="I13" i="2"/>
  <c r="L42" i="3"/>
  <c r="K22" i="3"/>
  <c r="F21" i="3"/>
  <c r="D22" i="3"/>
  <c r="C22" i="3"/>
  <c r="F30" i="3"/>
  <c r="E46" i="3"/>
  <c r="H12" i="14"/>
  <c r="E42" i="3"/>
  <c r="J13" i="4"/>
  <c r="K13" i="4"/>
  <c r="M36" i="3"/>
  <c r="J13" i="2"/>
  <c r="M42" i="3"/>
  <c r="N22" i="3"/>
  <c r="K23" i="3"/>
  <c r="K36" i="3"/>
  <c r="H13" i="2"/>
  <c r="K42" i="3"/>
  <c r="N30" i="3"/>
  <c r="M46" i="3"/>
  <c r="I12" i="14"/>
  <c r="AE144" i="14"/>
  <c r="AD144" i="14"/>
  <c r="AG144" i="14"/>
  <c r="AF144" i="14"/>
  <c r="AW13" i="14"/>
  <c r="AX13" i="14"/>
  <c r="AV13" i="14"/>
  <c r="AU13" i="14"/>
  <c r="D12" i="2"/>
  <c r="D12" i="4"/>
  <c r="F22" i="3"/>
  <c r="N13" i="4"/>
  <c r="M47" i="3"/>
  <c r="G28" i="2"/>
  <c r="N21" i="4"/>
  <c r="J31" i="10"/>
  <c r="K13" i="2"/>
  <c r="N13" i="2"/>
  <c r="N21" i="2"/>
  <c r="J31" i="8"/>
  <c r="M31" i="8"/>
  <c r="K28" i="3"/>
  <c r="E23" i="3"/>
  <c r="D23" i="3"/>
  <c r="C23" i="3"/>
  <c r="M23" i="3"/>
  <c r="L24" i="3"/>
  <c r="L29" i="3"/>
  <c r="L23" i="3"/>
  <c r="M48" i="3"/>
  <c r="G29" i="2"/>
  <c r="D63" i="2"/>
  <c r="Q19" i="2"/>
  <c r="D63" i="4"/>
  <c r="Q19" i="4"/>
  <c r="AY13" i="14"/>
  <c r="D58" i="2"/>
  <c r="J27" i="8"/>
  <c r="G47" i="8"/>
  <c r="G51" i="8"/>
  <c r="J27" i="10"/>
  <c r="G47" i="10"/>
  <c r="G51" i="10"/>
  <c r="D58" i="4"/>
  <c r="M47" i="10"/>
  <c r="M51" i="10"/>
  <c r="M31" i="10"/>
  <c r="L28" i="3"/>
  <c r="M24" i="3"/>
  <c r="M29" i="3"/>
  <c r="M28" i="3"/>
  <c r="K24" i="3"/>
  <c r="N23" i="3"/>
  <c r="C28" i="3"/>
  <c r="F23" i="3"/>
  <c r="D24" i="3"/>
  <c r="D29" i="3"/>
  <c r="M47" i="8"/>
  <c r="D28" i="3"/>
  <c r="E24" i="3"/>
  <c r="E29" i="3"/>
  <c r="E28" i="3"/>
  <c r="C24" i="3"/>
  <c r="L41" i="3"/>
  <c r="L35" i="3"/>
  <c r="I12" i="2"/>
  <c r="H11" i="2"/>
  <c r="K34" i="3"/>
  <c r="K40" i="3"/>
  <c r="P61" i="10"/>
  <c r="M51" i="8"/>
  <c r="P61" i="8"/>
  <c r="M40" i="3"/>
  <c r="M34" i="3"/>
  <c r="J11" i="2"/>
  <c r="D35" i="3"/>
  <c r="I12" i="4"/>
  <c r="D41" i="3"/>
  <c r="F24" i="3"/>
  <c r="C29" i="3"/>
  <c r="K29" i="3"/>
  <c r="N24" i="3"/>
  <c r="M35" i="3"/>
  <c r="M41" i="3"/>
  <c r="J12" i="2"/>
  <c r="I11" i="4"/>
  <c r="D40" i="3"/>
  <c r="D34" i="3"/>
  <c r="N28" i="3"/>
  <c r="K46" i="3"/>
  <c r="I13" i="14"/>
  <c r="J11" i="4"/>
  <c r="E40" i="3"/>
  <c r="E34" i="3"/>
  <c r="C34" i="3"/>
  <c r="H11" i="4"/>
  <c r="C40" i="3"/>
  <c r="F28" i="3"/>
  <c r="C46" i="3"/>
  <c r="H13" i="14"/>
  <c r="AE145" i="14"/>
  <c r="J12" i="4"/>
  <c r="E35" i="3"/>
  <c r="E41" i="3"/>
  <c r="L34" i="3"/>
  <c r="I11" i="2"/>
  <c r="I14" i="2"/>
  <c r="L40" i="3"/>
  <c r="AF145" i="14"/>
  <c r="AG145" i="14"/>
  <c r="AD145" i="14"/>
  <c r="AW14" i="14"/>
  <c r="AX14" i="14"/>
  <c r="AU14" i="14"/>
  <c r="AV14" i="14"/>
  <c r="B12" i="2"/>
  <c r="B12" i="4"/>
  <c r="R19" i="4"/>
  <c r="K47" i="3"/>
  <c r="E28" i="2"/>
  <c r="H28" i="2"/>
  <c r="J14" i="4"/>
  <c r="K11" i="2"/>
  <c r="N11" i="2"/>
  <c r="J14" i="2"/>
  <c r="K48" i="3"/>
  <c r="E29" i="2"/>
  <c r="H29" i="2"/>
  <c r="I14" i="4"/>
  <c r="N11" i="4"/>
  <c r="K11" i="4"/>
  <c r="N19" i="4"/>
  <c r="N19" i="2"/>
  <c r="K41" i="3"/>
  <c r="L48" i="3"/>
  <c r="F29" i="2"/>
  <c r="K35" i="3"/>
  <c r="L47" i="3"/>
  <c r="F28" i="2"/>
  <c r="H12" i="2"/>
  <c r="N29" i="3"/>
  <c r="L46" i="3"/>
  <c r="I14" i="14"/>
  <c r="C41" i="3"/>
  <c r="C35" i="3"/>
  <c r="F29" i="3"/>
  <c r="D46" i="3"/>
  <c r="H14" i="14"/>
  <c r="H12" i="4"/>
  <c r="J26" i="8"/>
  <c r="F47" i="8"/>
  <c r="H47" i="8"/>
  <c r="H51" i="8"/>
  <c r="R19" i="2"/>
  <c r="AE146" i="14"/>
  <c r="AD146" i="14"/>
  <c r="AG146" i="14"/>
  <c r="AF146" i="14"/>
  <c r="AW15" i="14"/>
  <c r="AX15" i="14"/>
  <c r="B74" i="2"/>
  <c r="B63" i="2"/>
  <c r="B58" i="2"/>
  <c r="B15" i="2"/>
  <c r="B20" i="2"/>
  <c r="C20" i="2"/>
  <c r="AU15" i="14"/>
  <c r="AV15" i="14"/>
  <c r="AY14" i="14"/>
  <c r="C12" i="2"/>
  <c r="C12" i="4"/>
  <c r="B20" i="4"/>
  <c r="C20" i="4"/>
  <c r="K65" i="4"/>
  <c r="B74" i="4"/>
  <c r="J26" i="10"/>
  <c r="F47" i="10"/>
  <c r="F51" i="10"/>
  <c r="B15" i="4"/>
  <c r="B63" i="4"/>
  <c r="B58" i="4"/>
  <c r="K12" i="4"/>
  <c r="N12" i="4"/>
  <c r="N14" i="4"/>
  <c r="N20" i="4"/>
  <c r="J29" i="10"/>
  <c r="M30" i="10"/>
  <c r="F51" i="8"/>
  <c r="J30" i="8"/>
  <c r="M29" i="8"/>
  <c r="J30" i="10"/>
  <c r="M29" i="10"/>
  <c r="H14" i="4"/>
  <c r="K12" i="2"/>
  <c r="N12" i="2"/>
  <c r="N14" i="2"/>
  <c r="N20" i="2"/>
  <c r="J29" i="8"/>
  <c r="M30" i="8"/>
  <c r="H14" i="2"/>
  <c r="C63" i="2"/>
  <c r="S19" i="2"/>
  <c r="T19" i="2"/>
  <c r="D74" i="4"/>
  <c r="S19" i="4"/>
  <c r="T19" i="4"/>
  <c r="AD148" i="14"/>
  <c r="AF148" i="14"/>
  <c r="D74" i="2"/>
  <c r="C74" i="2"/>
  <c r="B16" i="2"/>
  <c r="B14" i="2"/>
  <c r="C16" i="2"/>
  <c r="J25" i="8"/>
  <c r="E47" i="8"/>
  <c r="C58" i="2"/>
  <c r="C16" i="4"/>
  <c r="C63" i="4"/>
  <c r="C74" i="4"/>
  <c r="AY15" i="14"/>
  <c r="J25" i="10"/>
  <c r="E47" i="10"/>
  <c r="B14" i="4"/>
  <c r="L65" i="4"/>
  <c r="C58" i="4"/>
  <c r="H47" i="10"/>
  <c r="H51" i="10"/>
  <c r="B16" i="4"/>
  <c r="K47" i="10"/>
  <c r="K47" i="8"/>
  <c r="L47" i="10"/>
  <c r="L47" i="8"/>
  <c r="U19" i="2"/>
  <c r="AR25" i="14"/>
  <c r="U19" i="4"/>
  <c r="AQ25" i="14"/>
  <c r="C43" i="2"/>
  <c r="D43" i="2"/>
  <c r="M25" i="8"/>
  <c r="N29" i="8"/>
  <c r="N6" i="12"/>
  <c r="B43" i="2"/>
  <c r="M25" i="10"/>
  <c r="N29" i="10"/>
  <c r="N5" i="12"/>
  <c r="C43" i="4"/>
  <c r="B43" i="4"/>
  <c r="D43" i="4"/>
  <c r="T47" i="8"/>
  <c r="T51" i="8"/>
  <c r="O61" i="8"/>
  <c r="K51" i="8"/>
  <c r="O47" i="8"/>
  <c r="O51" i="8"/>
  <c r="O61" i="10"/>
  <c r="K51" i="10"/>
  <c r="T47" i="10"/>
  <c r="T51" i="10"/>
  <c r="O47" i="10"/>
  <c r="O51" i="10"/>
  <c r="E51" i="8"/>
  <c r="P47" i="8"/>
  <c r="P51" i="8"/>
  <c r="J47" i="8"/>
  <c r="I47" i="8"/>
  <c r="I51" i="8"/>
  <c r="N61" i="10"/>
  <c r="L51" i="10"/>
  <c r="N47" i="10"/>
  <c r="P47" i="10"/>
  <c r="P51" i="10"/>
  <c r="J47" i="10"/>
  <c r="E51" i="10"/>
  <c r="I47" i="10"/>
  <c r="I51" i="10"/>
  <c r="L51" i="8"/>
  <c r="N61" i="8"/>
  <c r="N47" i="8"/>
  <c r="N64" i="10"/>
  <c r="N66" i="10"/>
  <c r="N64" i="8"/>
  <c r="N66" i="8"/>
  <c r="G43" i="2"/>
  <c r="G43" i="4"/>
  <c r="U47" i="10"/>
  <c r="U51" i="10"/>
  <c r="U47" i="8"/>
  <c r="U51" i="8"/>
  <c r="J51" i="8"/>
  <c r="V47" i="8"/>
  <c r="V51" i="8"/>
  <c r="O5" i="12"/>
  <c r="U55" i="10"/>
  <c r="P5" i="12"/>
  <c r="V55" i="10"/>
  <c r="O6" i="12"/>
  <c r="U55" i="8"/>
  <c r="P6" i="12"/>
  <c r="V55" i="8"/>
  <c r="J51" i="10"/>
  <c r="V47" i="10"/>
  <c r="V51" i="10"/>
  <c r="Q47" i="8"/>
  <c r="N51" i="8"/>
  <c r="N51" i="10"/>
  <c r="Q47" i="10"/>
  <c r="R47" i="10"/>
  <c r="R51" i="10"/>
  <c r="Q51" i="10"/>
  <c r="S47" i="10"/>
  <c r="S51" i="10"/>
  <c r="R47" i="8"/>
  <c r="R51" i="8"/>
  <c r="Q51" i="8"/>
  <c r="S47" i="8"/>
  <c r="S51" i="8"/>
  <c r="G56" i="10"/>
  <c r="E56" i="8"/>
  <c r="F56" i="8"/>
  <c r="F56" i="10"/>
  <c r="N56" i="8"/>
  <c r="L56" i="8"/>
  <c r="Q56" i="10"/>
  <c r="M56" i="10"/>
  <c r="O56" i="10"/>
  <c r="E56" i="10"/>
  <c r="K56" i="8"/>
  <c r="I56" i="8"/>
  <c r="K56" i="10"/>
  <c r="P56" i="10"/>
  <c r="N56" i="10"/>
  <c r="H56" i="10"/>
  <c r="O56" i="8"/>
  <c r="J56" i="8"/>
  <c r="H56" i="8"/>
  <c r="P56" i="8"/>
  <c r="Q56" i="8"/>
  <c r="G56" i="8"/>
  <c r="J56" i="10"/>
  <c r="I56" i="10"/>
  <c r="L56" i="10"/>
  <c r="M56" i="8"/>
  <c r="R56" i="8"/>
  <c r="T55" i="8"/>
  <c r="T58" i="8"/>
  <c r="T75" i="8"/>
  <c r="T76" i="8"/>
  <c r="R56" i="10"/>
  <c r="T55" i="10"/>
  <c r="T58" i="10"/>
  <c r="T75" i="10"/>
  <c r="T76" i="10"/>
  <c r="U58" i="8"/>
  <c r="U62" i="8"/>
  <c r="X62" i="8"/>
  <c r="W58" i="8"/>
  <c r="W75" i="8"/>
  <c r="T62" i="8"/>
  <c r="T62" i="10"/>
  <c r="W58" i="10"/>
  <c r="W75" i="10"/>
  <c r="W76" i="10"/>
  <c r="U58" i="10"/>
  <c r="W62" i="8"/>
  <c r="W64" i="8"/>
  <c r="T64" i="8"/>
  <c r="W62" i="10"/>
  <c r="W64" i="10"/>
  <c r="W76" i="8"/>
  <c r="T64" i="10"/>
  <c r="X58" i="8"/>
  <c r="X58" i="10"/>
  <c r="U62" i="10"/>
  <c r="X62" i="10"/>
  <c r="T87" i="10"/>
  <c r="T87" i="8"/>
  <c r="B21" i="4"/>
  <c r="C21" i="4"/>
  <c r="B22" i="4"/>
  <c r="C22" i="4"/>
  <c r="B23" i="4"/>
  <c r="C23" i="4"/>
  <c r="N4" i="2"/>
  <c r="N5" i="2"/>
  <c r="P4" i="4"/>
  <c r="C14" i="4"/>
  <c r="M4" i="2"/>
  <c r="M5" i="2"/>
  <c r="M5" i="4"/>
  <c r="O7" i="4"/>
  <c r="N5" i="4"/>
  <c r="O5" i="4"/>
  <c r="O4" i="2"/>
  <c r="O5" i="2"/>
  <c r="B23" i="2"/>
  <c r="B21" i="2"/>
  <c r="C21" i="2"/>
  <c r="B25" i="4"/>
  <c r="C29" i="4"/>
  <c r="B22" i="2"/>
  <c r="E24" i="2"/>
  <c r="O6" i="2"/>
  <c r="X28" i="14"/>
  <c r="W28" i="14"/>
  <c r="W34" i="14"/>
  <c r="W30" i="14"/>
  <c r="E24" i="4"/>
  <c r="C24" i="4"/>
  <c r="P4" i="2"/>
  <c r="C14" i="2"/>
  <c r="D29" i="4"/>
  <c r="D32" i="4"/>
  <c r="B29" i="4"/>
  <c r="C70" i="4"/>
  <c r="C25" i="4"/>
  <c r="C22" i="2"/>
  <c r="B25" i="2"/>
  <c r="C23" i="2"/>
  <c r="C28" i="4"/>
  <c r="C33" i="4"/>
  <c r="C54" i="4"/>
  <c r="C32" i="4"/>
  <c r="L67" i="4"/>
  <c r="D70" i="4"/>
  <c r="D54" i="4"/>
  <c r="B70" i="4"/>
  <c r="B73" i="4"/>
  <c r="W46" i="14"/>
  <c r="AP17" i="14"/>
  <c r="D28" i="4"/>
  <c r="D56" i="4"/>
  <c r="B54" i="4"/>
  <c r="B32" i="4"/>
  <c r="D37" i="4"/>
  <c r="B28" i="4"/>
  <c r="B33" i="4"/>
  <c r="B55" i="4"/>
  <c r="K67" i="4"/>
  <c r="C24" i="2"/>
  <c r="C25" i="2"/>
  <c r="B29" i="2"/>
  <c r="D29" i="2"/>
  <c r="C29" i="2"/>
  <c r="C73" i="4"/>
  <c r="X46" i="14"/>
  <c r="D73" i="4"/>
  <c r="Y46" i="14"/>
  <c r="B37" i="4"/>
  <c r="C53" i="4"/>
  <c r="L66" i="4"/>
  <c r="D69" i="4"/>
  <c r="C34" i="4"/>
  <c r="C56" i="4"/>
  <c r="D53" i="4"/>
  <c r="C55" i="4"/>
  <c r="F53" i="4"/>
  <c r="G53" i="4"/>
  <c r="AT118" i="14"/>
  <c r="AF14" i="14"/>
  <c r="AF21" i="14"/>
  <c r="D34" i="4"/>
  <c r="B39" i="4"/>
  <c r="D33" i="4"/>
  <c r="B38" i="4"/>
  <c r="B69" i="4"/>
  <c r="B72" i="4"/>
  <c r="W47" i="14"/>
  <c r="AF13" i="14"/>
  <c r="AV64" i="14"/>
  <c r="BC64" i="14"/>
  <c r="B53" i="4"/>
  <c r="C37" i="4"/>
  <c r="K66" i="4"/>
  <c r="C69" i="4"/>
  <c r="C72" i="4"/>
  <c r="X47" i="14"/>
  <c r="D38" i="4"/>
  <c r="B56" i="4"/>
  <c r="F57" i="4"/>
  <c r="G57" i="4"/>
  <c r="B34" i="4"/>
  <c r="AE14" i="14"/>
  <c r="AE85" i="14"/>
  <c r="D70" i="2"/>
  <c r="C32" i="2"/>
  <c r="C54" i="2"/>
  <c r="C28" i="2"/>
  <c r="C33" i="2"/>
  <c r="D54" i="2"/>
  <c r="D28" i="2"/>
  <c r="D33" i="2"/>
  <c r="B70" i="2"/>
  <c r="B73" i="2"/>
  <c r="W43" i="14"/>
  <c r="D32" i="2"/>
  <c r="B28" i="2"/>
  <c r="B32" i="2"/>
  <c r="B54" i="2"/>
  <c r="C70" i="2"/>
  <c r="AF85" i="14"/>
  <c r="C57" i="4"/>
  <c r="AV118" i="14"/>
  <c r="AR17" i="14"/>
  <c r="AS64" i="14"/>
  <c r="AY64" i="14"/>
  <c r="AH14" i="14"/>
  <c r="AH21" i="14"/>
  <c r="AG14" i="14"/>
  <c r="AG21" i="14"/>
  <c r="AP64" i="14"/>
  <c r="BF64" i="14"/>
  <c r="AQ17" i="14"/>
  <c r="AU118" i="14"/>
  <c r="D57" i="4"/>
  <c r="AF28" i="14"/>
  <c r="AF12" i="14"/>
  <c r="AF19" i="14"/>
  <c r="F55" i="4"/>
  <c r="G55" i="4"/>
  <c r="D55" i="4"/>
  <c r="C38" i="4"/>
  <c r="D72" i="4"/>
  <c r="Y47" i="14"/>
  <c r="AE13" i="14"/>
  <c r="B40" i="4"/>
  <c r="AV63" i="14"/>
  <c r="BC63" i="14"/>
  <c r="AT119" i="14"/>
  <c r="C39" i="4"/>
  <c r="B57" i="4"/>
  <c r="D39" i="4"/>
  <c r="D40" i="4"/>
  <c r="AE21" i="14"/>
  <c r="AS17" i="14"/>
  <c r="AQ21" i="14"/>
  <c r="D55" i="2"/>
  <c r="B38" i="2"/>
  <c r="C55" i="2"/>
  <c r="C56" i="2"/>
  <c r="D69" i="2"/>
  <c r="C34" i="2"/>
  <c r="F53" i="2"/>
  <c r="G53" i="2"/>
  <c r="B33" i="2"/>
  <c r="C69" i="2"/>
  <c r="B34" i="2"/>
  <c r="B56" i="2"/>
  <c r="D56" i="2"/>
  <c r="D34" i="2"/>
  <c r="B69" i="2"/>
  <c r="B72" i="2"/>
  <c r="W44" i="14"/>
  <c r="C37" i="2"/>
  <c r="D53" i="2"/>
  <c r="B37" i="2"/>
  <c r="C53" i="2"/>
  <c r="D73" i="2"/>
  <c r="Y43" i="14"/>
  <c r="C73" i="2"/>
  <c r="X43" i="14"/>
  <c r="D37" i="2"/>
  <c r="B53" i="2"/>
  <c r="AT115" i="14"/>
  <c r="AV56" i="14"/>
  <c r="BC56" i="14"/>
  <c r="AP16" i="14"/>
  <c r="AJ14" i="14"/>
  <c r="AT102" i="14"/>
  <c r="AT105" i="14"/>
  <c r="AF26" i="14"/>
  <c r="AG85" i="14"/>
  <c r="AG28" i="14"/>
  <c r="AG39" i="14"/>
  <c r="AF99" i="14"/>
  <c r="AG110" i="14"/>
  <c r="AF27" i="14"/>
  <c r="AF84" i="14"/>
  <c r="AF20" i="14"/>
  <c r="AG12" i="14"/>
  <c r="AG19" i="14"/>
  <c r="AG13" i="14"/>
  <c r="AU119" i="14"/>
  <c r="AP63" i="14"/>
  <c r="BF63" i="14"/>
  <c r="AH85" i="14"/>
  <c r="AH28" i="14"/>
  <c r="AH99" i="14"/>
  <c r="AF83" i="14"/>
  <c r="C40" i="4"/>
  <c r="E40" i="4"/>
  <c r="B42" i="4"/>
  <c r="AH13" i="14"/>
  <c r="AH84" i="14"/>
  <c r="AS63" i="14"/>
  <c r="AY63" i="14"/>
  <c r="AH12" i="14"/>
  <c r="AH83" i="14"/>
  <c r="AE12" i="14"/>
  <c r="AE19" i="14"/>
  <c r="AV119" i="14"/>
  <c r="AP21" i="14"/>
  <c r="AS21" i="14"/>
  <c r="AR21" i="14"/>
  <c r="AQ26" i="14"/>
  <c r="F36" i="14"/>
  <c r="D57" i="2"/>
  <c r="C39" i="2"/>
  <c r="AI14" i="14"/>
  <c r="AI21" i="14"/>
  <c r="AU115" i="14"/>
  <c r="AU102" i="14"/>
  <c r="AQ16" i="14"/>
  <c r="AK14" i="14"/>
  <c r="AP56" i="14"/>
  <c r="BE56" i="14"/>
  <c r="AJ28" i="14"/>
  <c r="AJ85" i="14"/>
  <c r="F57" i="2"/>
  <c r="G57" i="2"/>
  <c r="F55" i="2"/>
  <c r="G55" i="2"/>
  <c r="AJ21" i="14"/>
  <c r="C72" i="2"/>
  <c r="X44" i="14"/>
  <c r="D72" i="2"/>
  <c r="Y44" i="14"/>
  <c r="B55" i="2"/>
  <c r="D38" i="2"/>
  <c r="AV102" i="14"/>
  <c r="AR56" i="14"/>
  <c r="AX56" i="14"/>
  <c r="AV115" i="14"/>
  <c r="AL14" i="14"/>
  <c r="AL28" i="14"/>
  <c r="AL99" i="14"/>
  <c r="AR16" i="14"/>
  <c r="C38" i="2"/>
  <c r="D39" i="2"/>
  <c r="B57" i="2"/>
  <c r="AT116" i="14"/>
  <c r="AJ13" i="14"/>
  <c r="AV55" i="14"/>
  <c r="BC55" i="14"/>
  <c r="AJ12" i="14"/>
  <c r="AJ19" i="14"/>
  <c r="C57" i="2"/>
  <c r="B39" i="2"/>
  <c r="B40" i="2"/>
  <c r="AE20" i="14"/>
  <c r="AE84" i="14"/>
  <c r="AH19" i="14"/>
  <c r="AH27" i="14"/>
  <c r="AH98" i="14"/>
  <c r="AF98" i="14"/>
  <c r="AG109" i="14"/>
  <c r="AG38" i="14"/>
  <c r="AG99" i="14"/>
  <c r="AF110" i="14"/>
  <c r="AF39" i="14"/>
  <c r="AG37" i="14"/>
  <c r="AF97" i="14"/>
  <c r="AG27" i="14"/>
  <c r="AG84" i="14"/>
  <c r="AG20" i="14"/>
  <c r="AG83" i="14"/>
  <c r="AG26" i="14"/>
  <c r="AH42" i="14"/>
  <c r="AH20" i="14"/>
  <c r="AH26" i="14"/>
  <c r="AF42" i="14"/>
  <c r="E47" i="4"/>
  <c r="AE83" i="14"/>
  <c r="D42" i="4"/>
  <c r="C44" i="4"/>
  <c r="C45" i="4"/>
  <c r="C42" i="4"/>
  <c r="D44" i="4"/>
  <c r="D45" i="4"/>
  <c r="AQ30" i="14"/>
  <c r="D40" i="2"/>
  <c r="AL21" i="14"/>
  <c r="H16" i="14"/>
  <c r="AS16" i="14"/>
  <c r="AQ20" i="14"/>
  <c r="C40" i="2"/>
  <c r="AJ27" i="14"/>
  <c r="AJ84" i="14"/>
  <c r="AL12" i="14"/>
  <c r="AL26" i="14"/>
  <c r="AL13" i="14"/>
  <c r="AL27" i="14"/>
  <c r="AL98" i="14"/>
  <c r="AV116" i="14"/>
  <c r="AR55" i="14"/>
  <c r="AX55" i="14"/>
  <c r="AK85" i="14"/>
  <c r="AK28" i="14"/>
  <c r="AK21" i="14"/>
  <c r="AI12" i="14"/>
  <c r="AU116" i="14"/>
  <c r="AK12" i="14"/>
  <c r="AK19" i="14"/>
  <c r="AK13" i="14"/>
  <c r="AI13" i="14"/>
  <c r="AI20" i="14"/>
  <c r="AP55" i="14"/>
  <c r="BE55" i="14"/>
  <c r="AV105" i="14"/>
  <c r="AW102" i="14"/>
  <c r="AX102" i="14"/>
  <c r="AU105" i="14"/>
  <c r="AJ83" i="14"/>
  <c r="AJ26" i="14"/>
  <c r="AJ99" i="14"/>
  <c r="AK110" i="14"/>
  <c r="AK39" i="14"/>
  <c r="AJ20" i="14"/>
  <c r="AG42" i="14"/>
  <c r="AH97" i="14"/>
  <c r="AG113" i="14"/>
  <c r="AG108" i="14"/>
  <c r="AF38" i="14"/>
  <c r="AG98" i="14"/>
  <c r="AF109" i="14"/>
  <c r="AQ27" i="14"/>
  <c r="D36" i="14"/>
  <c r="AF37" i="14"/>
  <c r="AG97" i="14"/>
  <c r="G42" i="4"/>
  <c r="E42" i="4"/>
  <c r="H42" i="4"/>
  <c r="B44" i="4"/>
  <c r="E44" i="4"/>
  <c r="H44" i="4"/>
  <c r="E40" i="2"/>
  <c r="B42" i="2"/>
  <c r="AR20" i="14"/>
  <c r="AS20" i="14"/>
  <c r="AP20" i="14"/>
  <c r="AL20" i="14"/>
  <c r="AL19" i="14"/>
  <c r="AY102" i="14"/>
  <c r="AK37" i="14"/>
  <c r="AJ97" i="14"/>
  <c r="AK38" i="14"/>
  <c r="AJ98" i="14"/>
  <c r="AK109" i="14"/>
  <c r="AJ39" i="14"/>
  <c r="AK99" i="14"/>
  <c r="AJ110" i="14"/>
  <c r="AW105" i="14"/>
  <c r="AX105" i="14"/>
  <c r="AK83" i="14"/>
  <c r="AK26" i="14"/>
  <c r="AZ102" i="14"/>
  <c r="AI83" i="14"/>
  <c r="AI19" i="14"/>
  <c r="AK84" i="14"/>
  <c r="AK27" i="14"/>
  <c r="AK20" i="14"/>
  <c r="AK42" i="14"/>
  <c r="AL97" i="14"/>
  <c r="AF113" i="14"/>
  <c r="AF108" i="14"/>
  <c r="AH113" i="14"/>
  <c r="G44" i="4"/>
  <c r="B47" i="4"/>
  <c r="N60" i="10"/>
  <c r="E43" i="4"/>
  <c r="H43" i="4"/>
  <c r="B45" i="4"/>
  <c r="G45" i="4"/>
  <c r="E45" i="4"/>
  <c r="C42" i="2"/>
  <c r="D44" i="2"/>
  <c r="D42" i="2"/>
  <c r="C44" i="2"/>
  <c r="C45" i="2"/>
  <c r="E47" i="2"/>
  <c r="AR30" i="14"/>
  <c r="AK113" i="14"/>
  <c r="AG44" i="14"/>
  <c r="BA102" i="14"/>
  <c r="AK108" i="14"/>
  <c r="AY105" i="14"/>
  <c r="AZ105" i="14"/>
  <c r="BC102" i="14"/>
  <c r="BD102" i="14"/>
  <c r="I16" i="14"/>
  <c r="AR26" i="14"/>
  <c r="J36" i="14"/>
  <c r="AL42" i="14"/>
  <c r="AH44" i="14"/>
  <c r="AJ42" i="14"/>
  <c r="AJ37" i="14"/>
  <c r="AK97" i="14"/>
  <c r="AK98" i="14"/>
  <c r="AJ109" i="14"/>
  <c r="AJ38" i="14"/>
  <c r="B44" i="2"/>
  <c r="E42" i="2"/>
  <c r="H42" i="2"/>
  <c r="G42" i="2"/>
  <c r="D47" i="4"/>
  <c r="D59" i="4"/>
  <c r="C47" i="4"/>
  <c r="C59" i="4"/>
  <c r="B62" i="4"/>
  <c r="B59" i="4"/>
  <c r="AG115" i="14"/>
  <c r="BC105" i="14"/>
  <c r="BD105" i="14"/>
  <c r="AF44" i="14"/>
  <c r="AH50" i="14"/>
  <c r="D45" i="2"/>
  <c r="AJ108" i="14"/>
  <c r="AJ113" i="14"/>
  <c r="BA105" i="14"/>
  <c r="AL113" i="14"/>
  <c r="AH115" i="14"/>
  <c r="B45" i="2"/>
  <c r="E44" i="2"/>
  <c r="H44" i="2"/>
  <c r="G44" i="2"/>
  <c r="C47" i="2"/>
  <c r="E43" i="2"/>
  <c r="H43" i="2"/>
  <c r="AR27" i="14"/>
  <c r="H36" i="14"/>
  <c r="P60" i="10"/>
  <c r="G47" i="4"/>
  <c r="D62" i="4"/>
  <c r="C64" i="4"/>
  <c r="O60" i="10"/>
  <c r="C62" i="4"/>
  <c r="D64" i="4"/>
  <c r="G45" i="2"/>
  <c r="E45" i="2"/>
  <c r="B47" i="2"/>
  <c r="N60" i="8"/>
  <c r="AI44" i="14"/>
  <c r="AH45" i="14"/>
  <c r="AF115" i="14"/>
  <c r="AH121" i="14"/>
  <c r="C59" i="2"/>
  <c r="C62" i="2"/>
  <c r="O60" i="8"/>
  <c r="D47" i="2"/>
  <c r="Q61" i="10"/>
  <c r="W77" i="10"/>
  <c r="Q60" i="10"/>
  <c r="B64" i="4"/>
  <c r="G64" i="4"/>
  <c r="G65" i="4"/>
  <c r="B59" i="2"/>
  <c r="B62" i="2"/>
  <c r="D64" i="2"/>
  <c r="W66" i="10"/>
  <c r="W81" i="10"/>
  <c r="W82" i="10"/>
  <c r="W83" i="10"/>
  <c r="AG45" i="14"/>
  <c r="AG46" i="14"/>
  <c r="T66" i="10"/>
  <c r="D31" i="14"/>
  <c r="F31" i="14"/>
  <c r="AF45" i="14"/>
  <c r="AF46" i="14"/>
  <c r="T81" i="10"/>
  <c r="T82" i="10"/>
  <c r="T84" i="10"/>
  <c r="D32" i="14"/>
  <c r="AI115" i="14"/>
  <c r="T77" i="10"/>
  <c r="D34" i="14"/>
  <c r="D37" i="14"/>
  <c r="F37" i="14"/>
  <c r="P60" i="8"/>
  <c r="Q61" i="8"/>
  <c r="D62" i="2"/>
  <c r="D59" i="2"/>
  <c r="T69" i="10"/>
  <c r="T89" i="10"/>
  <c r="G47" i="2"/>
  <c r="W69" i="10"/>
  <c r="W78" i="10"/>
  <c r="T92" i="10"/>
  <c r="C64" i="2"/>
  <c r="AH46" i="14"/>
  <c r="AG49" i="14"/>
  <c r="X66" i="10"/>
  <c r="T78" i="10"/>
  <c r="T71" i="10"/>
  <c r="T83" i="10"/>
  <c r="U71" i="10"/>
  <c r="F34" i="14"/>
  <c r="Q60" i="8"/>
  <c r="AH116" i="14"/>
  <c r="AG116" i="14"/>
  <c r="AF116" i="14"/>
  <c r="AF117" i="14"/>
  <c r="B64" i="2"/>
  <c r="T77" i="8"/>
  <c r="W77" i="8"/>
  <c r="W66" i="8"/>
  <c r="T81" i="8"/>
  <c r="T82" i="8"/>
  <c r="T69" i="8"/>
  <c r="T89" i="8"/>
  <c r="W81" i="8"/>
  <c r="W82" i="8"/>
  <c r="W83" i="8"/>
  <c r="T66" i="8"/>
  <c r="W71" i="10"/>
  <c r="X71" i="10"/>
  <c r="G64" i="2"/>
  <c r="G65" i="2"/>
  <c r="H31" i="14"/>
  <c r="J31" i="14"/>
  <c r="H34" i="14"/>
  <c r="J34" i="14"/>
  <c r="AF49" i="14"/>
  <c r="D35" i="14"/>
  <c r="AG117" i="14"/>
  <c r="AH117" i="14"/>
  <c r="U71" i="8"/>
  <c r="W69" i="8"/>
  <c r="T71" i="8"/>
  <c r="T78" i="8"/>
  <c r="T83" i="8"/>
  <c r="T84" i="8"/>
  <c r="H32" i="14"/>
  <c r="AH49" i="14"/>
  <c r="AF52" i="14"/>
  <c r="AF61" i="14"/>
  <c r="H37" i="14"/>
  <c r="J37" i="14"/>
  <c r="AG120" i="14"/>
  <c r="AF120" i="14"/>
  <c r="W71" i="8"/>
  <c r="W78" i="8"/>
  <c r="H35" i="14"/>
  <c r="X71" i="8"/>
  <c r="AF124" i="14"/>
  <c r="AF133" i="14"/>
  <c r="F39" i="14"/>
  <c r="AH12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Potvin</author>
  </authors>
  <commentList>
    <comment ref="X61" authorId="0" shapeId="0" xr:uid="{5C19DB81-CC87-0B40-928F-D50B680A8DB8}">
      <text>
        <r>
          <rPr>
            <b/>
            <sz val="10"/>
            <color rgb="FF000000"/>
            <rFont val="Tahoma"/>
            <family val="2"/>
          </rPr>
          <t>Jim Potvin:</t>
        </r>
        <r>
          <rPr>
            <sz val="10"/>
            <color rgb="FF000000"/>
            <rFont val="Tahoma"/>
            <family val="2"/>
          </rPr>
          <t xml:space="preserve">
</t>
        </r>
      </text>
    </comment>
    <comment ref="X68" authorId="0" shapeId="0" xr:uid="{EE2A11F6-96C7-DE49-9D97-E2D4F4333072}">
      <text>
        <r>
          <rPr>
            <b/>
            <sz val="10"/>
            <color rgb="FF000000"/>
            <rFont val="Tahoma"/>
            <family val="2"/>
          </rPr>
          <t>Jim Potvin:</t>
        </r>
        <r>
          <rPr>
            <sz val="10"/>
            <color rgb="FF000000"/>
            <rFont val="Tahoma"/>
            <family val="2"/>
          </rPr>
          <t xml:space="preserve">
</t>
        </r>
      </text>
    </comment>
  </commentList>
</comments>
</file>

<file path=xl/sharedStrings.xml><?xml version="1.0" encoding="utf-8"?>
<sst xmlns="http://schemas.openxmlformats.org/spreadsheetml/2006/main" count="1903" uniqueCount="520">
  <si>
    <t>Body Mass (kg)</t>
  </si>
  <si>
    <t>Stature (m)</t>
  </si>
  <si>
    <t>Segment Length (% of stature)</t>
  </si>
  <si>
    <t>CofG Location (% from proximal end)</t>
  </si>
  <si>
    <t>Segment Mass (% of Body Mass)</t>
  </si>
  <si>
    <t>Segment Length (m)</t>
  </si>
  <si>
    <t>Max Arm Length (m)</t>
  </si>
  <si>
    <t>UpArm</t>
  </si>
  <si>
    <t>Forearm</t>
  </si>
  <si>
    <t>Hand</t>
  </si>
  <si>
    <t>Inputs in red</t>
  </si>
  <si>
    <t>Outputs in blue</t>
  </si>
  <si>
    <t>Shoulder Axis System [S] = Trunk [T]</t>
  </si>
  <si>
    <r>
      <rPr>
        <b/>
        <sz val="11"/>
        <color theme="1"/>
        <rFont val="Arial"/>
        <family val="2"/>
      </rPr>
      <t>[SG]</t>
    </r>
    <r>
      <rPr>
        <sz val="11"/>
        <color theme="1"/>
        <rFont val="Arial"/>
        <family val="2"/>
      </rPr>
      <t xml:space="preserve"> = [TG]</t>
    </r>
  </si>
  <si>
    <t>gravity wrt Global</t>
  </si>
  <si>
    <t>gravity wrt Shoulder</t>
  </si>
  <si>
    <t>i</t>
  </si>
  <si>
    <t>j</t>
  </si>
  <si>
    <t>k</t>
  </si>
  <si>
    <t>[gG]</t>
  </si>
  <si>
    <r>
      <t xml:space="preserve">[gS] </t>
    </r>
    <r>
      <rPr>
        <sz val="11"/>
        <rFont val="Arial"/>
        <family val="2"/>
      </rPr>
      <t>= [gG] x [GS]</t>
    </r>
  </si>
  <si>
    <t>x</t>
  </si>
  <si>
    <t>y</t>
  </si>
  <si>
    <t>z</t>
  </si>
  <si>
    <t>X (ant+)</t>
  </si>
  <si>
    <t>Y (up+)</t>
  </si>
  <si>
    <t>Z (rt+)</t>
  </si>
  <si>
    <t>Length: Reach 3D vector (m)</t>
  </si>
  <si>
    <t>Length: Reach 2D projection on XZ plane (m)</t>
  </si>
  <si>
    <t>deg</t>
  </si>
  <si>
    <t>Angle: Reach XZ projection rotation from X to Z (rads)</t>
  </si>
  <si>
    <t>Angle: inside Elbow (rad)</t>
  </si>
  <si>
    <t>Angle: between Reach &amp; ForeArm (rad)</t>
  </si>
  <si>
    <t>Angle: between Reach &amp; UpperArm (rad)</t>
  </si>
  <si>
    <t>Sum of angles inside triangle (should be 180)</t>
  </si>
  <si>
    <t>XY Plane</t>
  </si>
  <si>
    <t>YZ Plane</t>
  </si>
  <si>
    <t>XZ Plane</t>
  </si>
  <si>
    <t>Angle: Forearm wrt Horizontal (rad)</t>
  </si>
  <si>
    <t>UpArm CofG coordinate (m)</t>
  </si>
  <si>
    <t>Forearm CofG coordinate (m)</t>
  </si>
  <si>
    <t>Hand CofG coordinate (m)</t>
  </si>
  <si>
    <t>Moments</t>
  </si>
  <si>
    <t>Resultant</t>
  </si>
  <si>
    <t>UpArm CofG</t>
  </si>
  <si>
    <t>Forearm CofG</t>
  </si>
  <si>
    <t>Hand CofG</t>
  </si>
  <si>
    <t>Total (N m)</t>
  </si>
  <si>
    <t>Moment unit vectors</t>
  </si>
  <si>
    <t>M v R θ</t>
  </si>
  <si>
    <t>Reach unit vectors</t>
  </si>
  <si>
    <t>R v A θ</t>
  </si>
  <si>
    <t>A v M θ</t>
  </si>
  <si>
    <t>X</t>
  </si>
  <si>
    <t>Y</t>
  </si>
  <si>
    <t>Z</t>
  </si>
  <si>
    <t>Gravity Force Effect (N) - add or subtract strength</t>
  </si>
  <si>
    <t>(Ant +)</t>
  </si>
  <si>
    <t>Gravity Force Effect (N) in Shoulder Axis System</t>
  </si>
  <si>
    <t>Shoulder</t>
  </si>
  <si>
    <t>UpArm L</t>
  </si>
  <si>
    <t>Elbow</t>
  </si>
  <si>
    <t>Forearm L</t>
  </si>
  <si>
    <t>Wrist</t>
  </si>
  <si>
    <t>Hand L</t>
  </si>
  <si>
    <t>Knuckle</t>
  </si>
  <si>
    <t>Red line shows direction of the Assist Force away from the Knuckle</t>
  </si>
  <si>
    <t>C7T1</t>
  </si>
  <si>
    <t>L5S1</t>
  </si>
  <si>
    <t>[HG]</t>
  </si>
  <si>
    <t>Rotation Matrix</t>
  </si>
  <si>
    <t>Right</t>
  </si>
  <si>
    <t>Left</t>
  </si>
  <si>
    <t>Right Shoulder Axis Direction Cosines</t>
  </si>
  <si>
    <t>Left Shoulder Axis Direction Cosines</t>
  </si>
  <si>
    <t>Left Hand wrt Shld in Global</t>
  </si>
  <si>
    <r>
      <t>[H</t>
    </r>
    <r>
      <rPr>
        <vertAlign val="subscript"/>
        <sz val="11"/>
        <color rgb="FF800000"/>
        <rFont val="Arial"/>
        <family val="2"/>
      </rPr>
      <t>L</t>
    </r>
    <r>
      <rPr>
        <sz val="11"/>
        <color rgb="FF800000"/>
        <rFont val="Arial"/>
        <family val="2"/>
      </rPr>
      <t>S]</t>
    </r>
  </si>
  <si>
    <r>
      <t>[H</t>
    </r>
    <r>
      <rPr>
        <vertAlign val="subscript"/>
        <sz val="11"/>
        <color rgb="FF0000FF"/>
        <rFont val="Arial"/>
        <family val="2"/>
      </rPr>
      <t>R</t>
    </r>
    <r>
      <rPr>
        <sz val="11"/>
        <color rgb="FF0000FF"/>
        <rFont val="Arial"/>
        <family val="2"/>
      </rPr>
      <t>S]</t>
    </r>
  </si>
  <si>
    <t>+Up</t>
  </si>
  <si>
    <t>+Anterior</t>
  </si>
  <si>
    <t>+ is Forward</t>
  </si>
  <si>
    <t>+ is Up</t>
  </si>
  <si>
    <t>+ is Lateral</t>
  </si>
  <si>
    <t>Angle: Reach 3D vector wrt Horizontal (XZ) plane (rad)</t>
  </si>
  <si>
    <t>Note: Assumes Shoulder = (0, 0, 0)</t>
  </si>
  <si>
    <t>rotation of hand from horizontal plane</t>
  </si>
  <si>
    <t>Segment Weigth (N)</t>
  </si>
  <si>
    <t>Assist Force Vector (wrt Global) for graph</t>
  </si>
  <si>
    <t>note: must reverse medial/lateral hand location</t>
  </si>
  <si>
    <t>Hand/Knuckle</t>
  </si>
  <si>
    <t>ANN Coefficients</t>
  </si>
  <si>
    <t>Original Inputs</t>
  </si>
  <si>
    <t>Calculated with Original Inputs</t>
  </si>
  <si>
    <t>18 Inputs</t>
  </si>
  <si>
    <t>Hand Location (m)</t>
  </si>
  <si>
    <t>2D Proj of r</t>
  </si>
  <si>
    <t>DC of Force unit vector (F)</t>
  </si>
  <si>
    <t>DC of 3D MA (DC of r x F)</t>
  </si>
  <si>
    <t>Res 3D MA, MA2, MA3 (m)</t>
  </si>
  <si>
    <t>DC of F x 2D Proj of r</t>
  </si>
  <si>
    <t>Int_3DMA
_Res</t>
  </si>
  <si>
    <t>Int_3DMA
_Res^2</t>
  </si>
  <si>
    <t>Int_3DMA
_Res^3</t>
  </si>
  <si>
    <t>Input 1</t>
  </si>
  <si>
    <t>x1_step1_xoffset</t>
  </si>
  <si>
    <t>x1_step1_gain</t>
  </si>
  <si>
    <t>x1_step1_ymin</t>
  </si>
  <si>
    <t>Layer 1</t>
  </si>
  <si>
    <t>b1</t>
  </si>
  <si>
    <t>IW1 Weights</t>
  </si>
  <si>
    <t>IWI_1</t>
  </si>
  <si>
    <t>Node 1</t>
  </si>
  <si>
    <t>Node 2</t>
  </si>
  <si>
    <t>Node 3</t>
  </si>
  <si>
    <t>Node 4</t>
  </si>
  <si>
    <t>Node 5</t>
  </si>
  <si>
    <t>Node 6</t>
  </si>
  <si>
    <t>Node 7</t>
  </si>
  <si>
    <t>Node 8</t>
  </si>
  <si>
    <t>Node 9</t>
  </si>
  <si>
    <t>Node 10</t>
  </si>
  <si>
    <t>Node 11</t>
  </si>
  <si>
    <t>Node 12</t>
  </si>
  <si>
    <t>Layer 2</t>
  </si>
  <si>
    <t>b2</t>
  </si>
  <si>
    <t>LW2</t>
  </si>
  <si>
    <t>LW2_1</t>
  </si>
  <si>
    <t>Output 1</t>
  </si>
  <si>
    <t>y1_step1_ymin</t>
  </si>
  <si>
    <t>y1_step1_gain</t>
  </si>
  <si>
    <t>y1_step1_xoffset</t>
  </si>
  <si>
    <r>
      <t>a = TANSIG[ Σ ( P</t>
    </r>
    <r>
      <rPr>
        <b/>
        <vertAlign val="subscript"/>
        <sz val="14"/>
        <color rgb="FF008000"/>
        <rFont val="Calibri"/>
        <family val="2"/>
        <scheme val="minor"/>
      </rPr>
      <t>N</t>
    </r>
    <r>
      <rPr>
        <b/>
        <sz val="14"/>
        <color rgb="FF008000"/>
        <rFont val="Calibri"/>
        <family val="2"/>
        <scheme val="minor"/>
      </rPr>
      <t xml:space="preserve"> * IWI_1</t>
    </r>
    <r>
      <rPr>
        <b/>
        <vertAlign val="subscript"/>
        <sz val="14"/>
        <color rgb="FF008000"/>
        <rFont val="Calibri"/>
        <family val="2"/>
        <scheme val="minor"/>
      </rPr>
      <t>N</t>
    </r>
    <r>
      <rPr>
        <b/>
        <sz val="14"/>
        <color rgb="FF008000"/>
        <rFont val="Calibri"/>
        <family val="2"/>
        <scheme val="minor"/>
      </rPr>
      <t>) + b1 ]</t>
    </r>
  </si>
  <si>
    <t>Mapped
Output</t>
  </si>
  <si>
    <t>MapMaxMin Function to Modify the Original Input</t>
  </si>
  <si>
    <t xml:space="preserve">You can use a = TANH(X) function or a = 2 / (1 + e(-2 * X)) - 1   </t>
  </si>
  <si>
    <t>Vert Cord</t>
  </si>
  <si>
    <t>Ant Coord</t>
  </si>
  <si>
    <t>Lat Coord</t>
  </si>
  <si>
    <t>Res(H &amp; L)</t>
  </si>
  <si>
    <t>Res(V &amp; L)</t>
  </si>
  <si>
    <t>Res(V &amp; H)</t>
  </si>
  <si>
    <t>p = [x1_step1_gain] * ( Input - [ x1_step1_offset] ) - 1</t>
  </si>
  <si>
    <t>Inputs</t>
  </si>
  <si>
    <t>Hand Location (wrt Shld)</t>
  </si>
  <si>
    <t>Direction Cosine of Force</t>
  </si>
  <si>
    <t>Condition ANN Inputs</t>
  </si>
  <si>
    <t>Force wrt Global</t>
  </si>
  <si>
    <t>Force wrt Shoulder</t>
  </si>
  <si>
    <t>AP</t>
  </si>
  <si>
    <t>UD</t>
  </si>
  <si>
    <t>LM</t>
  </si>
  <si>
    <t>Percentile</t>
  </si>
  <si>
    <t>CV</t>
  </si>
  <si>
    <t>St Dev</t>
  </si>
  <si>
    <t>Gravity Component Along Force Vector</t>
  </si>
  <si>
    <t>Zero G MAS for population set</t>
  </si>
  <si>
    <t>Enter the ANN Constants Here</t>
  </si>
  <si>
    <t>Copied from Left - ANN MAS</t>
  </si>
  <si>
    <t>Outputs</t>
  </si>
  <si>
    <t>Left Arm - Input Anthropometry</t>
  </si>
  <si>
    <t>Copied from Left - Gravity Correction</t>
  </si>
  <si>
    <t>[WG]</t>
  </si>
  <si>
    <t>[EG]</t>
  </si>
  <si>
    <r>
      <t>[W</t>
    </r>
    <r>
      <rPr>
        <vertAlign val="subscript"/>
        <sz val="11"/>
        <color rgb="FF800000"/>
        <rFont val="Arial"/>
        <family val="2"/>
      </rPr>
      <t>L</t>
    </r>
    <r>
      <rPr>
        <sz val="11"/>
        <color rgb="FF800000"/>
        <rFont val="Arial"/>
        <family val="2"/>
      </rPr>
      <t>S]</t>
    </r>
  </si>
  <si>
    <r>
      <t>[E</t>
    </r>
    <r>
      <rPr>
        <vertAlign val="subscript"/>
        <sz val="11"/>
        <color rgb="FF800000"/>
        <rFont val="Arial"/>
        <family val="2"/>
      </rPr>
      <t>L</t>
    </r>
    <r>
      <rPr>
        <sz val="11"/>
        <color rgb="FF800000"/>
        <rFont val="Arial"/>
        <family val="2"/>
      </rPr>
      <t>S]</t>
    </r>
  </si>
  <si>
    <r>
      <t>[W</t>
    </r>
    <r>
      <rPr>
        <vertAlign val="subscript"/>
        <sz val="11"/>
        <color rgb="FF0000FF"/>
        <rFont val="Arial"/>
        <family val="2"/>
      </rPr>
      <t>R</t>
    </r>
    <r>
      <rPr>
        <sz val="11"/>
        <color rgb="FF0000FF"/>
        <rFont val="Arial"/>
        <family val="2"/>
      </rPr>
      <t>S]</t>
    </r>
  </si>
  <si>
    <t>Left Elbow wrt Shld in Global</t>
  </si>
  <si>
    <t>Left Wrist wrt Shld in Global</t>
  </si>
  <si>
    <t xml:space="preserve">Rt Hand wrt Shld </t>
  </si>
  <si>
    <t xml:space="preserve">Rt Wrist wrt Shld </t>
  </si>
  <si>
    <t xml:space="preserve">Rt Elbow wrt Shld </t>
  </si>
  <si>
    <t>Coordinates wrt Shoulder Axis System</t>
  </si>
  <si>
    <t>use real coordinates if available</t>
  </si>
  <si>
    <t>ANN Coefficients (13 Nodes &amp; 18 Inputs)</t>
  </si>
  <si>
    <t>13 Nodes</t>
  </si>
  <si>
    <t>Node 13</t>
  </si>
  <si>
    <t>Calclulated Strength</t>
  </si>
  <si>
    <t>+Lat-Rt</t>
  </si>
  <si>
    <t>Actual Load</t>
  </si>
  <si>
    <t>+Lat (Right)</t>
  </si>
  <si>
    <t>Z (unit vector)</t>
  </si>
  <si>
    <r>
      <t>Trunk Axis</t>
    </r>
    <r>
      <rPr>
        <sz val="8"/>
        <color theme="0" tint="-0.499984740745262"/>
        <rFont val="Arial"/>
        <family val="2"/>
      </rPr>
      <t xml:space="preserve"> (C7T1 - L5S1)</t>
    </r>
  </si>
  <si>
    <t>Trunk (unit vector)</t>
  </si>
  <si>
    <t>X (Ant) = Trunk x Lat</t>
  </si>
  <si>
    <t>X (unit vector)</t>
  </si>
  <si>
    <t>Y = Z (Lat) x X (Ant)</t>
  </si>
  <si>
    <t>Z (Lat) = Rt - Lft</t>
  </si>
  <si>
    <t>+Lat=Left</t>
  </si>
  <si>
    <t>ile MAS</t>
  </si>
  <si>
    <r>
      <t xml:space="preserve"> Σ( a</t>
    </r>
    <r>
      <rPr>
        <b/>
        <vertAlign val="subscript"/>
        <sz val="11"/>
        <color rgb="FF008000"/>
        <rFont val="Arial"/>
        <family val="2"/>
      </rPr>
      <t>N</t>
    </r>
    <r>
      <rPr>
        <b/>
        <sz val="11"/>
        <color rgb="FF008000"/>
        <rFont val="Arial"/>
        <family val="2"/>
      </rPr>
      <t xml:space="preserve"> * LW2</t>
    </r>
    <r>
      <rPr>
        <b/>
        <vertAlign val="subscript"/>
        <sz val="11"/>
        <color rgb="FF008000"/>
        <rFont val="Arial"/>
        <family val="2"/>
      </rPr>
      <t>N</t>
    </r>
    <r>
      <rPr>
        <b/>
        <sz val="11"/>
        <color rgb="FF008000"/>
        <rFont val="Arial"/>
        <family val="2"/>
      </rPr>
      <t>) + b2</t>
    </r>
  </si>
  <si>
    <t>Actual - 0g</t>
  </si>
  <si>
    <t>% capable</t>
  </si>
  <si>
    <t>Max</t>
  </si>
  <si>
    <t>Min</t>
  </si>
  <si>
    <t>V (SI)</t>
  </si>
  <si>
    <t>H (AP)</t>
  </si>
  <si>
    <t>L (ML)</t>
  </si>
  <si>
    <t>2DMA_SI</t>
  </si>
  <si>
    <t>2DMA_AP</t>
  </si>
  <si>
    <t>2DMA_ML</t>
  </si>
  <si>
    <t>Int_DirCos
_SI_cor</t>
  </si>
  <si>
    <t>Int_DirCos
_AP_cor</t>
  </si>
  <si>
    <t>Int_DirCos
_ML_cor</t>
  </si>
  <si>
    <t>Int_3DMA
_SI</t>
  </si>
  <si>
    <t>Int_3DMA
_AP</t>
  </si>
  <si>
    <t>Int_3DMA
_ML</t>
  </si>
  <si>
    <t>Int_DirCos_AP
 x Pythag</t>
  </si>
  <si>
    <t>Int_DirCos_SI
 x Pythag</t>
  </si>
  <si>
    <t>Int_DirCos_ML
 x Pythag</t>
  </si>
  <si>
    <t>F (SI)</t>
  </si>
  <si>
    <t>F (AP)</t>
  </si>
  <si>
    <t>F (ML)</t>
  </si>
  <si>
    <t>(Sup +)</t>
  </si>
  <si>
    <t>(Lat +)</t>
  </si>
  <si>
    <t>F(SI)</t>
  </si>
  <si>
    <t>F(AP)</t>
  </si>
  <si>
    <t>F(ML)</t>
  </si>
  <si>
    <t>r x F(SI)</t>
  </si>
  <si>
    <t>r x F(AP)</t>
  </si>
  <si>
    <t>r x F(ML)</t>
  </si>
  <si>
    <t>Res(r x F)</t>
  </si>
  <si>
    <t>Res(r x F)^2</t>
  </si>
  <si>
    <t>Res(r x F)^3</t>
  </si>
  <si>
    <t>F(SI) x 2DMA</t>
  </si>
  <si>
    <t>F(AP) x 2DMA</t>
  </si>
  <si>
    <t>F(ML) x 2DMA</t>
  </si>
  <si>
    <t>Left Hand/Knuckle coordinate wrt Shoulder axis (m)</t>
  </si>
  <si>
    <t>Left Wrist coordinate wrt Shoulder axis (m)</t>
  </si>
  <si>
    <t>Left Elbow coordinate wrt Shoulder axis (m)</t>
  </si>
  <si>
    <t>Ant +</t>
  </si>
  <si>
    <t>Sup +</t>
  </si>
  <si>
    <t>Lat +</t>
  </si>
  <si>
    <t>+Sup</t>
  </si>
  <si>
    <t>Code</t>
  </si>
  <si>
    <t>code</t>
  </si>
  <si>
    <t>Post</t>
  </si>
  <si>
    <t>Ant</t>
  </si>
  <si>
    <t>Inf</t>
  </si>
  <si>
    <t>Sup</t>
  </si>
  <si>
    <t>Med</t>
  </si>
  <si>
    <t>Lat</t>
  </si>
  <si>
    <t>Lookup Table for Min &amp; Max for Quadrants &amp; Axes</t>
  </si>
  <si>
    <t>Below Shld</t>
  </si>
  <si>
    <t>Above Shld</t>
  </si>
  <si>
    <t>Down</t>
  </si>
  <si>
    <t>Pull</t>
  </si>
  <si>
    <t>Push</t>
  </si>
  <si>
    <t>Up</t>
  </si>
  <si>
    <t>Shld (mean)</t>
  </si>
  <si>
    <t>Ht</t>
  </si>
  <si>
    <t>Max Values</t>
  </si>
  <si>
    <t>Min Values</t>
  </si>
  <si>
    <t>Sorted for Cut-and-Paste</t>
  </si>
  <si>
    <t>Bounded Strength</t>
  </si>
  <si>
    <t>ANN Strength</t>
  </si>
  <si>
    <t>Step 1</t>
  </si>
  <si>
    <t>Squeeze -1 to +1</t>
  </si>
  <si>
    <t>SI</t>
  </si>
  <si>
    <t>lbs</t>
  </si>
  <si>
    <t>AFF Coordinate System</t>
  </si>
  <si>
    <t>+Ant</t>
  </si>
  <si>
    <t>+Lat</t>
  </si>
  <si>
    <t>Right Hand/Knuckle coordinate wrt Shoulder axis (m)</t>
  </si>
  <si>
    <t>Right Wrist coordinate wrt Shoulder axis (m)</t>
  </si>
  <si>
    <t>Right Elbow coordinate wrt Shoulder axis (m)</t>
  </si>
  <si>
    <t>+ Lat</t>
  </si>
  <si>
    <t>+ Ant</t>
  </si>
  <si>
    <t>+ Sup</t>
  </si>
  <si>
    <t>V (SI) - Y</t>
  </si>
  <si>
    <t>H (AP) - X</t>
  </si>
  <si>
    <t>L (ML) - Z</t>
  </si>
  <si>
    <t>F (SI) - Y</t>
  </si>
  <si>
    <t>F (AP) - X</t>
  </si>
  <si>
    <t>F (ML) - Z</t>
  </si>
  <si>
    <t>V</t>
  </si>
  <si>
    <t>swithced order</t>
  </si>
  <si>
    <t>ML</t>
  </si>
  <si>
    <t>angle</t>
  </si>
  <si>
    <t>direction of Assist Force</t>
  </si>
  <si>
    <t>Force vector (M x r)</t>
  </si>
  <si>
    <t>Female</t>
  </si>
  <si>
    <t>Male</t>
  </si>
  <si>
    <t>%MVC</t>
  </si>
  <si>
    <t>Neck</t>
  </si>
  <si>
    <t>SD</t>
  </si>
  <si>
    <t>R Shld</t>
  </si>
  <si>
    <t>R Wrist</t>
  </si>
  <si>
    <t>R Hand</t>
  </si>
  <si>
    <t>L Shld</t>
  </si>
  <si>
    <t>L Hand</t>
  </si>
  <si>
    <t>R Elbow</t>
  </si>
  <si>
    <t>L Elbow</t>
  </si>
  <si>
    <t>L Wrist</t>
  </si>
  <si>
    <t>R Hip</t>
  </si>
  <si>
    <t>R Knee</t>
  </si>
  <si>
    <t>R Ankle</t>
  </si>
  <si>
    <t>L Hip</t>
  </si>
  <si>
    <t>L Knee</t>
  </si>
  <si>
    <t>L Ankle</t>
  </si>
  <si>
    <t>Nose</t>
  </si>
  <si>
    <t>R Eye</t>
  </si>
  <si>
    <t>L Eye</t>
  </si>
  <si>
    <t>R Ear</t>
  </si>
  <si>
    <t>L Ear</t>
  </si>
  <si>
    <t>Backgrnd</t>
  </si>
  <si>
    <t>Mid Hip</t>
  </si>
  <si>
    <t>Tragion</t>
  </si>
  <si>
    <t>Mid Ear</t>
  </si>
  <si>
    <t>MidHiP</t>
  </si>
  <si>
    <t>MidEar</t>
  </si>
  <si>
    <t>Rt Up Arm</t>
  </si>
  <si>
    <t>Trunk (MidHip)</t>
  </si>
  <si>
    <t>Trunk L5S1</t>
  </si>
  <si>
    <t>Vertical</t>
  </si>
  <si>
    <t>Rt Ear</t>
  </si>
  <si>
    <t>wrt Neck</t>
  </si>
  <si>
    <t>Length</t>
  </si>
  <si>
    <t>L</t>
  </si>
  <si>
    <t>(cm)</t>
  </si>
  <si>
    <t>Height wrs (cm)</t>
  </si>
  <si>
    <t>Input</t>
  </si>
  <si>
    <t>A/P</t>
  </si>
  <si>
    <t>Sup/Inf</t>
  </si>
  <si>
    <t>Calculated</t>
  </si>
  <si>
    <t>Entered</t>
  </si>
  <si>
    <t>Rt Force</t>
  </si>
  <si>
    <t>Rt Hand</t>
  </si>
  <si>
    <t>Lt Hand</t>
  </si>
  <si>
    <t>Lt Force</t>
  </si>
  <si>
    <t>Trunk/Neck</t>
  </si>
  <si>
    <t>The Arm Force Field</t>
  </si>
  <si>
    <t>Nicholas.LaDelfa@uoit.ca &amp; Jim.Potvin@gmail.com</t>
  </si>
  <si>
    <t>Lt Shld</t>
  </si>
  <si>
    <t>Rt Shld</t>
  </si>
  <si>
    <t>Lt Hip</t>
  </si>
  <si>
    <t>Rt Hip</t>
  </si>
  <si>
    <t>Demand</t>
  </si>
  <si>
    <t>MAE Equation</t>
  </si>
  <si>
    <t>Of Maximum Force</t>
  </si>
  <si>
    <t>MAF</t>
  </si>
  <si>
    <r>
      <t xml:space="preserve">Top View - (Z=Lateral </t>
    </r>
    <r>
      <rPr>
        <b/>
        <sz val="14"/>
        <color rgb="FF800000"/>
        <rFont val="Wingdings"/>
        <charset val="2"/>
      </rPr>
      <t></t>
    </r>
    <r>
      <rPr>
        <b/>
        <sz val="14"/>
        <color rgb="FF800000"/>
        <rFont val="Arial"/>
        <family val="2"/>
      </rPr>
      <t xml:space="preserve">) vs (X=Forward </t>
    </r>
    <r>
      <rPr>
        <b/>
        <sz val="14"/>
        <color rgb="FF800000"/>
        <rFont val="Wingdings"/>
        <charset val="2"/>
      </rPr>
      <t></t>
    </r>
    <r>
      <rPr>
        <b/>
        <sz val="14"/>
        <color rgb="FF800000"/>
        <rFont val="Arial"/>
        <family val="2"/>
      </rPr>
      <t>)</t>
    </r>
  </si>
  <si>
    <r>
      <t xml:space="preserve">Right View - (X=Forward </t>
    </r>
    <r>
      <rPr>
        <b/>
        <sz val="14"/>
        <color rgb="FF800000"/>
        <rFont val="Wingdings"/>
        <charset val="2"/>
      </rPr>
      <t></t>
    </r>
    <r>
      <rPr>
        <b/>
        <sz val="14"/>
        <color rgb="FF800000"/>
        <rFont val="Arial"/>
        <family val="2"/>
      </rPr>
      <t xml:space="preserve">) vs (Y=Sup </t>
    </r>
    <r>
      <rPr>
        <b/>
        <sz val="14"/>
        <color rgb="FF800000"/>
        <rFont val="Wingdings"/>
        <charset val="2"/>
      </rPr>
      <t></t>
    </r>
    <r>
      <rPr>
        <b/>
        <sz val="14"/>
        <color rgb="FF800000"/>
        <rFont val="Arial"/>
        <family val="2"/>
      </rPr>
      <t>)</t>
    </r>
  </si>
  <si>
    <r>
      <t xml:space="preserve">Behind View -  (Z=Lateral </t>
    </r>
    <r>
      <rPr>
        <b/>
        <sz val="14"/>
        <color rgb="FF800000"/>
        <rFont val="Wingdings"/>
        <charset val="2"/>
      </rPr>
      <t></t>
    </r>
    <r>
      <rPr>
        <b/>
        <sz val="14"/>
        <color rgb="FF800000"/>
        <rFont val="Arial"/>
        <family val="2"/>
      </rPr>
      <t xml:space="preserve">) vs (Y=Sup </t>
    </r>
    <r>
      <rPr>
        <b/>
        <sz val="14"/>
        <color rgb="FF800000"/>
        <rFont val="Wingdings"/>
        <charset val="2"/>
      </rPr>
      <t></t>
    </r>
    <r>
      <rPr>
        <b/>
        <sz val="14"/>
        <color rgb="FF800000"/>
        <rFont val="Arial"/>
        <family val="2"/>
      </rPr>
      <t>)</t>
    </r>
  </si>
  <si>
    <r>
      <t xml:space="preserve">Front View -  (Z=Lateral </t>
    </r>
    <r>
      <rPr>
        <b/>
        <sz val="14"/>
        <color rgb="FF800000"/>
        <rFont val="Wingdings"/>
        <charset val="2"/>
      </rPr>
      <t></t>
    </r>
    <r>
      <rPr>
        <b/>
        <sz val="14"/>
        <color rgb="FF800000"/>
        <rFont val="Arial"/>
        <family val="2"/>
      </rPr>
      <t xml:space="preserve">) vs (Y=Sup </t>
    </r>
    <r>
      <rPr>
        <b/>
        <sz val="14"/>
        <color rgb="FF800000"/>
        <rFont val="Wingdings"/>
        <charset val="2"/>
      </rPr>
      <t></t>
    </r>
    <r>
      <rPr>
        <b/>
        <sz val="14"/>
        <color rgb="FF800000"/>
        <rFont val="Arial"/>
        <family val="2"/>
      </rPr>
      <t>)</t>
    </r>
  </si>
  <si>
    <t>MAE</t>
  </si>
  <si>
    <t>MAS-ZG</t>
  </si>
  <si>
    <t>MAS-wG</t>
  </si>
  <si>
    <t>Zero G MAF for population set</t>
  </si>
  <si>
    <t>50th Percentile Anthropometry</t>
  </si>
  <si>
    <t>AFF Worksheet Example</t>
  </si>
  <si>
    <t>Threshold for Direction to be considered</t>
  </si>
  <si>
    <t>Reach must be ≥20 cm &amp; ≤ 60 cm</t>
  </si>
  <si>
    <t>Trunk</t>
  </si>
  <si>
    <t>Rt. Humerus</t>
  </si>
  <si>
    <t>Lt. Humerus</t>
  </si>
  <si>
    <t>View from Right</t>
  </si>
  <si>
    <t>View from Behind</t>
  </si>
  <si>
    <t>Ant = +Y &amp; Sup = +Z Graph</t>
  </si>
  <si>
    <t>Right = + X &amp; Sup = +Z Graph</t>
  </si>
  <si>
    <t>Right = + X &amp; Ant = +Y Graph</t>
  </si>
  <si>
    <t>View from Above</t>
  </si>
  <si>
    <t>CofG Location (% from prox end)</t>
  </si>
  <si>
    <t>Body mass and stature from NHANES 2015-2018 (Fryar et al, 2021)</t>
  </si>
  <si>
    <t xml:space="preserve"> 0G MAF</t>
  </si>
  <si>
    <t>Fatigue D/D Ratio</t>
  </si>
  <si>
    <t>%Cap</t>
  </si>
  <si>
    <t>Of Max Acceptable Force</t>
  </si>
  <si>
    <t>NHANES 15-18</t>
  </si>
  <si>
    <t>These are based on 3DSSPP v7.1.3</t>
  </si>
  <si>
    <t>LtShld</t>
  </si>
  <si>
    <t>Toe</t>
  </si>
  <si>
    <t>WRT L5/S1</t>
  </si>
  <si>
    <t>Rotated about X-axis</t>
  </si>
  <si>
    <t>Rt+</t>
  </si>
  <si>
    <t>Ant+</t>
  </si>
  <si>
    <t>Sup+</t>
  </si>
  <si>
    <t>Left Wrist coordinate wrt Shoulder in Global axis (m)</t>
  </si>
  <si>
    <t>Left Elbow coordinate wrt Shoulder in Global axis (m)</t>
  </si>
  <si>
    <t>Rt +</t>
  </si>
  <si>
    <t>Angle (rad)</t>
  </si>
  <si>
    <t>Global Axes</t>
  </si>
  <si>
    <t>Lf Hip</t>
  </si>
  <si>
    <t>Rt Ankle</t>
  </si>
  <si>
    <t>Rt Heel</t>
  </si>
  <si>
    <t>Rt Toe</t>
  </si>
  <si>
    <t>Valid Range</t>
  </si>
  <si>
    <t>CofG(P)</t>
  </si>
  <si>
    <t>Mass</t>
  </si>
  <si>
    <t>Up Arm</t>
  </si>
  <si>
    <t>Head/Nck</t>
  </si>
  <si>
    <t>CofG (Proximal)</t>
  </si>
  <si>
    <t>Weight</t>
  </si>
  <si>
    <t>Male/Female Means</t>
  </si>
  <si>
    <t>BW (N)</t>
  </si>
  <si>
    <t>Force</t>
  </si>
  <si>
    <t>Ext +</t>
  </si>
  <si>
    <t>RtLat +</t>
  </si>
  <si>
    <t>LtTwst +</t>
  </si>
  <si>
    <t>Moments Caused About L5S1 (Nm)</t>
  </si>
  <si>
    <t>Seg Wt Direction</t>
  </si>
  <si>
    <t>Intercept</t>
  </si>
  <si>
    <t>Axial</t>
  </si>
  <si>
    <t>Moment Arm</t>
  </si>
  <si>
    <t xml:space="preserve">Muscle Compression </t>
  </si>
  <si>
    <t>Upper Body Weight Causing Compression</t>
  </si>
  <si>
    <t xml:space="preserve">A negative moment means the </t>
  </si>
  <si>
    <t>extensors must generate force</t>
  </si>
  <si>
    <t>Force on Hands</t>
  </si>
  <si>
    <t>Ht (cm)</t>
  </si>
  <si>
    <t>Calculating the Lumbar Compression Force</t>
  </si>
  <si>
    <t>Setting Up the Graphs</t>
  </si>
  <si>
    <r>
      <rPr>
        <b/>
        <sz val="9"/>
        <color theme="1"/>
        <rFont val="Arial"/>
        <family val="2"/>
      </rPr>
      <t>Enter the vector directions of the 
force applied by the hand</t>
    </r>
    <r>
      <rPr>
        <b/>
        <sz val="8"/>
        <color theme="1"/>
        <rFont val="Arial"/>
        <family val="2"/>
      </rPr>
      <t xml:space="preserve">
</t>
    </r>
    <r>
      <rPr>
        <b/>
        <sz val="8"/>
        <color theme="0" tint="-0.499984740745262"/>
        <rFont val="Arial"/>
        <family val="2"/>
      </rPr>
      <t>(-1.00 to 1.00 or forces in each direction)</t>
    </r>
  </si>
  <si>
    <t>Body segment proportions from 3DSSPP v7.1.3</t>
  </si>
  <si>
    <t>Up BW</t>
  </si>
  <si>
    <t>Total L5S1 Moments</t>
  </si>
  <si>
    <t>Comp from Left Hand Force</t>
  </si>
  <si>
    <t>coords</t>
  </si>
  <si>
    <t>Weight at CofG</t>
  </si>
  <si>
    <t>CofG location wrt L5S1 (m)</t>
  </si>
  <si>
    <t>L5S1 Mo unit vector</t>
  </si>
  <si>
    <t xml:space="preserve">loads cause flexion and the </t>
  </si>
  <si>
    <t>Compression Vector</t>
  </si>
  <si>
    <t>Hand Locations wrt Shoulder (in Global Coordinates)</t>
  </si>
  <si>
    <t>Shoulder Rotations</t>
  </si>
  <si>
    <t>Hand Locations wrt Shoulder Axes System</t>
  </si>
  <si>
    <t>Total Compression (Female)</t>
  </si>
  <si>
    <t>Total Compression (Male)</t>
  </si>
  <si>
    <t>Flex/Ext</t>
  </si>
  <si>
    <t>F x L</t>
  </si>
  <si>
    <t>L^2</t>
  </si>
  <si>
    <t>A^2</t>
  </si>
  <si>
    <t>F x L^2</t>
  </si>
  <si>
    <t>Corrected for reg</t>
  </si>
  <si>
    <t>is in the same direction as Lat then it is +</t>
  </si>
  <si>
    <t>For M.A, always assume + Lat, if Axial</t>
  </si>
  <si>
    <t xml:space="preserve">Task Description: </t>
  </si>
  <si>
    <t>scale factor for force vector arrow
lenghts in graphs</t>
  </si>
  <si>
    <t>Minimum Force required to turn on AFF</t>
  </si>
  <si>
    <t>otherwise assume force up</t>
  </si>
  <si>
    <t>to support against gravity</t>
  </si>
  <si>
    <t>+ is Right</t>
  </si>
  <si>
    <t>otherwise, Axial is negative</t>
  </si>
  <si>
    <r>
      <t xml:space="preserve">The dotted lines show the direction of the forces applied </t>
    </r>
    <r>
      <rPr>
        <b/>
        <u/>
        <sz val="11"/>
        <color theme="1"/>
        <rFont val="Arial"/>
        <family val="2"/>
      </rPr>
      <t>by</t>
    </r>
    <r>
      <rPr>
        <sz val="11"/>
        <color theme="1"/>
        <rFont val="Arial"/>
        <family val="2"/>
      </rPr>
      <t xml:space="preserve"> the </t>
    </r>
    <r>
      <rPr>
        <sz val="11"/>
        <color rgb="FF00B0F0"/>
        <rFont val="Arial"/>
        <family val="2"/>
      </rPr>
      <t>LEFT</t>
    </r>
    <r>
      <rPr>
        <sz val="11"/>
        <color theme="1"/>
        <rFont val="Arial"/>
        <family val="2"/>
      </rPr>
      <t xml:space="preserve"> and </t>
    </r>
    <r>
      <rPr>
        <sz val="11"/>
        <color rgb="FFFC02FF"/>
        <rFont val="Arial"/>
        <family val="2"/>
      </rPr>
      <t>RIGHT</t>
    </r>
    <r>
      <rPr>
        <sz val="11"/>
        <color theme="1"/>
        <rFont val="Arial"/>
        <family val="2"/>
      </rPr>
      <t xml:space="preserve"> hands</t>
    </r>
  </si>
  <si>
    <t>Right Hand: Force Directions</t>
  </si>
  <si>
    <t>Left Hand: Force Directions</t>
  </si>
  <si>
    <t>Angle B</t>
  </si>
  <si>
    <t>Angle A</t>
  </si>
  <si>
    <t>Angle C</t>
  </si>
  <si>
    <t>shoulder angle for Above-Shoudler</t>
  </si>
  <si>
    <t>LiFFT Compression Limit</t>
  </si>
  <si>
    <t>.</t>
  </si>
  <si>
    <t>Fatigue D/C Ratio</t>
  </si>
  <si>
    <t>Moment Arm (m)</t>
  </si>
  <si>
    <t>Moment (Nm)</t>
  </si>
  <si>
    <t>Limits</t>
  </si>
  <si>
    <t>HT Rot</t>
  </si>
  <si>
    <t>GH Rot</t>
  </si>
  <si>
    <t>Above-Shoulder Calculations</t>
  </si>
  <si>
    <t>Shoulder Rotation</t>
  </si>
  <si>
    <t>SF</t>
  </si>
  <si>
    <t>Regression - 3DSSPP Muscle Moment Arms - 2022-03-22a.xlsx</t>
  </si>
  <si>
    <t>F^2</t>
  </si>
  <si>
    <t>F x A</t>
  </si>
  <si>
    <t>L x A</t>
  </si>
  <si>
    <t>F^2 x L</t>
  </si>
  <si>
    <t>F x L x A</t>
  </si>
  <si>
    <t>L^2 x A</t>
  </si>
  <si>
    <t>F x A^2</t>
  </si>
  <si>
    <t>L x A^2</t>
  </si>
  <si>
    <t>Mo &gt; 0</t>
  </si>
  <si>
    <t>F/E Mo &gt; 0</t>
  </si>
  <si>
    <t>L^3</t>
  </si>
  <si>
    <t>Mo ≤ 0</t>
  </si>
  <si>
    <t>F</t>
  </si>
  <si>
    <t>A</t>
  </si>
  <si>
    <t>Extensors</t>
  </si>
  <si>
    <t>Flexors</t>
  </si>
  <si>
    <t>-42 cm (Down) to +50 cm (Up)</t>
  </si>
  <si>
    <t>20 cm Medial to 50 cm Lateral</t>
  </si>
  <si>
    <t>0 cm to +52 cm (Forward)</t>
  </si>
  <si>
    <t xml:space="preserve">Percent Capable </t>
  </si>
  <si>
    <t xml:space="preserve">Sex </t>
  </si>
  <si>
    <t xml:space="preserve">Body Mass (kg) </t>
  </si>
  <si>
    <t xml:space="preserve">Stature (m) </t>
  </si>
  <si>
    <t xml:space="preserve">Trunk Flexion Angle (deg) </t>
  </si>
  <si>
    <t xml:space="preserve">Axis Directions </t>
  </si>
  <si>
    <t xml:space="preserve">Total Reach </t>
  </si>
  <si>
    <t xml:space="preserve">Normalized Vector </t>
  </si>
  <si>
    <t xml:space="preserve">Direction polarity </t>
  </si>
  <si>
    <t xml:space="preserve">Hand Effort Direction </t>
  </si>
  <si>
    <t xml:space="preserve">Hand Force (N) </t>
  </si>
  <si>
    <t xml:space="preserve">Frequency of Efforts per Day </t>
  </si>
  <si>
    <t xml:space="preserve">Effective Duration per Effort (s) </t>
  </si>
  <si>
    <t xml:space="preserve">Duty Cycle </t>
  </si>
  <si>
    <t xml:space="preserve">Manual Arm Strength (MAS) </t>
  </si>
  <si>
    <t xml:space="preserve">Effort (relative to MAS) </t>
  </si>
  <si>
    <t xml:space="preserve">Max Acceptable Effort (MAE) </t>
  </si>
  <si>
    <t xml:space="preserve">Max Acceptable Force (MAF) </t>
  </si>
  <si>
    <t xml:space="preserve">Percent Capable (with MAF) </t>
  </si>
  <si>
    <r>
      <rPr>
        <b/>
        <sz val="11"/>
        <color theme="1"/>
        <rFont val="Arial"/>
        <family val="2"/>
      </rPr>
      <t>X:</t>
    </r>
    <r>
      <rPr>
        <sz val="11"/>
        <color theme="1"/>
        <rFont val="Arial"/>
        <family val="2"/>
      </rPr>
      <t xml:space="preserve"> + Right / - Left</t>
    </r>
    <r>
      <rPr>
        <sz val="11"/>
        <color theme="0"/>
        <rFont val="Arial"/>
        <family val="2"/>
      </rPr>
      <t>.</t>
    </r>
  </si>
  <si>
    <r>
      <t xml:space="preserve">   </t>
    </r>
    <r>
      <rPr>
        <b/>
        <sz val="11"/>
        <color theme="1"/>
        <rFont val="Arial"/>
        <family val="2"/>
      </rPr>
      <t>Y:</t>
    </r>
    <r>
      <rPr>
        <sz val="11"/>
        <color theme="1"/>
        <rFont val="Arial"/>
        <family val="2"/>
      </rPr>
      <t xml:space="preserve"> + Forward / - Backward</t>
    </r>
    <r>
      <rPr>
        <sz val="11"/>
        <color theme="0"/>
        <rFont val="Arial"/>
        <family val="2"/>
      </rPr>
      <t>.</t>
    </r>
  </si>
  <si>
    <r>
      <t xml:space="preserve">   </t>
    </r>
    <r>
      <rPr>
        <b/>
        <sz val="11"/>
        <color theme="1"/>
        <rFont val="Arial"/>
        <family val="2"/>
      </rPr>
      <t>Z:</t>
    </r>
    <r>
      <rPr>
        <sz val="11"/>
        <color theme="1"/>
        <rFont val="Arial"/>
        <family val="2"/>
      </rPr>
      <t xml:space="preserve"> + Up / - Down</t>
    </r>
    <r>
      <rPr>
        <sz val="11"/>
        <color theme="0"/>
        <rFont val="Arial"/>
        <family val="2"/>
      </rPr>
      <t>.</t>
    </r>
  </si>
  <si>
    <t>H</t>
  </si>
  <si>
    <t>Reach</t>
  </si>
  <si>
    <t xml:space="preserve">Forearm + Hand </t>
  </si>
  <si>
    <t>Upper Arm</t>
  </si>
  <si>
    <t>HT</t>
  </si>
  <si>
    <t>For Above-Shoulder</t>
  </si>
  <si>
    <t>used slightly different segment lengths</t>
  </si>
  <si>
    <t>used equation from Rempel &amp; Potvin</t>
  </si>
  <si>
    <t>in Lft &amp; Rt - Gravity correction sheets</t>
  </si>
  <si>
    <t xml:space="preserve">Lumbar Compression Force Demand (N) </t>
  </si>
  <si>
    <r>
      <t>MAF with the SF</t>
    </r>
    <r>
      <rPr>
        <b/>
        <vertAlign val="subscript"/>
        <sz val="11"/>
        <color theme="0"/>
        <rFont val="Arial"/>
        <family val="2"/>
      </rPr>
      <t>SI</t>
    </r>
    <r>
      <rPr>
        <b/>
        <vertAlign val="subscript"/>
        <sz val="11"/>
        <color rgb="FF007FFF"/>
        <rFont val="Arial"/>
        <family val="2"/>
      </rPr>
      <t>.</t>
    </r>
  </si>
  <si>
    <r>
      <t>Subacromial Impinge. Scale Factor (SF</t>
    </r>
    <r>
      <rPr>
        <vertAlign val="subscript"/>
        <sz val="10"/>
        <color rgb="FF007FFF"/>
        <rFont val="Arial"/>
        <family val="2"/>
      </rPr>
      <t>SI</t>
    </r>
    <r>
      <rPr>
        <sz val="10"/>
        <color rgb="FF007FFF"/>
        <rFont val="Arial"/>
        <family val="2"/>
      </rPr>
      <t>)</t>
    </r>
    <r>
      <rPr>
        <sz val="10"/>
        <color theme="0"/>
        <rFont val="Arial"/>
        <family val="2"/>
      </rPr>
      <t>.</t>
    </r>
  </si>
  <si>
    <t>range around shoulder (must be lower than 1 cm below, or higher than 1 cm above to be considered below or above shoulder)</t>
  </si>
  <si>
    <t>&lt;10 deg use 0.063</t>
  </si>
  <si>
    <t>Cumulative Comp</t>
  </si>
  <si>
    <t xml:space="preserve"> </t>
  </si>
  <si>
    <r>
      <t xml:space="preserve">© Nicholas J. La Delfa &amp; Jim R. Potvin (2017)
</t>
    </r>
    <r>
      <rPr>
        <sz val="9"/>
        <color theme="0" tint="-0.499984740745262"/>
        <rFont val="Arial"/>
        <family val="2"/>
      </rPr>
      <t xml:space="preserve">Ontario Tech University &amp; Potvin Biomechanics Inc. </t>
    </r>
  </si>
  <si>
    <t>v2.09 (2024-03-20)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</si>
</sst>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0.000"/>
    <numFmt numFmtId="165" formatCode="0.0000"/>
    <numFmt numFmtId="166" formatCode="0.0"/>
    <numFmt numFmtId="167" formatCode="0.00000"/>
    <numFmt numFmtId="168" formatCode="0.000000"/>
    <numFmt numFmtId="169" formatCode="0.0%"/>
    <numFmt numFmtId="170" formatCode="0.0\ &quot; N&quot;"/>
    <numFmt numFmtId="171" formatCode="0.0\ &quot; cm&quot;"/>
    <numFmt numFmtId="172" formatCode="0.0\ &quot; lbs&quot;"/>
    <numFmt numFmtId="173" formatCode="0.0\ &quot; in&quot;"/>
    <numFmt numFmtId="174" formatCode="0.000\ &quot; s&quot;"/>
    <numFmt numFmtId="175" formatCode="\ 0&quot;th %tile&quot;"/>
    <numFmt numFmtId="176" formatCode="\ 0.0\ &quot;lbs&quot;"/>
    <numFmt numFmtId="177" formatCode="\ 0.0\ &quot;in&quot;"/>
    <numFmt numFmtId="178" formatCode="0&quot;%&quot;"/>
    <numFmt numFmtId="179" formatCode="0\ &quot; N&quot;"/>
    <numFmt numFmtId="180" formatCode="0.0&quot;''&quot;"/>
    <numFmt numFmtId="181" formatCode="&quot;Note: &quot;\ 0.0\ &quot;N&quot;"/>
    <numFmt numFmtId="182" formatCode="0.0000000"/>
    <numFmt numFmtId="183" formatCode="0.00000000"/>
    <numFmt numFmtId="184" formatCode="&quot; GH =&quot;\ 0.0&quot;°&quot;"/>
    <numFmt numFmtId="185" formatCode="0.0\ &quot;%&quot;"/>
    <numFmt numFmtId="186" formatCode="0.0\ &quot; %&quot;"/>
    <numFmt numFmtId="187" formatCode="\ 0.0&quot;°&quot;"/>
  </numFmts>
  <fonts count="119">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0"/>
      <name val="Arial"/>
      <family val="2"/>
    </font>
    <font>
      <sz val="11"/>
      <color rgb="FFFF0000"/>
      <name val="Arial"/>
      <family val="2"/>
    </font>
    <font>
      <b/>
      <sz val="11"/>
      <color theme="1"/>
      <name val="Arial"/>
      <family val="2"/>
    </font>
    <font>
      <sz val="11"/>
      <color theme="0"/>
      <name val="Arial"/>
      <family val="2"/>
    </font>
    <font>
      <sz val="11"/>
      <name val="Arial"/>
      <family val="2"/>
    </font>
    <font>
      <sz val="9"/>
      <color theme="1"/>
      <name val="Arial"/>
      <family val="2"/>
    </font>
    <font>
      <b/>
      <sz val="11"/>
      <color rgb="FF800000"/>
      <name val="Arial"/>
      <family val="2"/>
    </font>
    <font>
      <sz val="11"/>
      <color rgb="FF800000"/>
      <name val="Arial"/>
      <family val="2"/>
    </font>
    <font>
      <sz val="11"/>
      <color rgb="FF0000FF"/>
      <name val="Arial"/>
      <family val="2"/>
    </font>
    <font>
      <b/>
      <sz val="9"/>
      <color rgb="FF3366FF"/>
      <name val="Arial"/>
      <family val="2"/>
    </font>
    <font>
      <b/>
      <sz val="11"/>
      <color rgb="FF3366FF"/>
      <name val="Arial"/>
      <family val="2"/>
    </font>
    <font>
      <b/>
      <sz val="11"/>
      <color rgb="FFFF0000"/>
      <name val="Arial"/>
      <family val="2"/>
    </font>
    <font>
      <b/>
      <sz val="11"/>
      <color rgb="FF0000FF"/>
      <name val="Arial"/>
      <family val="2"/>
    </font>
    <font>
      <sz val="10"/>
      <name val="Helvetica"/>
      <family val="2"/>
    </font>
    <font>
      <sz val="12"/>
      <color theme="1"/>
      <name val="Calibri"/>
      <family val="2"/>
      <scheme val="minor"/>
    </font>
    <font>
      <sz val="11"/>
      <color theme="0" tint="-0.499984740745262"/>
      <name val="Arial"/>
      <family val="2"/>
    </font>
    <font>
      <u/>
      <sz val="11"/>
      <color theme="10"/>
      <name val="Arial"/>
      <family val="2"/>
    </font>
    <font>
      <u/>
      <sz val="11"/>
      <color theme="11"/>
      <name val="Arial"/>
      <family val="2"/>
    </font>
    <font>
      <sz val="8"/>
      <color theme="0" tint="-0.499984740745262"/>
      <name val="Arial"/>
      <family val="2"/>
    </font>
    <font>
      <vertAlign val="subscript"/>
      <sz val="11"/>
      <color rgb="FF800000"/>
      <name val="Arial"/>
      <family val="2"/>
    </font>
    <font>
      <vertAlign val="subscript"/>
      <sz val="11"/>
      <color rgb="FF0000FF"/>
      <name val="Arial"/>
      <family val="2"/>
    </font>
    <font>
      <sz val="8"/>
      <color rgb="FFFF0000"/>
      <name val="Arial"/>
      <family val="2"/>
    </font>
    <font>
      <sz val="11"/>
      <color theme="0" tint="-0.34998626667073579"/>
      <name val="Arial"/>
      <family val="2"/>
    </font>
    <font>
      <sz val="12"/>
      <color rgb="FF800000"/>
      <name val="Calibri"/>
      <family val="2"/>
      <scheme val="minor"/>
    </font>
    <font>
      <b/>
      <sz val="14"/>
      <name val="Arial"/>
      <family val="2"/>
    </font>
    <font>
      <b/>
      <sz val="11"/>
      <name val="Arial"/>
      <family val="2"/>
    </font>
    <font>
      <b/>
      <sz val="12"/>
      <color rgb="FF000000"/>
      <name val="Calibri"/>
      <family val="2"/>
      <scheme val="minor"/>
    </font>
    <font>
      <sz val="10"/>
      <color rgb="FF800000"/>
      <name val="Arial"/>
      <family val="2"/>
    </font>
    <font>
      <sz val="10"/>
      <color theme="1"/>
      <name val="Arial"/>
      <family val="2"/>
    </font>
    <font>
      <sz val="12"/>
      <color rgb="FF0000FF"/>
      <name val="Calibri"/>
      <family val="2"/>
      <scheme val="minor"/>
    </font>
    <font>
      <sz val="12"/>
      <color rgb="FF008000"/>
      <name val="Calibri"/>
      <family val="2"/>
      <scheme val="minor"/>
    </font>
    <font>
      <sz val="6"/>
      <color theme="1"/>
      <name val="Arial"/>
      <family val="2"/>
    </font>
    <font>
      <b/>
      <sz val="14"/>
      <color rgb="FF800000"/>
      <name val="Arial"/>
      <family val="2"/>
    </font>
    <font>
      <b/>
      <sz val="16"/>
      <color theme="1"/>
      <name val="Arial"/>
      <family val="2"/>
    </font>
    <font>
      <b/>
      <sz val="14"/>
      <color rgb="FF008000"/>
      <name val="Calibri"/>
      <family val="2"/>
      <scheme val="minor"/>
    </font>
    <font>
      <b/>
      <vertAlign val="subscript"/>
      <sz val="14"/>
      <color rgb="FF008000"/>
      <name val="Calibri"/>
      <family val="2"/>
      <scheme val="minor"/>
    </font>
    <font>
      <b/>
      <sz val="12"/>
      <color rgb="FF008000"/>
      <name val="Calibri"/>
      <family val="2"/>
      <scheme val="minor"/>
    </font>
    <font>
      <sz val="11"/>
      <color rgb="FF000000"/>
      <name val="Arial"/>
      <family val="2"/>
    </font>
    <font>
      <b/>
      <sz val="11"/>
      <color rgb="FF008000"/>
      <name val="Arial"/>
      <family val="2"/>
    </font>
    <font>
      <b/>
      <vertAlign val="subscript"/>
      <sz val="11"/>
      <color rgb="FF008000"/>
      <name val="Arial"/>
      <family val="2"/>
    </font>
    <font>
      <b/>
      <sz val="14"/>
      <color rgb="FF0000FF"/>
      <name val="Arial"/>
      <family val="2"/>
    </font>
    <font>
      <b/>
      <sz val="18"/>
      <name val="Arial"/>
      <family val="2"/>
    </font>
    <font>
      <b/>
      <sz val="14"/>
      <color theme="1"/>
      <name val="Arial"/>
      <family val="2"/>
    </font>
    <font>
      <b/>
      <sz val="18"/>
      <color rgb="FF800000"/>
      <name val="Arial"/>
      <family val="2"/>
    </font>
    <font>
      <sz val="9"/>
      <color theme="0" tint="-0.34998626667073579"/>
      <name val="Arial"/>
      <family val="2"/>
    </font>
    <font>
      <sz val="11"/>
      <color theme="1"/>
      <name val="Calibri"/>
      <family val="2"/>
      <scheme val="minor"/>
    </font>
    <font>
      <sz val="11"/>
      <color rgb="FF008000"/>
      <name val="Arial"/>
      <family val="2"/>
    </font>
    <font>
      <sz val="11"/>
      <color theme="5" tint="0.79998168889431442"/>
      <name val="Arial"/>
      <family val="2"/>
    </font>
    <font>
      <sz val="11"/>
      <color rgb="FFFFFF99"/>
      <name val="Arial"/>
      <family val="2"/>
    </font>
    <font>
      <sz val="11"/>
      <color rgb="FFCCFFCC"/>
      <name val="Arial"/>
      <family val="2"/>
    </font>
    <font>
      <sz val="8"/>
      <color theme="0" tint="-0.34998626667073579"/>
      <name val="Arial"/>
      <family val="2"/>
    </font>
    <font>
      <sz val="8"/>
      <color rgb="FF008000"/>
      <name val="Arial"/>
      <family val="2"/>
    </font>
    <font>
      <sz val="9"/>
      <color rgb="FF800000"/>
      <name val="Arial"/>
      <family val="2"/>
    </font>
    <font>
      <sz val="9"/>
      <color theme="0" tint="-0.249977111117893"/>
      <name val="Arial"/>
      <family val="2"/>
    </font>
    <font>
      <sz val="11"/>
      <color theme="0" tint="-0.249977111117893"/>
      <name val="Arial"/>
      <family val="2"/>
    </font>
    <font>
      <sz val="10"/>
      <name val="Arial"/>
      <family val="2"/>
    </font>
    <font>
      <sz val="11"/>
      <color rgb="FF00B0F0"/>
      <name val="Arial"/>
      <family val="2"/>
    </font>
    <font>
      <b/>
      <sz val="9"/>
      <color theme="1"/>
      <name val="Arial"/>
      <family val="2"/>
    </font>
    <font>
      <sz val="11"/>
      <color rgb="FFFC02FF"/>
      <name val="Arial"/>
      <family val="2"/>
    </font>
    <font>
      <sz val="9"/>
      <color theme="0" tint="-0.499984740745262"/>
      <name val="Arial"/>
      <family val="2"/>
    </font>
    <font>
      <b/>
      <sz val="14"/>
      <color rgb="FF800000"/>
      <name val="Wingdings"/>
      <charset val="2"/>
    </font>
    <font>
      <sz val="11"/>
      <color theme="0" tint="-4.9989318521683403E-2"/>
      <name val="Arial"/>
      <family val="2"/>
    </font>
    <font>
      <sz val="14"/>
      <color theme="1"/>
      <name val="Arial"/>
      <family val="2"/>
    </font>
    <font>
      <sz val="14"/>
      <color rgb="FF0000FF"/>
      <name val="Arial"/>
      <family val="2"/>
    </font>
    <font>
      <b/>
      <sz val="11"/>
      <color rgb="FF2E67B1"/>
      <name val="Arial"/>
      <family val="2"/>
    </font>
    <font>
      <sz val="10"/>
      <color theme="0" tint="-0.34998626667073579"/>
      <name val="Arial"/>
      <family val="2"/>
    </font>
    <font>
      <b/>
      <sz val="8"/>
      <color theme="0" tint="-0.499984740745262"/>
      <name val="Arial"/>
      <family val="2"/>
    </font>
    <font>
      <sz val="14"/>
      <color theme="0" tint="-0.34998626667073579"/>
      <name val="Arial"/>
      <family val="2"/>
    </font>
    <font>
      <b/>
      <sz val="11"/>
      <color theme="0" tint="-0.34998626667073579"/>
      <name val="Arial"/>
      <family val="2"/>
    </font>
    <font>
      <b/>
      <sz val="11"/>
      <color rgb="FF000000"/>
      <name val="Arial"/>
      <family val="2"/>
    </font>
    <font>
      <b/>
      <sz val="11"/>
      <color rgb="FFC00000"/>
      <name val="Arial"/>
      <family val="2"/>
    </font>
    <font>
      <b/>
      <sz val="11"/>
      <color rgb="FF44B764"/>
      <name val="Arial"/>
      <family val="2"/>
    </font>
    <font>
      <sz val="11"/>
      <color rgb="FFC00000"/>
      <name val="Arial"/>
      <family val="2"/>
    </font>
    <font>
      <sz val="11"/>
      <color rgb="FF44B764"/>
      <name val="Arial"/>
      <family val="2"/>
    </font>
    <font>
      <sz val="8"/>
      <color theme="1"/>
      <name val="Arial"/>
      <family val="2"/>
    </font>
    <font>
      <b/>
      <sz val="11"/>
      <color rgb="FF0432FF"/>
      <name val="Arial"/>
      <family val="2"/>
    </font>
    <font>
      <sz val="11"/>
      <color rgb="FF0432FF"/>
      <name val="Arial"/>
      <family val="2"/>
    </font>
    <font>
      <b/>
      <sz val="11"/>
      <color theme="0" tint="-0.499984740745262"/>
      <name val="Arial"/>
      <family val="2"/>
    </font>
    <font>
      <sz val="10"/>
      <color rgb="FF000000"/>
      <name val="Tahoma"/>
      <family val="2"/>
    </font>
    <font>
      <b/>
      <sz val="10"/>
      <color rgb="FF000000"/>
      <name val="Tahoma"/>
      <family val="2"/>
    </font>
    <font>
      <b/>
      <sz val="11"/>
      <color rgb="FF00B0F0"/>
      <name val="Arial"/>
      <family val="2"/>
    </font>
    <font>
      <sz val="11"/>
      <color rgb="FF00B050"/>
      <name val="Arial"/>
      <family val="2"/>
    </font>
    <font>
      <sz val="11"/>
      <color rgb="FFE86026"/>
      <name val="Arial"/>
      <family val="2"/>
    </font>
    <font>
      <b/>
      <sz val="8"/>
      <color theme="1"/>
      <name val="Arial"/>
      <family val="2"/>
    </font>
    <font>
      <b/>
      <sz val="11"/>
      <color rgb="FF00B050"/>
      <name val="Arial"/>
      <family val="2"/>
    </font>
    <font>
      <b/>
      <sz val="11"/>
      <color rgb="FFE86026"/>
      <name val="Arial"/>
      <family val="2"/>
    </font>
    <font>
      <sz val="10"/>
      <color theme="0" tint="-0.499984740745262"/>
      <name val="Arial"/>
      <family val="2"/>
    </font>
    <font>
      <b/>
      <sz val="18"/>
      <color rgb="FF0000FF"/>
      <name val="Arial"/>
      <family val="2"/>
    </font>
    <font>
      <sz val="18"/>
      <color rgb="FF0000FF"/>
      <name val="Arial"/>
      <family val="2"/>
    </font>
    <font>
      <b/>
      <sz val="20"/>
      <color theme="1"/>
      <name val="Arial"/>
      <family val="2"/>
    </font>
    <font>
      <b/>
      <u/>
      <sz val="11"/>
      <color theme="1"/>
      <name val="Arial"/>
      <family val="2"/>
    </font>
    <font>
      <sz val="11"/>
      <color rgb="FF007FFF"/>
      <name val="Arial"/>
      <family val="2"/>
    </font>
    <font>
      <b/>
      <sz val="11"/>
      <color rgb="FF007FFF"/>
      <name val="Arial"/>
      <family val="2"/>
    </font>
    <font>
      <sz val="11"/>
      <color rgb="FF008F00"/>
      <name val="Arial"/>
      <family val="2"/>
    </font>
    <font>
      <sz val="11"/>
      <color rgb="FF0000FF"/>
      <name val="ArialMT"/>
      <family val="2"/>
    </font>
    <font>
      <sz val="9"/>
      <color rgb="FF0000FF"/>
      <name val="ArialMT"/>
      <family val="2"/>
    </font>
    <font>
      <sz val="9"/>
      <color rgb="FF008F00"/>
      <name val="Arial"/>
      <family val="2"/>
    </font>
    <font>
      <b/>
      <sz val="11"/>
      <color theme="0" tint="-0.249977111117893"/>
      <name val="Arial"/>
      <family val="2"/>
    </font>
    <font>
      <sz val="10"/>
      <color rgb="FF007FFF"/>
      <name val="Arial"/>
      <family val="2"/>
    </font>
    <font>
      <sz val="8"/>
      <color rgb="FF0432FF"/>
      <name val="Arial"/>
      <family val="2"/>
    </font>
    <font>
      <sz val="8"/>
      <color rgb="FF008F00"/>
      <name val="Arial"/>
      <family val="2"/>
    </font>
    <font>
      <b/>
      <vertAlign val="subscript"/>
      <sz val="11"/>
      <color theme="0"/>
      <name val="Arial"/>
      <family val="2"/>
    </font>
    <font>
      <b/>
      <vertAlign val="subscript"/>
      <sz val="11"/>
      <color rgb="FF007FFF"/>
      <name val="Arial"/>
      <family val="2"/>
    </font>
    <font>
      <b/>
      <sz val="11"/>
      <color rgb="FF008F00"/>
      <name val="Arial"/>
      <family val="2"/>
    </font>
    <font>
      <sz val="11"/>
      <color theme="1"/>
      <name val="ArialMT"/>
    </font>
    <font>
      <b/>
      <sz val="11"/>
      <color theme="1"/>
      <name val="ArialMT"/>
    </font>
    <font>
      <b/>
      <sz val="11"/>
      <color rgb="FF9437FF"/>
      <name val="ArialMT"/>
    </font>
    <font>
      <b/>
      <sz val="11"/>
      <color rgb="FFC00000"/>
      <name val="ArialMT"/>
    </font>
    <font>
      <sz val="11"/>
      <color theme="0" tint="-0.499984740745262"/>
      <name val="ArialMT"/>
      <family val="2"/>
    </font>
    <font>
      <b/>
      <sz val="11"/>
      <color rgb="FF9437FF"/>
      <name val="Arial"/>
      <family val="2"/>
    </font>
    <font>
      <sz val="11"/>
      <color rgb="FF9437FF"/>
      <name val="Arial"/>
      <family val="2"/>
    </font>
    <font>
      <vertAlign val="subscript"/>
      <sz val="10"/>
      <color rgb="FF007FFF"/>
      <name val="Arial"/>
      <family val="2"/>
    </font>
    <font>
      <sz val="10"/>
      <color theme="0"/>
      <name val="Arial"/>
      <family val="2"/>
    </font>
  </fonts>
  <fills count="4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66FFCC"/>
        <bgColor indexed="64"/>
      </patternFill>
    </fill>
    <fill>
      <patternFill patternType="solid">
        <fgColor theme="1"/>
        <bgColor indexed="64"/>
      </patternFill>
    </fill>
    <fill>
      <patternFill patternType="solid">
        <fgColor rgb="FF00FFFF"/>
        <bgColor indexed="64"/>
      </patternFill>
    </fill>
    <fill>
      <patternFill patternType="solid">
        <fgColor rgb="FFFFFF99"/>
        <bgColor indexed="64"/>
      </patternFill>
    </fill>
    <fill>
      <patternFill patternType="solid">
        <fgColor rgb="FFCCFFFF"/>
        <bgColor indexed="64"/>
      </patternFill>
    </fill>
    <fill>
      <patternFill patternType="solid">
        <fgColor rgb="FF66FFFF"/>
        <bgColor indexed="64"/>
      </patternFill>
    </fill>
    <fill>
      <patternFill patternType="solid">
        <fgColor theme="9" tint="0.79998168889431442"/>
        <bgColor indexed="64"/>
      </patternFill>
    </fill>
    <fill>
      <patternFill patternType="solid">
        <fgColor rgb="FFFFCC66"/>
        <bgColor indexed="64"/>
      </patternFill>
    </fill>
    <fill>
      <patternFill patternType="solid">
        <fgColor rgb="FFCCFFCC"/>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CCFF66"/>
        <bgColor indexed="64"/>
      </patternFill>
    </fill>
    <fill>
      <patternFill patternType="solid">
        <fgColor rgb="FFAAE7FF"/>
        <bgColor indexed="64"/>
      </patternFill>
    </fill>
    <fill>
      <patternFill patternType="solid">
        <fgColor rgb="FFFFF9CA"/>
        <bgColor indexed="64"/>
      </patternFill>
    </fill>
    <fill>
      <patternFill patternType="solid">
        <fgColor rgb="FFFFFF66"/>
        <bgColor indexed="64"/>
      </patternFill>
    </fill>
    <fill>
      <patternFill patternType="solid">
        <fgColor rgb="FF800000"/>
        <bgColor indexed="64"/>
      </patternFill>
    </fill>
    <fill>
      <patternFill patternType="solid">
        <fgColor rgb="FF66FF66"/>
        <bgColor indexed="64"/>
      </patternFill>
    </fill>
    <fill>
      <patternFill patternType="solid">
        <fgColor theme="0" tint="-0.34998626667073579"/>
        <bgColor indexed="64"/>
      </patternFill>
    </fill>
    <fill>
      <patternFill patternType="solid">
        <fgColor rgb="FFE0FEB6"/>
        <bgColor indexed="64"/>
      </patternFill>
    </fill>
    <fill>
      <patternFill patternType="solid">
        <fgColor theme="9"/>
        <bgColor indexed="64"/>
      </patternFill>
    </fill>
    <fill>
      <patternFill patternType="solid">
        <fgColor rgb="FFFFFDA9"/>
        <bgColor indexed="64"/>
      </patternFill>
    </fill>
    <fill>
      <patternFill patternType="solid">
        <fgColor rgb="FF2E67B1"/>
        <bgColor indexed="64"/>
      </patternFill>
    </fill>
    <fill>
      <patternFill patternType="solid">
        <fgColor rgb="FFD5FFFF"/>
        <bgColor indexed="64"/>
      </patternFill>
    </fill>
    <fill>
      <patternFill patternType="solid">
        <fgColor rgb="FFFFCCF4"/>
        <bgColor indexed="64"/>
      </patternFill>
    </fill>
    <fill>
      <patternFill patternType="solid">
        <fgColor rgb="FFFFF2CC"/>
        <bgColor indexed="64"/>
      </patternFill>
    </fill>
    <fill>
      <patternFill patternType="solid">
        <fgColor theme="8" tint="0.79998168889431442"/>
        <bgColor indexed="64"/>
      </patternFill>
    </fill>
    <fill>
      <patternFill patternType="solid">
        <fgColor rgb="FFFFFDC0"/>
        <bgColor indexed="64"/>
      </patternFill>
    </fill>
    <fill>
      <patternFill patternType="solid">
        <fgColor rgb="FFC00000"/>
        <bgColor indexed="64"/>
      </patternFill>
    </fill>
    <fill>
      <patternFill patternType="solid">
        <fgColor rgb="FF8047C7"/>
        <bgColor indexed="64"/>
      </patternFill>
    </fill>
    <fill>
      <patternFill patternType="solid">
        <fgColor rgb="FFE8E4F8"/>
        <bgColor indexed="64"/>
      </patternFill>
    </fill>
    <fill>
      <patternFill patternType="solid">
        <fgColor rgb="FF007FFF"/>
        <bgColor indexed="64"/>
      </patternFill>
    </fill>
    <fill>
      <patternFill patternType="solid">
        <fgColor rgb="FFFFFFE1"/>
        <bgColor indexed="64"/>
      </patternFill>
    </fill>
    <fill>
      <patternFill patternType="solid">
        <fgColor rgb="FF9437FF"/>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571">
    <xf numFmtId="0" fontId="0" fillId="0" borderId="0"/>
    <xf numFmtId="9" fontId="5" fillId="0" borderId="0" applyFont="0" applyFill="0" applyBorder="0" applyAlignment="0" applyProtection="0"/>
    <xf numFmtId="0" fontId="19" fillId="0" borderId="0"/>
    <xf numFmtId="0" fontId="20"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9" fillId="0" borderId="0"/>
    <xf numFmtId="9" fontId="4"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0" fillId="0" borderId="0"/>
    <xf numFmtId="9" fontId="3" fillId="0" borderId="0" applyFont="0" applyFill="0" applyBorder="0" applyAlignment="0" applyProtection="0"/>
    <xf numFmtId="0" fontId="51" fillId="0" borderId="0"/>
    <xf numFmtId="0" fontId="20"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6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701">
    <xf numFmtId="0" fontId="0" fillId="0" borderId="0" xfId="0"/>
    <xf numFmtId="0" fontId="10" fillId="0" borderId="0" xfId="0" applyFont="1" applyAlignment="1">
      <alignment vertical="center"/>
    </xf>
    <xf numFmtId="0" fontId="0" fillId="0" borderId="0" xfId="0" applyAlignment="1">
      <alignment vertical="center"/>
    </xf>
    <xf numFmtId="0" fontId="0" fillId="0" borderId="1" xfId="0" applyBorder="1" applyAlignment="1">
      <alignment horizontal="center" vertical="center"/>
    </xf>
    <xf numFmtId="0" fontId="7" fillId="0" borderId="0" xfId="0" applyFont="1" applyAlignment="1">
      <alignment vertical="center"/>
    </xf>
    <xf numFmtId="165" fontId="13" fillId="6" borderId="1" xfId="0" applyNumberFormat="1" applyFont="1" applyFill="1" applyBorder="1" applyAlignment="1">
      <alignment horizontal="center" vertical="center"/>
    </xf>
    <xf numFmtId="164" fontId="14" fillId="0" borderId="1" xfId="0" applyNumberFormat="1" applyFont="1" applyBorder="1" applyAlignment="1">
      <alignment horizontal="center" vertical="center"/>
    </xf>
    <xf numFmtId="164" fontId="14" fillId="6" borderId="1" xfId="0" applyNumberFormat="1" applyFont="1" applyFill="1" applyBorder="1" applyAlignment="1">
      <alignment horizontal="center" vertical="center"/>
    </xf>
    <xf numFmtId="2" fontId="14" fillId="0" borderId="1" xfId="0" applyNumberFormat="1" applyFont="1" applyBorder="1" applyAlignment="1">
      <alignment horizontal="center" vertical="center"/>
    </xf>
    <xf numFmtId="0" fontId="14" fillId="0" borderId="0" xfId="0" applyFont="1" applyAlignment="1">
      <alignment vertical="center"/>
    </xf>
    <xf numFmtId="164" fontId="0" fillId="0" borderId="0" xfId="0" applyNumberFormat="1" applyAlignment="1">
      <alignment horizontal="center" vertical="center"/>
    </xf>
    <xf numFmtId="0" fontId="11" fillId="0" borderId="0" xfId="0" applyFont="1" applyAlignment="1">
      <alignment vertical="center"/>
    </xf>
    <xf numFmtId="0" fontId="15" fillId="0" borderId="0" xfId="0" applyFont="1" applyAlignment="1">
      <alignment vertical="center"/>
    </xf>
    <xf numFmtId="0" fontId="0" fillId="8" borderId="1" xfId="0" applyFill="1" applyBorder="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xf>
    <xf numFmtId="0" fontId="0" fillId="0" borderId="1" xfId="0" applyBorder="1" applyAlignment="1">
      <alignment horizontal="right" vertical="center"/>
    </xf>
    <xf numFmtId="165" fontId="13" fillId="0" borderId="1" xfId="0" applyNumberFormat="1" applyFont="1" applyBorder="1" applyAlignment="1">
      <alignment horizontal="right" vertical="center"/>
    </xf>
    <xf numFmtId="165" fontId="14" fillId="0" borderId="1" xfId="0" applyNumberFormat="1" applyFont="1" applyBorder="1" applyAlignment="1">
      <alignment horizontal="center" vertical="center"/>
    </xf>
    <xf numFmtId="0" fontId="0" fillId="0" borderId="0" xfId="0" applyAlignment="1">
      <alignment horizontal="right" vertical="center"/>
    </xf>
    <xf numFmtId="0" fontId="0" fillId="0" borderId="1" xfId="0" applyBorder="1" applyAlignment="1">
      <alignment horizontal="left" vertical="center"/>
    </xf>
    <xf numFmtId="164" fontId="14" fillId="9" borderId="1" xfId="0" applyNumberFormat="1" applyFont="1" applyFill="1" applyBorder="1" applyAlignment="1">
      <alignment horizontal="center" vertical="center"/>
    </xf>
    <xf numFmtId="9" fontId="14" fillId="6" borderId="1" xfId="1" applyFont="1" applyFill="1" applyBorder="1" applyAlignment="1">
      <alignment horizontal="center" vertical="center"/>
    </xf>
    <xf numFmtId="9" fontId="0" fillId="0" borderId="0" xfId="1" applyFont="1" applyAlignment="1">
      <alignment horizontal="right" vertical="center"/>
    </xf>
    <xf numFmtId="0" fontId="0" fillId="0" borderId="1" xfId="0" applyBorder="1" applyAlignment="1">
      <alignment vertical="center"/>
    </xf>
    <xf numFmtId="2" fontId="14" fillId="6" borderId="1" xfId="0" applyNumberFormat="1" applyFont="1" applyFill="1" applyBorder="1" applyAlignment="1">
      <alignment horizontal="center" vertical="center"/>
    </xf>
    <xf numFmtId="164" fontId="17" fillId="0" borderId="0" xfId="0" applyNumberFormat="1" applyFont="1" applyAlignment="1">
      <alignment horizontal="left" vertical="center"/>
    </xf>
    <xf numFmtId="0" fontId="17" fillId="0" borderId="0" xfId="0" applyFont="1" applyAlignment="1">
      <alignment vertical="center"/>
    </xf>
    <xf numFmtId="164" fontId="0" fillId="0" borderId="0" xfId="0" applyNumberFormat="1" applyAlignment="1">
      <alignment horizontal="right" vertical="center"/>
    </xf>
    <xf numFmtId="0" fontId="0" fillId="6" borderId="1" xfId="0" applyFill="1" applyBorder="1" applyAlignment="1">
      <alignment horizontal="center" vertical="center"/>
    </xf>
    <xf numFmtId="165" fontId="14" fillId="0" borderId="4" xfId="0" applyNumberFormat="1" applyFont="1" applyBorder="1" applyAlignment="1">
      <alignment horizontal="center" vertical="center"/>
    </xf>
    <xf numFmtId="0" fontId="13" fillId="0" borderId="1" xfId="0" applyFont="1" applyBorder="1" applyAlignment="1">
      <alignment horizontal="left" vertical="center"/>
    </xf>
    <xf numFmtId="166" fontId="14" fillId="6" borderId="1" xfId="0" applyNumberFormat="1" applyFont="1" applyFill="1" applyBorder="1" applyAlignment="1">
      <alignment horizontal="center" vertical="center"/>
    </xf>
    <xf numFmtId="0" fontId="13" fillId="0" borderId="1" xfId="0" applyFont="1" applyBorder="1" applyAlignment="1">
      <alignment vertical="center"/>
    </xf>
    <xf numFmtId="0" fontId="0" fillId="6" borderId="0" xfId="0" applyFill="1" applyAlignment="1">
      <alignment vertical="center"/>
    </xf>
    <xf numFmtId="166" fontId="9" fillId="10" borderId="1" xfId="0" applyNumberFormat="1" applyFont="1" applyFill="1" applyBorder="1" applyAlignment="1">
      <alignment horizontal="center" vertical="center"/>
    </xf>
    <xf numFmtId="0" fontId="8" fillId="9" borderId="1" xfId="0" applyFont="1" applyFill="1" applyBorder="1" applyAlignment="1">
      <alignment vertical="center"/>
    </xf>
    <xf numFmtId="0" fontId="0" fillId="0" borderId="4" xfId="0" applyBorder="1" applyAlignment="1">
      <alignment vertical="center"/>
    </xf>
    <xf numFmtId="0" fontId="8" fillId="11" borderId="1" xfId="0" applyFont="1" applyFill="1" applyBorder="1" applyAlignment="1">
      <alignment vertical="center"/>
    </xf>
    <xf numFmtId="0" fontId="8" fillId="12" borderId="1" xfId="0" applyFont="1" applyFill="1" applyBorder="1" applyAlignment="1">
      <alignment vertical="center"/>
    </xf>
    <xf numFmtId="165" fontId="0" fillId="0" borderId="0" xfId="0" applyNumberFormat="1" applyAlignment="1">
      <alignment vertical="center"/>
    </xf>
    <xf numFmtId="0" fontId="8" fillId="0" borderId="0" xfId="0" applyFont="1" applyAlignment="1">
      <alignment vertical="center"/>
    </xf>
    <xf numFmtId="0" fontId="0" fillId="5" borderId="1" xfId="0" applyFill="1" applyBorder="1" applyAlignment="1">
      <alignment vertical="center"/>
    </xf>
    <xf numFmtId="0" fontId="8" fillId="13" borderId="1" xfId="0" applyFont="1" applyFill="1" applyBorder="1" applyAlignment="1">
      <alignment vertical="center"/>
    </xf>
    <xf numFmtId="2" fontId="18" fillId="13" borderId="1" xfId="0" applyNumberFormat="1" applyFont="1" applyFill="1" applyBorder="1" applyAlignment="1">
      <alignment horizontal="center" vertical="center"/>
    </xf>
    <xf numFmtId="164" fontId="18" fillId="14" borderId="1" xfId="0" applyNumberFormat="1" applyFont="1" applyFill="1" applyBorder="1" applyAlignment="1">
      <alignment horizontal="center" vertical="center"/>
    </xf>
    <xf numFmtId="0" fontId="14" fillId="0" borderId="0" xfId="0" quotePrefix="1" applyFont="1" applyAlignment="1">
      <alignment vertical="center"/>
    </xf>
    <xf numFmtId="165" fontId="0" fillId="0" borderId="1" xfId="0" applyNumberFormat="1" applyBorder="1" applyAlignment="1">
      <alignment horizontal="center" vertical="center"/>
    </xf>
    <xf numFmtId="164" fontId="0" fillId="6" borderId="1" xfId="0" applyNumberFormat="1" applyFill="1" applyBorder="1" applyAlignment="1">
      <alignment vertical="center"/>
    </xf>
    <xf numFmtId="0" fontId="10" fillId="6" borderId="1" xfId="0" quotePrefix="1" applyFont="1" applyFill="1" applyBorder="1" applyAlignment="1">
      <alignment vertical="center"/>
    </xf>
    <xf numFmtId="2" fontId="18" fillId="15" borderId="1" xfId="0" applyNumberFormat="1" applyFont="1" applyFill="1" applyBorder="1" applyAlignment="1">
      <alignment horizontal="center" vertical="center"/>
    </xf>
    <xf numFmtId="0" fontId="8" fillId="16" borderId="1" xfId="0" applyFont="1" applyFill="1" applyBorder="1" applyAlignment="1">
      <alignment vertical="center"/>
    </xf>
    <xf numFmtId="2" fontId="18" fillId="16" borderId="1" xfId="0" applyNumberFormat="1" applyFont="1" applyFill="1" applyBorder="1" applyAlignment="1">
      <alignment horizontal="center" vertical="center"/>
    </xf>
    <xf numFmtId="0" fontId="0" fillId="17" borderId="1" xfId="0" applyFill="1" applyBorder="1" applyAlignment="1">
      <alignment vertical="center"/>
    </xf>
    <xf numFmtId="164" fontId="0" fillId="17" borderId="1" xfId="0" applyNumberFormat="1" applyFill="1" applyBorder="1" applyAlignment="1">
      <alignment horizontal="center" vertical="center"/>
    </xf>
    <xf numFmtId="0" fontId="0" fillId="6" borderId="1" xfId="0" applyFill="1" applyBorder="1" applyAlignment="1">
      <alignment vertical="center"/>
    </xf>
    <xf numFmtId="164" fontId="0" fillId="6" borderId="1" xfId="0" applyNumberFormat="1" applyFill="1" applyBorder="1" applyAlignment="1">
      <alignment horizontal="center" vertical="center"/>
    </xf>
    <xf numFmtId="165" fontId="0" fillId="0" borderId="1" xfId="0" applyNumberFormat="1" applyBorder="1" applyAlignment="1">
      <alignment vertical="center"/>
    </xf>
    <xf numFmtId="2" fontId="0" fillId="0" borderId="1" xfId="0" applyNumberFormat="1" applyBorder="1" applyAlignment="1">
      <alignment vertical="center"/>
    </xf>
    <xf numFmtId="0" fontId="0" fillId="11" borderId="1" xfId="0" applyFill="1" applyBorder="1" applyAlignment="1">
      <alignment vertical="center"/>
    </xf>
    <xf numFmtId="164" fontId="0" fillId="11" borderId="1" xfId="0" applyNumberFormat="1" applyFill="1" applyBorder="1" applyAlignment="1">
      <alignment horizontal="center" vertical="center"/>
    </xf>
    <xf numFmtId="2" fontId="0" fillId="0" borderId="0" xfId="0" applyNumberFormat="1" applyAlignment="1">
      <alignment vertical="center"/>
    </xf>
    <xf numFmtId="164" fontId="0" fillId="12" borderId="1" xfId="0" applyNumberFormat="1" applyFill="1" applyBorder="1" applyAlignment="1">
      <alignment horizontal="center" vertical="center"/>
    </xf>
    <xf numFmtId="0" fontId="8" fillId="18" borderId="1" xfId="0" applyFont="1" applyFill="1" applyBorder="1" applyAlignment="1">
      <alignment vertical="center"/>
    </xf>
    <xf numFmtId="164" fontId="0" fillId="18" borderId="1" xfId="0" applyNumberFormat="1" applyFill="1" applyBorder="1" applyAlignment="1">
      <alignment horizontal="center" vertical="center"/>
    </xf>
    <xf numFmtId="0" fontId="6" fillId="19" borderId="1" xfId="0" applyFont="1" applyFill="1" applyBorder="1" applyAlignment="1">
      <alignment vertical="center"/>
    </xf>
    <xf numFmtId="164" fontId="6" fillId="19"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21" fillId="0" borderId="8" xfId="0" applyFont="1" applyBorder="1" applyAlignment="1">
      <alignment vertical="center"/>
    </xf>
    <xf numFmtId="0" fontId="0" fillId="8" borderId="1" xfId="0" applyFill="1" applyBorder="1" applyAlignment="1">
      <alignment vertical="center"/>
    </xf>
    <xf numFmtId="164" fontId="0" fillId="8" borderId="1" xfId="0" applyNumberFormat="1" applyFill="1" applyBorder="1" applyAlignment="1">
      <alignment vertical="center"/>
    </xf>
    <xf numFmtId="0" fontId="21" fillId="0" borderId="1" xfId="0" applyFont="1" applyBorder="1" applyAlignment="1">
      <alignment vertical="center"/>
    </xf>
    <xf numFmtId="0" fontId="21" fillId="0" borderId="0" xfId="0" applyFont="1" applyAlignment="1">
      <alignment horizontal="right" vertical="center"/>
    </xf>
    <xf numFmtId="164" fontId="21" fillId="0" borderId="1" xfId="0" applyNumberFormat="1" applyFont="1" applyBorder="1" applyAlignment="1">
      <alignment vertical="center"/>
    </xf>
    <xf numFmtId="0" fontId="10" fillId="8" borderId="1" xfId="0" applyFont="1" applyFill="1" applyBorder="1" applyAlignment="1">
      <alignment vertical="center"/>
    </xf>
    <xf numFmtId="164" fontId="10" fillId="8" borderId="1" xfId="0" applyNumberFormat="1" applyFont="1" applyFill="1" applyBorder="1" applyAlignment="1">
      <alignment vertical="center"/>
    </xf>
    <xf numFmtId="0" fontId="0" fillId="0" borderId="1" xfId="0" quotePrefix="1" applyBorder="1" applyAlignment="1">
      <alignment horizontal="center" vertical="center"/>
    </xf>
    <xf numFmtId="166" fontId="0" fillId="0" borderId="0" xfId="0" applyNumberFormat="1" applyAlignment="1">
      <alignment vertical="center"/>
    </xf>
    <xf numFmtId="2" fontId="24" fillId="0" borderId="0" xfId="0" applyNumberFormat="1" applyFont="1" applyAlignment="1">
      <alignment vertical="center"/>
    </xf>
    <xf numFmtId="165" fontId="24" fillId="0" borderId="0" xfId="0" applyNumberFormat="1" applyFont="1" applyAlignment="1">
      <alignment vertical="center"/>
    </xf>
    <xf numFmtId="0" fontId="0" fillId="0" borderId="0" xfId="0" applyAlignment="1">
      <alignment horizontal="center" vertical="center"/>
    </xf>
    <xf numFmtId="0" fontId="14" fillId="13" borderId="1" xfId="0" applyFont="1" applyFill="1" applyBorder="1" applyAlignment="1">
      <alignment vertical="center"/>
    </xf>
    <xf numFmtId="0" fontId="13" fillId="15" borderId="1" xfId="0" applyFont="1" applyFill="1" applyBorder="1" applyAlignment="1">
      <alignment vertical="center"/>
    </xf>
    <xf numFmtId="0" fontId="14" fillId="13" borderId="8" xfId="0" applyFont="1" applyFill="1" applyBorder="1" applyAlignment="1">
      <alignment horizontal="center" vertical="center"/>
    </xf>
    <xf numFmtId="0" fontId="13" fillId="15" borderId="8" xfId="0" applyFont="1" applyFill="1" applyBorder="1" applyAlignment="1">
      <alignment horizontal="center" vertical="center"/>
    </xf>
    <xf numFmtId="0" fontId="0" fillId="0" borderId="1" xfId="0" quotePrefix="1" applyBorder="1" applyAlignment="1">
      <alignment horizontal="left" vertical="center"/>
    </xf>
    <xf numFmtId="0" fontId="0" fillId="20" borderId="1" xfId="0" quotePrefix="1" applyFill="1" applyBorder="1" applyAlignment="1">
      <alignment horizontal="left" vertical="center"/>
    </xf>
    <xf numFmtId="0" fontId="27" fillId="0" borderId="0" xfId="0" applyFont="1" applyAlignment="1">
      <alignment vertical="center"/>
    </xf>
    <xf numFmtId="0" fontId="7" fillId="0" borderId="1" xfId="0" applyFont="1" applyBorder="1" applyAlignment="1">
      <alignment horizontal="center" vertical="center"/>
    </xf>
    <xf numFmtId="0" fontId="0" fillId="0" borderId="0" xfId="0" quotePrefix="1" applyAlignment="1">
      <alignment vertical="center"/>
    </xf>
    <xf numFmtId="165" fontId="0" fillId="0" borderId="0" xfId="0" applyNumberFormat="1"/>
    <xf numFmtId="165" fontId="0" fillId="6" borderId="1" xfId="0" applyNumberFormat="1" applyFill="1" applyBorder="1" applyAlignment="1">
      <alignment horizontal="center" vertical="center"/>
    </xf>
    <xf numFmtId="164" fontId="0" fillId="0" borderId="0" xfId="0" applyNumberFormat="1"/>
    <xf numFmtId="164" fontId="28" fillId="0" borderId="0" xfId="0" applyNumberFormat="1" applyFont="1" applyAlignment="1">
      <alignment horizontal="center" vertical="center"/>
    </xf>
    <xf numFmtId="0" fontId="21" fillId="6" borderId="1" xfId="0" applyFont="1" applyFill="1" applyBorder="1" applyAlignment="1">
      <alignment vertical="center"/>
    </xf>
    <xf numFmtId="0" fontId="30" fillId="0" borderId="0" xfId="61" applyFont="1" applyAlignment="1">
      <alignment vertical="center"/>
    </xf>
    <xf numFmtId="0" fontId="10" fillId="0" borderId="0" xfId="61" applyFont="1" applyAlignment="1">
      <alignment vertical="center"/>
    </xf>
    <xf numFmtId="0" fontId="18" fillId="2" borderId="1" xfId="61" applyFont="1" applyFill="1" applyBorder="1" applyAlignment="1">
      <alignment vertical="center"/>
    </xf>
    <xf numFmtId="0" fontId="0" fillId="23" borderId="1" xfId="61" applyFont="1" applyFill="1" applyBorder="1" applyAlignment="1">
      <alignment vertical="center"/>
    </xf>
    <xf numFmtId="167" fontId="12" fillId="12" borderId="1" xfId="3" applyNumberFormat="1" applyFont="1" applyFill="1" applyBorder="1" applyAlignment="1">
      <alignment horizontal="center" vertical="center" wrapText="1"/>
    </xf>
    <xf numFmtId="0" fontId="10" fillId="6" borderId="1" xfId="61" applyFont="1" applyFill="1" applyBorder="1" applyAlignment="1">
      <alignment vertical="center"/>
    </xf>
    <xf numFmtId="0" fontId="13" fillId="6" borderId="1" xfId="61" applyFont="1" applyFill="1" applyBorder="1" applyAlignment="1">
      <alignment vertical="center"/>
    </xf>
    <xf numFmtId="165" fontId="10" fillId="6" borderId="1" xfId="61" applyNumberFormat="1" applyFont="1" applyFill="1" applyBorder="1" applyAlignment="1">
      <alignment vertical="center"/>
    </xf>
    <xf numFmtId="167" fontId="10" fillId="6" borderId="1" xfId="61" applyNumberFormat="1" applyFont="1" applyFill="1" applyBorder="1" applyAlignment="1">
      <alignment vertical="center"/>
    </xf>
    <xf numFmtId="165" fontId="13" fillId="0" borderId="0" xfId="61" applyNumberFormat="1" applyFont="1" applyAlignment="1">
      <alignment horizontal="right" vertical="center"/>
    </xf>
    <xf numFmtId="0" fontId="44" fillId="26" borderId="3" xfId="61" applyFont="1" applyFill="1" applyBorder="1" applyAlignment="1">
      <alignment horizontal="center" vertical="center" wrapText="1"/>
    </xf>
    <xf numFmtId="166" fontId="46" fillId="27" borderId="1" xfId="61" applyNumberFormat="1" applyFont="1" applyFill="1" applyBorder="1" applyAlignment="1">
      <alignment horizontal="center" vertical="center"/>
    </xf>
    <xf numFmtId="167" fontId="44" fillId="26" borderId="1" xfId="61" applyNumberFormat="1" applyFont="1" applyFill="1" applyBorder="1" applyAlignment="1">
      <alignment horizontal="center" vertical="center" wrapText="1"/>
    </xf>
    <xf numFmtId="164" fontId="0" fillId="0" borderId="0" xfId="0" applyNumberFormat="1" applyAlignment="1">
      <alignment vertical="center"/>
    </xf>
    <xf numFmtId="164" fontId="14" fillId="13" borderId="1" xfId="0" applyNumberFormat="1" applyFont="1" applyFill="1" applyBorder="1" applyAlignment="1">
      <alignment vertical="center"/>
    </xf>
    <xf numFmtId="164" fontId="13" fillId="15" borderId="1" xfId="0" applyNumberFormat="1" applyFont="1" applyFill="1" applyBorder="1" applyAlignment="1">
      <alignment vertical="center"/>
    </xf>
    <xf numFmtId="164" fontId="0" fillId="0" borderId="1" xfId="0" applyNumberFormat="1" applyBorder="1" applyAlignment="1">
      <alignment vertical="center"/>
    </xf>
    <xf numFmtId="164" fontId="14" fillId="13" borderId="8" xfId="0" applyNumberFormat="1" applyFont="1" applyFill="1" applyBorder="1" applyAlignment="1">
      <alignment horizontal="center" vertical="center"/>
    </xf>
    <xf numFmtId="164" fontId="14" fillId="13" borderId="2" xfId="0" applyNumberFormat="1" applyFont="1" applyFill="1" applyBorder="1" applyAlignment="1">
      <alignment horizontal="center" vertical="center"/>
    </xf>
    <xf numFmtId="164" fontId="14" fillId="13" borderId="3" xfId="0" applyNumberFormat="1" applyFont="1" applyFill="1" applyBorder="1" applyAlignment="1">
      <alignment horizontal="center" vertical="center"/>
    </xf>
    <xf numFmtId="0" fontId="21" fillId="0" borderId="0" xfId="0" applyFont="1" applyAlignment="1">
      <alignment vertical="center"/>
    </xf>
    <xf numFmtId="166" fontId="0" fillId="17" borderId="1" xfId="0" applyNumberFormat="1" applyFill="1" applyBorder="1" applyAlignment="1">
      <alignment horizontal="center" vertical="center"/>
    </xf>
    <xf numFmtId="2" fontId="0" fillId="16" borderId="1" xfId="0" applyNumberFormat="1" applyFill="1" applyBorder="1" applyAlignment="1">
      <alignment horizontal="center" vertical="center"/>
    </xf>
    <xf numFmtId="169" fontId="0" fillId="17" borderId="1" xfId="1" applyNumberFormat="1" applyFont="1" applyFill="1" applyBorder="1" applyAlignment="1">
      <alignment horizontal="center" vertical="center"/>
    </xf>
    <xf numFmtId="166" fontId="46" fillId="29" borderId="4" xfId="61" applyNumberFormat="1" applyFont="1" applyFill="1" applyBorder="1" applyAlignment="1">
      <alignment horizontal="center" vertical="center"/>
    </xf>
    <xf numFmtId="9" fontId="0" fillId="29" borderId="4" xfId="1" applyFont="1" applyFill="1" applyBorder="1" applyAlignment="1">
      <alignment horizontal="right" vertical="center"/>
    </xf>
    <xf numFmtId="167" fontId="28" fillId="0" borderId="1" xfId="0" applyNumberFormat="1" applyFont="1" applyBorder="1" applyAlignment="1">
      <alignment horizontal="center" vertical="center"/>
    </xf>
    <xf numFmtId="0" fontId="12" fillId="6" borderId="1" xfId="0" applyFont="1" applyFill="1" applyBorder="1" applyAlignment="1">
      <alignment horizontal="center" vertical="center"/>
    </xf>
    <xf numFmtId="0" fontId="12" fillId="6" borderId="4" xfId="0" applyFont="1" applyFill="1" applyBorder="1" applyAlignment="1">
      <alignment horizontal="center" vertical="center"/>
    </xf>
    <xf numFmtId="165" fontId="13" fillId="12" borderId="1" xfId="0" applyNumberFormat="1" applyFont="1" applyFill="1" applyBorder="1" applyAlignment="1">
      <alignment horizontal="center" vertical="center"/>
    </xf>
    <xf numFmtId="0" fontId="48" fillId="6" borderId="0" xfId="0" applyFont="1" applyFill="1" applyAlignment="1">
      <alignment vertical="center"/>
    </xf>
    <xf numFmtId="0" fontId="14" fillId="13" borderId="1" xfId="0" applyFont="1" applyFill="1" applyBorder="1" applyAlignment="1">
      <alignment horizontal="left" vertical="center"/>
    </xf>
    <xf numFmtId="0" fontId="8" fillId="15" borderId="8" xfId="0" applyFont="1" applyFill="1" applyBorder="1" applyAlignment="1">
      <alignment horizontal="center" vertical="center"/>
    </xf>
    <xf numFmtId="0" fontId="8" fillId="13" borderId="8" xfId="0" applyFont="1" applyFill="1" applyBorder="1" applyAlignment="1">
      <alignment horizontal="center" vertical="center"/>
    </xf>
    <xf numFmtId="0" fontId="0" fillId="13" borderId="1" xfId="0" applyFill="1" applyBorder="1" applyAlignment="1">
      <alignment vertical="center"/>
    </xf>
    <xf numFmtId="0" fontId="50" fillId="0" borderId="0" xfId="0" applyFont="1" applyAlignment="1">
      <alignment vertical="center"/>
    </xf>
    <xf numFmtId="0" fontId="8" fillId="14" borderId="1" xfId="0" applyFont="1" applyFill="1" applyBorder="1" applyAlignment="1">
      <alignment vertical="center"/>
    </xf>
    <xf numFmtId="164" fontId="8" fillId="14" borderId="1" xfId="0" applyNumberFormat="1" applyFont="1" applyFill="1" applyBorder="1" applyAlignment="1">
      <alignment horizontal="center" vertical="center"/>
    </xf>
    <xf numFmtId="0" fontId="0" fillId="18" borderId="1" xfId="0" quotePrefix="1" applyFill="1" applyBorder="1" applyAlignment="1">
      <alignment horizontal="center" vertical="center"/>
    </xf>
    <xf numFmtId="0" fontId="3" fillId="0" borderId="0" xfId="227" applyAlignment="1">
      <alignment vertical="center"/>
    </xf>
    <xf numFmtId="167" fontId="29" fillId="0" borderId="0" xfId="227" applyNumberFormat="1" applyFont="1" applyAlignment="1">
      <alignment horizontal="right" vertical="center"/>
    </xf>
    <xf numFmtId="0" fontId="33" fillId="12" borderId="1" xfId="228" applyFont="1" applyFill="1" applyBorder="1" applyAlignment="1">
      <alignment horizontal="center" vertical="center" wrapText="1"/>
    </xf>
    <xf numFmtId="0" fontId="34" fillId="21" borderId="1" xfId="228" applyFont="1" applyFill="1" applyBorder="1" applyAlignment="1">
      <alignment horizontal="center" vertical="center" wrapText="1"/>
    </xf>
    <xf numFmtId="0" fontId="34" fillId="5" borderId="1" xfId="228" applyFont="1" applyFill="1" applyBorder="1" applyAlignment="1">
      <alignment horizontal="center" vertical="center" wrapText="1"/>
    </xf>
    <xf numFmtId="0" fontId="34" fillId="3" borderId="1" xfId="228" applyFont="1" applyFill="1" applyBorder="1" applyAlignment="1">
      <alignment horizontal="center" vertical="center" wrapText="1"/>
    </xf>
    <xf numFmtId="0" fontId="34" fillId="22" borderId="1" xfId="228" applyFont="1" applyFill="1" applyBorder="1" applyAlignment="1">
      <alignment horizontal="center" vertical="center" wrapText="1"/>
    </xf>
    <xf numFmtId="0" fontId="11" fillId="0" borderId="0" xfId="227" applyFont="1" applyAlignment="1">
      <alignment vertical="center"/>
    </xf>
    <xf numFmtId="0" fontId="35" fillId="17" borderId="1" xfId="227" applyFont="1" applyFill="1" applyBorder="1" applyAlignment="1">
      <alignment horizontal="left" vertical="center"/>
    </xf>
    <xf numFmtId="0" fontId="35" fillId="23" borderId="1" xfId="227" applyFont="1" applyFill="1" applyBorder="1" applyAlignment="1">
      <alignment vertical="center"/>
    </xf>
    <xf numFmtId="0" fontId="35" fillId="23" borderId="1" xfId="227" applyFont="1" applyFill="1" applyBorder="1" applyAlignment="1">
      <alignment horizontal="right" vertical="center"/>
    </xf>
    <xf numFmtId="168" fontId="35" fillId="17" borderId="5" xfId="227" applyNumberFormat="1" applyFont="1" applyFill="1" applyBorder="1" applyAlignment="1">
      <alignment horizontal="right" vertical="center"/>
    </xf>
    <xf numFmtId="1" fontId="35" fillId="17" borderId="1" xfId="227" applyNumberFormat="1" applyFont="1" applyFill="1" applyBorder="1" applyAlignment="1">
      <alignment horizontal="right" vertical="center"/>
    </xf>
    <xf numFmtId="168" fontId="35" fillId="17" borderId="1" xfId="227" applyNumberFormat="1" applyFont="1" applyFill="1" applyBorder="1" applyAlignment="1">
      <alignment horizontal="right" vertical="center"/>
    </xf>
    <xf numFmtId="0" fontId="3" fillId="0" borderId="0" xfId="227"/>
    <xf numFmtId="0" fontId="11" fillId="0" borderId="0" xfId="227" applyFont="1"/>
    <xf numFmtId="0" fontId="29" fillId="17" borderId="1" xfId="227" applyFont="1" applyFill="1" applyBorder="1" applyAlignment="1">
      <alignment horizontal="left" vertical="center"/>
    </xf>
    <xf numFmtId="0" fontId="29" fillId="23" borderId="1" xfId="227" applyFont="1" applyFill="1" applyBorder="1" applyAlignment="1">
      <alignment vertical="center"/>
    </xf>
    <xf numFmtId="0" fontId="29" fillId="23" borderId="1" xfId="227" applyFont="1" applyFill="1" applyBorder="1" applyAlignment="1">
      <alignment horizontal="right" vertical="center"/>
    </xf>
    <xf numFmtId="168" fontId="29" fillId="9" borderId="5" xfId="227" applyNumberFormat="1" applyFont="1" applyFill="1" applyBorder="1" applyAlignment="1">
      <alignment horizontal="right" vertical="center"/>
    </xf>
    <xf numFmtId="168" fontId="29" fillId="9" borderId="1" xfId="227" applyNumberFormat="1" applyFont="1" applyFill="1" applyBorder="1" applyAlignment="1">
      <alignment horizontal="right" vertical="center"/>
    </xf>
    <xf numFmtId="1" fontId="29" fillId="9" borderId="1" xfId="227" applyNumberFormat="1" applyFont="1" applyFill="1" applyBorder="1" applyAlignment="1">
      <alignment horizontal="right" vertical="center"/>
    </xf>
    <xf numFmtId="0" fontId="3" fillId="17" borderId="1" xfId="227" applyFill="1" applyBorder="1" applyAlignment="1">
      <alignment horizontal="left" vertical="center"/>
    </xf>
    <xf numFmtId="0" fontId="3" fillId="23" borderId="1" xfId="227" applyFill="1" applyBorder="1" applyAlignment="1">
      <alignment horizontal="right" vertical="center"/>
    </xf>
    <xf numFmtId="0" fontId="36" fillId="24" borderId="1" xfId="227" applyFont="1" applyFill="1" applyBorder="1" applyAlignment="1">
      <alignment horizontal="center" vertical="center"/>
    </xf>
    <xf numFmtId="167" fontId="3" fillId="23" borderId="1" xfId="227" applyNumberFormat="1" applyFill="1" applyBorder="1" applyAlignment="1">
      <alignment horizontal="right" vertical="center"/>
    </xf>
    <xf numFmtId="167" fontId="37" fillId="0" borderId="0" xfId="227" applyNumberFormat="1" applyFont="1" applyAlignment="1">
      <alignment vertical="center"/>
    </xf>
    <xf numFmtId="167" fontId="11" fillId="0" borderId="0" xfId="227" applyNumberFormat="1" applyFont="1" applyAlignment="1">
      <alignment vertical="center"/>
    </xf>
    <xf numFmtId="0" fontId="35" fillId="18" borderId="1" xfId="227" applyFont="1" applyFill="1" applyBorder="1" applyAlignment="1">
      <alignment horizontal="center" vertical="center"/>
    </xf>
    <xf numFmtId="0" fontId="20" fillId="18" borderId="1" xfId="227" applyFont="1" applyFill="1" applyBorder="1" applyAlignment="1">
      <alignment horizontal="center" vertical="center"/>
    </xf>
    <xf numFmtId="167" fontId="29" fillId="0" borderId="5" xfId="227" applyNumberFormat="1" applyFont="1" applyBorder="1" applyAlignment="1">
      <alignment horizontal="right" vertical="center"/>
    </xf>
    <xf numFmtId="167" fontId="29" fillId="0" borderId="1" xfId="227" applyNumberFormat="1" applyFont="1" applyBorder="1" applyAlignment="1">
      <alignment horizontal="right" vertical="center"/>
    </xf>
    <xf numFmtId="0" fontId="0" fillId="18" borderId="1" xfId="227" applyFont="1" applyFill="1" applyBorder="1" applyAlignment="1">
      <alignment horizontal="center" vertical="center"/>
    </xf>
    <xf numFmtId="0" fontId="3" fillId="0" borderId="0" xfId="227" applyAlignment="1">
      <alignment horizontal="right" vertical="center"/>
    </xf>
    <xf numFmtId="165" fontId="3" fillId="23" borderId="1" xfId="227" applyNumberFormat="1" applyFill="1" applyBorder="1" applyAlignment="1">
      <alignment horizontal="center" vertical="center"/>
    </xf>
    <xf numFmtId="0" fontId="35" fillId="25" borderId="1" xfId="227" applyFont="1" applyFill="1" applyBorder="1" applyAlignment="1">
      <alignment horizontal="center" vertical="center"/>
    </xf>
    <xf numFmtId="0" fontId="35" fillId="25" borderId="3" xfId="227" applyFont="1" applyFill="1" applyBorder="1" applyAlignment="1">
      <alignment horizontal="center" vertical="center"/>
    </xf>
    <xf numFmtId="0" fontId="13" fillId="28" borderId="0" xfId="227" applyFont="1" applyFill="1"/>
    <xf numFmtId="0" fontId="13" fillId="28" borderId="0" xfId="227" applyFont="1" applyFill="1" applyAlignment="1">
      <alignment vertical="center"/>
    </xf>
    <xf numFmtId="0" fontId="20" fillId="25" borderId="1" xfId="227" applyFont="1" applyFill="1" applyBorder="1" applyAlignment="1">
      <alignment horizontal="center" vertical="center"/>
    </xf>
    <xf numFmtId="165" fontId="29" fillId="0" borderId="1" xfId="227" applyNumberFormat="1" applyFont="1" applyBorder="1" applyAlignment="1">
      <alignment horizontal="right" vertical="center"/>
    </xf>
    <xf numFmtId="0" fontId="3" fillId="28" borderId="0" xfId="227" applyFill="1" applyAlignment="1">
      <alignment vertical="center"/>
    </xf>
    <xf numFmtId="0" fontId="8" fillId="0" borderId="0" xfId="227" applyFont="1" applyAlignment="1">
      <alignment horizontal="center"/>
    </xf>
    <xf numFmtId="0" fontId="3" fillId="28" borderId="0" xfId="227" applyFill="1"/>
    <xf numFmtId="0" fontId="33" fillId="12" borderId="1" xfId="228" applyFont="1" applyFill="1" applyBorder="1" applyAlignment="1">
      <alignment horizontal="left" vertical="center" wrapText="1"/>
    </xf>
    <xf numFmtId="0" fontId="3" fillId="0" borderId="0" xfId="227" applyAlignment="1">
      <alignment horizontal="left"/>
    </xf>
    <xf numFmtId="0" fontId="20" fillId="0" borderId="0" xfId="3"/>
    <xf numFmtId="0" fontId="0" fillId="25" borderId="1" xfId="227" applyFont="1" applyFill="1" applyBorder="1" applyAlignment="1">
      <alignment horizontal="center" vertical="center"/>
    </xf>
    <xf numFmtId="0" fontId="3" fillId="12" borderId="1" xfId="227" applyFill="1" applyBorder="1" applyAlignment="1">
      <alignment horizontal="left" vertical="center"/>
    </xf>
    <xf numFmtId="0" fontId="36" fillId="24" borderId="1" xfId="227" applyFont="1" applyFill="1" applyBorder="1" applyAlignment="1">
      <alignment horizontal="right" vertical="center"/>
    </xf>
    <xf numFmtId="0" fontId="29" fillId="12" borderId="1" xfId="227" applyFont="1" applyFill="1" applyBorder="1" applyAlignment="1">
      <alignment horizontal="left" vertical="center"/>
    </xf>
    <xf numFmtId="0" fontId="35" fillId="12" borderId="1" xfId="227" applyFont="1" applyFill="1" applyBorder="1" applyAlignment="1">
      <alignment horizontal="left" vertical="center"/>
    </xf>
    <xf numFmtId="167" fontId="35" fillId="17" borderId="1" xfId="227" applyNumberFormat="1" applyFont="1" applyFill="1" applyBorder="1" applyAlignment="1">
      <alignment horizontal="right" vertical="center"/>
    </xf>
    <xf numFmtId="0" fontId="39" fillId="0" borderId="0" xfId="227" applyFont="1" applyAlignment="1">
      <alignment horizontal="center" vertical="center"/>
    </xf>
    <xf numFmtId="167" fontId="12" fillId="6" borderId="1" xfId="228" applyNumberFormat="1" applyFont="1" applyFill="1" applyBorder="1" applyAlignment="1">
      <alignment horizontal="center" vertical="center" wrapText="1"/>
    </xf>
    <xf numFmtId="164" fontId="3" fillId="6" borderId="1" xfId="61" applyNumberFormat="1" applyFont="1" applyFill="1" applyBorder="1" applyAlignment="1">
      <alignment vertical="center"/>
    </xf>
    <xf numFmtId="165" fontId="14" fillId="0" borderId="1" xfId="227" applyNumberFormat="1" applyFont="1" applyBorder="1" applyAlignment="1">
      <alignment vertical="center"/>
    </xf>
    <xf numFmtId="0" fontId="3" fillId="0" borderId="1" xfId="227" applyBorder="1" applyAlignment="1">
      <alignment horizontal="center" vertical="center" wrapText="1"/>
    </xf>
    <xf numFmtId="169" fontId="0" fillId="0" borderId="0" xfId="229" applyNumberFormat="1" applyFont="1" applyAlignment="1">
      <alignment vertical="center"/>
    </xf>
    <xf numFmtId="164" fontId="11" fillId="0" borderId="1" xfId="227" applyNumberFormat="1" applyFont="1" applyBorder="1" applyAlignment="1">
      <alignment vertical="center"/>
    </xf>
    <xf numFmtId="9" fontId="0" fillId="17" borderId="1" xfId="1" applyFont="1" applyFill="1" applyBorder="1" applyAlignment="1">
      <alignment horizontal="center" vertical="center"/>
    </xf>
    <xf numFmtId="0" fontId="0" fillId="29" borderId="5" xfId="0" applyFill="1" applyBorder="1" applyAlignment="1">
      <alignment horizontal="left" vertical="center"/>
    </xf>
    <xf numFmtId="0" fontId="0" fillId="0" borderId="6" xfId="0" applyBorder="1" applyAlignment="1">
      <alignment vertical="center"/>
    </xf>
    <xf numFmtId="0" fontId="0" fillId="0" borderId="0" xfId="0" applyAlignment="1">
      <alignment horizontal="center"/>
    </xf>
    <xf numFmtId="0" fontId="0" fillId="0" borderId="1" xfId="0" applyBorder="1"/>
    <xf numFmtId="0" fontId="0" fillId="0" borderId="0" xfId="227" applyFont="1" applyAlignment="1">
      <alignment vertical="center"/>
    </xf>
    <xf numFmtId="2" fontId="46" fillId="13" borderId="1" xfId="227" applyNumberFormat="1" applyFont="1" applyFill="1" applyBorder="1" applyAlignment="1">
      <alignment horizontal="center" vertical="center"/>
    </xf>
    <xf numFmtId="0" fontId="14" fillId="13" borderId="1" xfId="227" applyFont="1" applyFill="1" applyBorder="1" applyAlignment="1">
      <alignment vertical="center"/>
    </xf>
    <xf numFmtId="2" fontId="21" fillId="13" borderId="1" xfId="227" applyNumberFormat="1" applyFont="1" applyFill="1" applyBorder="1" applyAlignment="1">
      <alignment horizontal="center" vertical="center"/>
    </xf>
    <xf numFmtId="0" fontId="21" fillId="13" borderId="1" xfId="227" applyFont="1" applyFill="1" applyBorder="1" applyAlignment="1">
      <alignment vertical="center"/>
    </xf>
    <xf numFmtId="0" fontId="46" fillId="13" borderId="1" xfId="227" applyFont="1" applyFill="1" applyBorder="1" applyAlignment="1">
      <alignment vertical="center"/>
    </xf>
    <xf numFmtId="0" fontId="0" fillId="0" borderId="1" xfId="0" applyBorder="1" applyAlignment="1">
      <alignment horizontal="center"/>
    </xf>
    <xf numFmtId="0" fontId="8" fillId="0" borderId="1" xfId="227" applyFont="1" applyBorder="1" applyAlignment="1">
      <alignment horizontal="center" vertical="center"/>
    </xf>
    <xf numFmtId="0" fontId="0" fillId="0" borderId="0" xfId="227" applyFont="1" applyAlignment="1">
      <alignment horizontal="center" vertical="center"/>
    </xf>
    <xf numFmtId="0" fontId="7" fillId="0" borderId="1" xfId="0" applyFont="1" applyBorder="1"/>
    <xf numFmtId="0" fontId="14" fillId="0" borderId="1" xfId="0" applyFont="1" applyBorder="1"/>
    <xf numFmtId="0" fontId="7" fillId="0" borderId="1" xfId="0" applyFont="1" applyBorder="1" applyAlignment="1">
      <alignment horizontal="center"/>
    </xf>
    <xf numFmtId="0" fontId="52" fillId="0" borderId="1" xfId="0" applyFont="1" applyBorder="1" applyAlignment="1">
      <alignment horizontal="center"/>
    </xf>
    <xf numFmtId="0" fontId="3" fillId="0" borderId="1" xfId="227" applyBorder="1" applyAlignment="1">
      <alignment horizontal="center" vertical="center"/>
    </xf>
    <xf numFmtId="0" fontId="0" fillId="23" borderId="1" xfId="227" applyFont="1" applyFill="1" applyBorder="1" applyAlignment="1">
      <alignment horizontal="center" vertical="center"/>
    </xf>
    <xf numFmtId="0" fontId="10" fillId="0" borderId="1" xfId="61" applyFont="1" applyBorder="1" applyAlignment="1">
      <alignment horizontal="center" vertical="center"/>
    </xf>
    <xf numFmtId="0" fontId="14" fillId="0" borderId="1" xfId="61" applyFont="1" applyBorder="1" applyAlignment="1">
      <alignment horizontal="center" vertical="center"/>
    </xf>
    <xf numFmtId="0" fontId="10" fillId="0" borderId="1" xfId="0" applyFont="1" applyBorder="1" applyAlignment="1">
      <alignment horizontal="center" vertical="center"/>
    </xf>
    <xf numFmtId="0" fontId="14" fillId="0" borderId="1" xfId="61" applyFont="1" applyBorder="1" applyAlignment="1">
      <alignment vertical="center"/>
    </xf>
    <xf numFmtId="166" fontId="14" fillId="0" borderId="1" xfId="61" applyNumberFormat="1" applyFont="1" applyBorder="1" applyAlignment="1">
      <alignment vertical="center"/>
    </xf>
    <xf numFmtId="0" fontId="10" fillId="20" borderId="1" xfId="61" applyFont="1" applyFill="1" applyBorder="1" applyAlignment="1">
      <alignment horizontal="center" vertical="center"/>
    </xf>
    <xf numFmtId="0" fontId="14" fillId="20" borderId="1" xfId="61" applyFont="1" applyFill="1" applyBorder="1" applyAlignment="1">
      <alignment horizontal="center" vertical="center"/>
    </xf>
    <xf numFmtId="166" fontId="10" fillId="0" borderId="1" xfId="61" applyNumberFormat="1" applyFont="1" applyBorder="1" applyAlignment="1">
      <alignment horizontal="right" vertical="center"/>
    </xf>
    <xf numFmtId="0" fontId="0" fillId="6" borderId="1" xfId="0" applyFill="1" applyBorder="1"/>
    <xf numFmtId="166" fontId="10" fillId="0" borderId="1" xfId="0" applyNumberFormat="1" applyFont="1" applyBorder="1" applyAlignment="1">
      <alignment horizontal="right" vertical="center"/>
    </xf>
    <xf numFmtId="166" fontId="14" fillId="0" borderId="1" xfId="0" applyNumberFormat="1" applyFont="1" applyBorder="1" applyAlignment="1">
      <alignment vertical="center"/>
    </xf>
    <xf numFmtId="166" fontId="10" fillId="20" borderId="1" xfId="61" applyNumberFormat="1" applyFont="1" applyFill="1" applyBorder="1" applyAlignment="1">
      <alignment horizontal="right" vertical="center"/>
    </xf>
    <xf numFmtId="166" fontId="0" fillId="0" borderId="1" xfId="0" applyNumberFormat="1" applyBorder="1"/>
    <xf numFmtId="166" fontId="3" fillId="23" borderId="1" xfId="227" applyNumberFormat="1" applyFill="1" applyBorder="1" applyAlignment="1">
      <alignment horizontal="center" vertical="center"/>
    </xf>
    <xf numFmtId="166" fontId="46" fillId="12" borderId="1" xfId="61" applyNumberFormat="1" applyFont="1" applyFill="1" applyBorder="1" applyAlignment="1">
      <alignment horizontal="center" vertical="center"/>
    </xf>
    <xf numFmtId="166" fontId="46" fillId="2" borderId="1" xfId="61" applyNumberFormat="1" applyFont="1" applyFill="1" applyBorder="1" applyAlignment="1">
      <alignment horizontal="center" vertical="center"/>
    </xf>
    <xf numFmtId="0" fontId="18" fillId="2" borderId="1" xfId="227" applyFont="1" applyFill="1" applyBorder="1" applyAlignment="1">
      <alignment vertical="center"/>
    </xf>
    <xf numFmtId="0" fontId="10" fillId="13" borderId="1" xfId="227" applyFont="1" applyFill="1" applyBorder="1" applyAlignment="1">
      <alignment horizontal="center" vertical="center"/>
    </xf>
    <xf numFmtId="0" fontId="0" fillId="0" borderId="0" xfId="227" applyFont="1"/>
    <xf numFmtId="164" fontId="2" fillId="0" borderId="1" xfId="227" applyNumberFormat="1" applyFont="1" applyBorder="1" applyAlignment="1">
      <alignment vertical="center"/>
    </xf>
    <xf numFmtId="0" fontId="14" fillId="0" borderId="1" xfId="0" applyFont="1" applyBorder="1" applyAlignment="1">
      <alignment vertical="center"/>
    </xf>
    <xf numFmtId="166" fontId="0" fillId="0" borderId="0" xfId="0" applyNumberFormat="1"/>
    <xf numFmtId="0" fontId="14" fillId="0" borderId="4" xfId="0" applyFont="1" applyBorder="1" applyAlignment="1">
      <alignment vertical="center"/>
    </xf>
    <xf numFmtId="0" fontId="14" fillId="0" borderId="9" xfId="0" applyFont="1" applyBorder="1" applyAlignment="1">
      <alignment vertical="center"/>
    </xf>
    <xf numFmtId="0" fontId="0" fillId="0" borderId="14" xfId="0" applyBorder="1" applyAlignment="1">
      <alignment vertical="center"/>
    </xf>
    <xf numFmtId="0" fontId="53" fillId="30" borderId="1" xfId="0" applyFont="1" applyFill="1" applyBorder="1" applyAlignment="1">
      <alignment horizontal="center"/>
    </xf>
    <xf numFmtId="0" fontId="54" fillId="30" borderId="1" xfId="0" applyFont="1" applyFill="1" applyBorder="1" applyAlignment="1">
      <alignment horizontal="center"/>
    </xf>
    <xf numFmtId="0" fontId="55" fillId="30" borderId="1" xfId="0" applyFont="1" applyFill="1" applyBorder="1" applyAlignment="1">
      <alignment horizontal="center"/>
    </xf>
    <xf numFmtId="0" fontId="0" fillId="18" borderId="8" xfId="0" quotePrefix="1" applyFill="1" applyBorder="1" applyAlignment="1">
      <alignment horizontal="center"/>
    </xf>
    <xf numFmtId="166" fontId="21" fillId="0" borderId="0" xfId="61" applyNumberFormat="1" applyFont="1" applyAlignment="1">
      <alignment vertical="center"/>
    </xf>
    <xf numFmtId="0" fontId="21" fillId="0" borderId="0" xfId="0" applyFont="1"/>
    <xf numFmtId="164" fontId="56" fillId="0" borderId="0" xfId="0" applyNumberFormat="1" applyFont="1" applyAlignment="1">
      <alignment horizontal="left" vertical="center"/>
    </xf>
    <xf numFmtId="164" fontId="56" fillId="0" borderId="0" xfId="0" applyNumberFormat="1" applyFont="1" applyAlignment="1">
      <alignment horizontal="center" vertical="center"/>
    </xf>
    <xf numFmtId="0" fontId="52" fillId="0" borderId="0" xfId="0" quotePrefix="1" applyFont="1" applyAlignment="1">
      <alignment horizontal="center" vertical="center"/>
    </xf>
    <xf numFmtId="164" fontId="52" fillId="0" borderId="0" xfId="0" applyNumberFormat="1" applyFont="1" applyAlignment="1">
      <alignment horizontal="left" vertical="center"/>
    </xf>
    <xf numFmtId="0" fontId="0" fillId="0" borderId="0" xfId="227" applyFont="1" applyAlignment="1">
      <alignment horizontal="right"/>
    </xf>
    <xf numFmtId="0" fontId="3" fillId="0" borderId="0" xfId="227" applyAlignment="1">
      <alignment horizontal="right"/>
    </xf>
    <xf numFmtId="0" fontId="58" fillId="0" borderId="0" xfId="0" applyFont="1" applyAlignment="1">
      <alignment horizontal="center" vertical="center"/>
    </xf>
    <xf numFmtId="167" fontId="59" fillId="0" borderId="0" xfId="0" applyNumberFormat="1" applyFont="1" applyAlignment="1">
      <alignment vertical="center"/>
    </xf>
    <xf numFmtId="1" fontId="58" fillId="0" borderId="0" xfId="0" applyNumberFormat="1" applyFont="1" applyAlignment="1">
      <alignment horizontal="center" vertical="center"/>
    </xf>
    <xf numFmtId="167" fontId="11" fillId="0" borderId="1" xfId="0" applyNumberFormat="1" applyFont="1" applyBorder="1" applyAlignment="1">
      <alignment vertical="center"/>
    </xf>
    <xf numFmtId="0" fontId="0" fillId="12" borderId="1" xfId="0" applyFill="1" applyBorder="1" applyAlignment="1">
      <alignment vertical="center"/>
    </xf>
    <xf numFmtId="165" fontId="0" fillId="12" borderId="1" xfId="0" applyNumberFormat="1" applyFill="1" applyBorder="1" applyAlignment="1">
      <alignment horizontal="center"/>
    </xf>
    <xf numFmtId="2" fontId="8" fillId="12" borderId="1" xfId="0" applyNumberFormat="1" applyFont="1" applyFill="1" applyBorder="1" applyAlignment="1">
      <alignment horizontal="center" vertical="center"/>
    </xf>
    <xf numFmtId="167" fontId="11" fillId="12" borderId="1" xfId="0" applyNumberFormat="1" applyFont="1" applyFill="1" applyBorder="1" applyAlignment="1">
      <alignment vertical="center"/>
    </xf>
    <xf numFmtId="165" fontId="12" fillId="16" borderId="1" xfId="0" applyNumberFormat="1" applyFont="1" applyFill="1" applyBorder="1" applyAlignment="1">
      <alignment horizontal="center" vertical="center"/>
    </xf>
    <xf numFmtId="0" fontId="0" fillId="0" borderId="8" xfId="0" applyBorder="1" applyAlignment="1">
      <alignment horizontal="center" vertical="center"/>
    </xf>
    <xf numFmtId="166" fontId="0" fillId="0" borderId="1" xfId="0" applyNumberFormat="1" applyBorder="1" applyAlignment="1">
      <alignment horizontal="center" vertical="center"/>
    </xf>
    <xf numFmtId="167" fontId="0" fillId="0" borderId="0" xfId="0" applyNumberFormat="1"/>
    <xf numFmtId="0" fontId="18" fillId="2" borderId="1" xfId="227" applyFont="1" applyFill="1" applyBorder="1" applyAlignment="1">
      <alignment horizontal="center" vertical="center"/>
    </xf>
    <xf numFmtId="164" fontId="0" fillId="32" borderId="0" xfId="0" applyNumberFormat="1" applyFill="1" applyAlignment="1">
      <alignment horizontal="center" vertical="center"/>
    </xf>
    <xf numFmtId="0" fontId="0" fillId="8" borderId="1" xfId="227" applyFont="1" applyFill="1" applyBorder="1" applyAlignment="1">
      <alignment horizontal="center" vertical="center"/>
    </xf>
    <xf numFmtId="166" fontId="3" fillId="8" borderId="1" xfId="227" applyNumberFormat="1" applyFill="1" applyBorder="1" applyAlignment="1">
      <alignment horizontal="center" vertical="center"/>
    </xf>
    <xf numFmtId="166" fontId="0" fillId="8" borderId="1" xfId="0" applyNumberFormat="1" applyFill="1" applyBorder="1" applyAlignment="1">
      <alignment horizontal="center" vertical="center"/>
    </xf>
    <xf numFmtId="169" fontId="46" fillId="13" borderId="1" xfId="1" applyNumberFormat="1" applyFont="1" applyFill="1" applyBorder="1" applyAlignment="1">
      <alignment horizontal="center" vertical="center"/>
    </xf>
    <xf numFmtId="169" fontId="46" fillId="8" borderId="1" xfId="1" applyNumberFormat="1" applyFont="1" applyFill="1" applyBorder="1" applyAlignment="1">
      <alignment horizontal="center" vertical="center"/>
    </xf>
    <xf numFmtId="169" fontId="3" fillId="0" borderId="0" xfId="227" applyNumberFormat="1" applyAlignment="1">
      <alignment vertical="center"/>
    </xf>
    <xf numFmtId="167" fontId="24" fillId="0" borderId="0" xfId="0" applyNumberFormat="1" applyFont="1" applyAlignment="1">
      <alignment vertical="center"/>
    </xf>
    <xf numFmtId="0" fontId="0" fillId="20" borderId="1" xfId="0" applyFill="1" applyBorder="1" applyAlignment="1">
      <alignment vertical="center"/>
    </xf>
    <xf numFmtId="0" fontId="0" fillId="20" borderId="1" xfId="0" applyFill="1" applyBorder="1" applyAlignment="1">
      <alignment horizontal="center" vertical="center"/>
    </xf>
    <xf numFmtId="0" fontId="0" fillId="20" borderId="0" xfId="0" applyFill="1" applyAlignment="1">
      <alignment vertical="center"/>
    </xf>
    <xf numFmtId="0" fontId="8" fillId="20" borderId="0" xfId="0" applyFont="1" applyFill="1" applyAlignment="1">
      <alignment horizontal="center" vertical="center"/>
    </xf>
    <xf numFmtId="0" fontId="68" fillId="0" borderId="1" xfId="227" applyFont="1" applyBorder="1" applyAlignment="1">
      <alignment vertical="center"/>
    </xf>
    <xf numFmtId="0" fontId="21" fillId="20" borderId="0" xfId="0" applyFont="1" applyFill="1" applyAlignment="1">
      <alignment vertical="center"/>
    </xf>
    <xf numFmtId="172" fontId="61" fillId="20" borderId="0" xfId="0" applyNumberFormat="1" applyFont="1" applyFill="1" applyAlignment="1">
      <alignment horizontal="left" vertical="center"/>
    </xf>
    <xf numFmtId="164" fontId="21" fillId="20" borderId="1" xfId="0" quotePrefix="1" applyNumberFormat="1" applyFont="1" applyFill="1" applyBorder="1" applyAlignment="1">
      <alignment horizontal="center" vertical="center"/>
    </xf>
    <xf numFmtId="0" fontId="65" fillId="20" borderId="1" xfId="0" quotePrefix="1" applyFont="1" applyFill="1" applyBorder="1" applyAlignment="1">
      <alignment horizontal="center" vertical="center"/>
    </xf>
    <xf numFmtId="0" fontId="65" fillId="20" borderId="8" xfId="0" quotePrefix="1" applyFont="1" applyFill="1" applyBorder="1" applyAlignment="1">
      <alignment horizontal="center" vertical="center"/>
    </xf>
    <xf numFmtId="175" fontId="71" fillId="20" borderId="0" xfId="0" applyNumberFormat="1" applyFont="1" applyFill="1" applyAlignment="1">
      <alignment horizontal="left" vertical="center"/>
    </xf>
    <xf numFmtId="176" fontId="71" fillId="20" borderId="0" xfId="0" applyNumberFormat="1" applyFont="1" applyFill="1" applyAlignment="1">
      <alignment horizontal="left" vertical="center"/>
    </xf>
    <xf numFmtId="177" fontId="71" fillId="20" borderId="0" xfId="0" applyNumberFormat="1" applyFont="1" applyFill="1" applyAlignment="1">
      <alignment horizontal="left" vertical="center"/>
    </xf>
    <xf numFmtId="0" fontId="0" fillId="20" borderId="0" xfId="0" applyFill="1" applyAlignment="1">
      <alignment horizontal="center" vertical="center"/>
    </xf>
    <xf numFmtId="0" fontId="8" fillId="20" borderId="1" xfId="0" applyFont="1" applyFill="1" applyBorder="1" applyAlignment="1">
      <alignment horizontal="center" vertical="center"/>
    </xf>
    <xf numFmtId="164" fontId="56" fillId="0" borderId="1" xfId="0" applyNumberFormat="1" applyFont="1" applyBorder="1" applyAlignment="1">
      <alignment vertical="center"/>
    </xf>
    <xf numFmtId="164" fontId="60" fillId="0" borderId="1" xfId="0" applyNumberFormat="1" applyFont="1" applyBorder="1" applyAlignment="1">
      <alignment vertical="center"/>
    </xf>
    <xf numFmtId="164" fontId="13" fillId="15" borderId="1" xfId="0" applyNumberFormat="1" applyFont="1" applyFill="1" applyBorder="1" applyAlignment="1">
      <alignment horizontal="center" vertical="center"/>
    </xf>
    <xf numFmtId="0" fontId="0" fillId="15" borderId="5" xfId="0" applyFill="1" applyBorder="1" applyAlignment="1">
      <alignment vertical="center"/>
    </xf>
    <xf numFmtId="0" fontId="27" fillId="0" borderId="0" xfId="0" applyFont="1" applyAlignment="1">
      <alignment horizontal="center" vertical="center"/>
    </xf>
    <xf numFmtId="164" fontId="56" fillId="0" borderId="1" xfId="0" applyNumberFormat="1" applyFont="1" applyBorder="1" applyAlignment="1">
      <alignment horizontal="center" vertical="center"/>
    </xf>
    <xf numFmtId="0" fontId="13" fillId="33" borderId="1" xfId="0" applyFont="1" applyFill="1" applyBorder="1" applyAlignment="1">
      <alignment horizontal="center" vertical="center"/>
    </xf>
    <xf numFmtId="164" fontId="13" fillId="33" borderId="1" xfId="0" applyNumberFormat="1" applyFont="1" applyFill="1" applyBorder="1" applyAlignment="1">
      <alignment horizontal="center" vertical="center"/>
    </xf>
    <xf numFmtId="164" fontId="13" fillId="33" borderId="1" xfId="0" applyNumberFormat="1" applyFont="1" applyFill="1" applyBorder="1" applyAlignment="1">
      <alignment vertical="center"/>
    </xf>
    <xf numFmtId="0" fontId="14" fillId="33" borderId="1" xfId="0" applyFont="1" applyFill="1" applyBorder="1" applyAlignment="1">
      <alignment horizontal="center" vertical="center"/>
    </xf>
    <xf numFmtId="164" fontId="14" fillId="33" borderId="1" xfId="0" applyNumberFormat="1" applyFont="1" applyFill="1" applyBorder="1" applyAlignment="1">
      <alignment horizontal="center" vertical="center"/>
    </xf>
    <xf numFmtId="164" fontId="14" fillId="33" borderId="1" xfId="0" applyNumberFormat="1" applyFont="1" applyFill="1" applyBorder="1" applyAlignment="1">
      <alignment vertical="center"/>
    </xf>
    <xf numFmtId="0" fontId="68" fillId="31" borderId="1" xfId="227" applyFont="1" applyFill="1" applyBorder="1" applyAlignment="1">
      <alignment vertical="center"/>
    </xf>
    <xf numFmtId="164" fontId="68" fillId="0" borderId="1" xfId="227" applyNumberFormat="1" applyFont="1" applyBorder="1" applyAlignment="1">
      <alignment horizontal="center" vertical="center"/>
    </xf>
    <xf numFmtId="164" fontId="3" fillId="0" borderId="0" xfId="227" applyNumberFormat="1" applyAlignment="1">
      <alignment horizontal="center" vertical="center"/>
    </xf>
    <xf numFmtId="164" fontId="73" fillId="0" borderId="1" xfId="227" applyNumberFormat="1" applyFont="1" applyBorder="1" applyAlignment="1">
      <alignment horizontal="center" vertical="center"/>
    </xf>
    <xf numFmtId="166" fontId="68" fillId="0" borderId="1" xfId="227" applyNumberFormat="1" applyFont="1" applyBorder="1" applyAlignment="1">
      <alignment horizontal="center" vertical="center"/>
    </xf>
    <xf numFmtId="166" fontId="3" fillId="0" borderId="0" xfId="227" applyNumberFormat="1" applyAlignment="1">
      <alignment horizontal="center" vertical="center"/>
    </xf>
    <xf numFmtId="166" fontId="69" fillId="31" borderId="1" xfId="61" applyNumberFormat="1" applyFont="1" applyFill="1" applyBorder="1" applyAlignment="1">
      <alignment horizontal="center" vertical="center"/>
    </xf>
    <xf numFmtId="0" fontId="3" fillId="0" borderId="0" xfId="227" applyAlignment="1">
      <alignment horizontal="center" vertical="center"/>
    </xf>
    <xf numFmtId="0" fontId="38" fillId="0" borderId="0" xfId="0" applyFont="1" applyAlignment="1">
      <alignment vertical="center"/>
    </xf>
    <xf numFmtId="9" fontId="28" fillId="17" borderId="1" xfId="1" applyFont="1" applyFill="1" applyBorder="1" applyAlignment="1">
      <alignment horizontal="center" vertical="center"/>
    </xf>
    <xf numFmtId="0" fontId="0" fillId="20" borderId="0" xfId="0" applyFill="1" applyAlignment="1">
      <alignment horizontal="left" vertical="center"/>
    </xf>
    <xf numFmtId="0" fontId="10" fillId="20" borderId="0" xfId="0" applyFont="1" applyFill="1" applyAlignment="1">
      <alignment vertical="center"/>
    </xf>
    <xf numFmtId="0" fontId="67" fillId="20" borderId="0" xfId="0" applyFont="1" applyFill="1" applyAlignment="1">
      <alignment vertical="center"/>
    </xf>
    <xf numFmtId="173" fontId="28" fillId="20" borderId="0" xfId="0" applyNumberFormat="1" applyFont="1" applyFill="1" applyAlignment="1">
      <alignment horizontal="left" vertical="center"/>
    </xf>
    <xf numFmtId="0" fontId="50" fillId="20" borderId="0" xfId="0" applyFont="1" applyFill="1" applyAlignment="1">
      <alignment horizontal="center" vertical="center"/>
    </xf>
    <xf numFmtId="0" fontId="8" fillId="20" borderId="1" xfId="0" applyFont="1" applyFill="1" applyBorder="1" applyAlignment="1">
      <alignment vertical="center"/>
    </xf>
    <xf numFmtId="171" fontId="0" fillId="0" borderId="1" xfId="0" applyNumberFormat="1" applyBorder="1" applyAlignment="1">
      <alignment horizontal="center" vertical="center"/>
    </xf>
    <xf numFmtId="0" fontId="8" fillId="20" borderId="0" xfId="0" applyFont="1" applyFill="1" applyAlignment="1">
      <alignment vertical="center"/>
    </xf>
    <xf numFmtId="172" fontId="28" fillId="20" borderId="0" xfId="0" applyNumberFormat="1" applyFont="1" applyFill="1" applyAlignment="1">
      <alignment horizontal="left" vertical="center"/>
    </xf>
    <xf numFmtId="0" fontId="8" fillId="20" borderId="0" xfId="1" applyNumberFormat="1" applyFont="1" applyFill="1" applyBorder="1" applyAlignment="1" applyProtection="1">
      <alignment horizontal="center" vertical="center"/>
    </xf>
    <xf numFmtId="178" fontId="70" fillId="20" borderId="0" xfId="0" applyNumberFormat="1" applyFont="1" applyFill="1" applyAlignment="1">
      <alignment horizontal="left" vertical="center"/>
    </xf>
    <xf numFmtId="166" fontId="0" fillId="20" borderId="0" xfId="0" applyNumberFormat="1" applyFill="1" applyAlignment="1">
      <alignment vertical="center"/>
    </xf>
    <xf numFmtId="0" fontId="28" fillId="20" borderId="0" xfId="0" applyFont="1" applyFill="1" applyAlignment="1">
      <alignment vertical="center"/>
    </xf>
    <xf numFmtId="0" fontId="0" fillId="0" borderId="0" xfId="0" applyAlignment="1">
      <alignment horizontal="left" vertical="center"/>
    </xf>
    <xf numFmtId="0" fontId="8" fillId="20" borderId="1" xfId="0" applyFont="1" applyFill="1" applyBorder="1" applyAlignment="1">
      <alignment horizontal="right" vertical="center"/>
    </xf>
    <xf numFmtId="0" fontId="0" fillId="20" borderId="0" xfId="0" quotePrefix="1" applyFill="1" applyAlignment="1">
      <alignment vertical="center"/>
    </xf>
    <xf numFmtId="166" fontId="76" fillId="21" borderId="1" xfId="0" applyNumberFormat="1" applyFont="1" applyFill="1" applyBorder="1"/>
    <xf numFmtId="166" fontId="77" fillId="21" borderId="1" xfId="0" applyNumberFormat="1" applyFont="1" applyFill="1" applyBorder="1"/>
    <xf numFmtId="0" fontId="78" fillId="0" borderId="0" xfId="227" applyFont="1"/>
    <xf numFmtId="2" fontId="3" fillId="36" borderId="1" xfId="227" applyNumberFormat="1" applyFill="1" applyBorder="1" applyAlignment="1">
      <alignment horizontal="center" vertical="center"/>
    </xf>
    <xf numFmtId="2" fontId="0" fillId="20" borderId="0" xfId="0" applyNumberFormat="1" applyFill="1" applyAlignment="1">
      <alignment vertical="center"/>
    </xf>
    <xf numFmtId="166" fontId="0" fillId="20" borderId="0" xfId="0" applyNumberFormat="1" applyFill="1" applyAlignment="1">
      <alignment horizontal="left" vertical="center"/>
    </xf>
    <xf numFmtId="0" fontId="80" fillId="20" borderId="0" xfId="0" applyFont="1" applyFill="1" applyAlignment="1">
      <alignment vertical="center"/>
    </xf>
    <xf numFmtId="0" fontId="81" fillId="20" borderId="1" xfId="0" applyFont="1" applyFill="1" applyBorder="1" applyAlignment="1">
      <alignment horizontal="center" vertical="center"/>
    </xf>
    <xf numFmtId="0" fontId="81" fillId="20" borderId="0" xfId="0" applyFont="1" applyFill="1" applyAlignment="1">
      <alignment vertical="center"/>
    </xf>
    <xf numFmtId="0" fontId="82" fillId="20" borderId="0" xfId="0" applyFont="1" applyFill="1" applyAlignment="1">
      <alignment vertical="center"/>
    </xf>
    <xf numFmtId="164" fontId="0" fillId="0" borderId="1" xfId="0" applyNumberFormat="1" applyBorder="1" applyAlignment="1">
      <alignment horizontal="center" vertical="center"/>
    </xf>
    <xf numFmtId="165" fontId="3" fillId="0" borderId="0" xfId="227" applyNumberFormat="1" applyAlignment="1">
      <alignment horizontal="center" vertical="center"/>
    </xf>
    <xf numFmtId="0" fontId="68" fillId="0" borderId="0" xfId="227" applyFont="1" applyAlignment="1">
      <alignment vertical="center"/>
    </xf>
    <xf numFmtId="0" fontId="68" fillId="0" borderId="0" xfId="0" applyFont="1"/>
    <xf numFmtId="0" fontId="73" fillId="0" borderId="0" xfId="227" applyFont="1" applyAlignment="1">
      <alignment vertical="center"/>
    </xf>
    <xf numFmtId="0" fontId="68" fillId="0" borderId="1" xfId="227" applyFont="1" applyBorder="1" applyAlignment="1">
      <alignment horizontal="right" vertical="center"/>
    </xf>
    <xf numFmtId="165" fontId="68" fillId="0" borderId="1" xfId="227" applyNumberFormat="1" applyFont="1" applyBorder="1" applyAlignment="1">
      <alignment vertical="center"/>
    </xf>
    <xf numFmtId="167" fontId="68" fillId="0" borderId="1" xfId="227" applyNumberFormat="1" applyFont="1" applyBorder="1" applyAlignment="1">
      <alignment vertical="center"/>
    </xf>
    <xf numFmtId="169" fontId="68" fillId="0" borderId="1" xfId="1" applyNumberFormat="1" applyFont="1" applyBorder="1" applyAlignment="1">
      <alignment vertical="center"/>
    </xf>
    <xf numFmtId="169" fontId="73" fillId="0" borderId="1" xfId="1" applyNumberFormat="1" applyFont="1" applyBorder="1" applyAlignment="1">
      <alignment vertical="center"/>
    </xf>
    <xf numFmtId="0" fontId="68" fillId="0" borderId="4" xfId="227" applyFont="1" applyBorder="1" applyAlignment="1">
      <alignment vertical="center"/>
    </xf>
    <xf numFmtId="169" fontId="68" fillId="0" borderId="1" xfId="1" applyNumberFormat="1" applyFont="1" applyFill="1" applyBorder="1" applyAlignment="1">
      <alignment vertical="center"/>
    </xf>
    <xf numFmtId="0" fontId="68" fillId="21" borderId="1" xfId="227" applyFont="1" applyFill="1" applyBorder="1" applyAlignment="1">
      <alignment vertical="center"/>
    </xf>
    <xf numFmtId="169" fontId="68" fillId="0" borderId="3" xfId="1" applyNumberFormat="1" applyFont="1" applyFill="1" applyBorder="1" applyAlignment="1">
      <alignment vertical="center"/>
    </xf>
    <xf numFmtId="2" fontId="28" fillId="0" borderId="0" xfId="0" applyNumberFormat="1" applyFont="1"/>
    <xf numFmtId="165" fontId="28" fillId="0" borderId="0" xfId="0" applyNumberFormat="1" applyFont="1"/>
    <xf numFmtId="0" fontId="28" fillId="0" borderId="0" xfId="0" applyFont="1" applyAlignment="1">
      <alignment horizontal="right" vertical="center"/>
    </xf>
    <xf numFmtId="2" fontId="0" fillId="20" borderId="1" xfId="0" applyNumberFormat="1" applyFill="1" applyBorder="1" applyAlignment="1">
      <alignment horizontal="center" vertical="center"/>
    </xf>
    <xf numFmtId="0" fontId="82" fillId="20" borderId="0" xfId="0" applyFont="1" applyFill="1" applyAlignment="1">
      <alignment horizontal="center" vertical="center"/>
    </xf>
    <xf numFmtId="0" fontId="82" fillId="38" borderId="1" xfId="0" applyFont="1" applyFill="1" applyBorder="1" applyAlignment="1">
      <alignment vertical="center"/>
    </xf>
    <xf numFmtId="2" fontId="82" fillId="38" borderId="1" xfId="0" applyNumberFormat="1" applyFont="1" applyFill="1" applyBorder="1" applyAlignment="1">
      <alignment horizontal="center" vertical="center"/>
    </xf>
    <xf numFmtId="0" fontId="79" fillId="15" borderId="1" xfId="0" applyFont="1" applyFill="1" applyBorder="1" applyAlignment="1">
      <alignment vertical="center"/>
    </xf>
    <xf numFmtId="2" fontId="79" fillId="15" borderId="1" xfId="0" applyNumberFormat="1" applyFont="1" applyFill="1" applyBorder="1" applyAlignment="1">
      <alignment horizontal="center" vertical="center"/>
    </xf>
    <xf numFmtId="2" fontId="82" fillId="6" borderId="1" xfId="0" applyNumberFormat="1" applyFont="1" applyFill="1" applyBorder="1" applyAlignment="1">
      <alignment horizontal="center" vertical="center"/>
    </xf>
    <xf numFmtId="2" fontId="0" fillId="6" borderId="1" xfId="0" applyNumberFormat="1" applyFill="1" applyBorder="1" applyAlignment="1">
      <alignment horizontal="center" vertical="center"/>
    </xf>
    <xf numFmtId="2" fontId="79" fillId="6" borderId="1" xfId="0" applyNumberFormat="1" applyFont="1" applyFill="1" applyBorder="1" applyAlignment="1">
      <alignment horizontal="center" vertical="center"/>
    </xf>
    <xf numFmtId="0" fontId="83" fillId="20" borderId="1" xfId="0" applyFont="1" applyFill="1" applyBorder="1" applyAlignment="1">
      <alignment horizontal="center" vertical="center"/>
    </xf>
    <xf numFmtId="2" fontId="21" fillId="20" borderId="1" xfId="0" applyNumberFormat="1" applyFont="1" applyFill="1" applyBorder="1" applyAlignment="1">
      <alignment horizontal="center" vertical="center"/>
    </xf>
    <xf numFmtId="2" fontId="21" fillId="6" borderId="1" xfId="0" applyNumberFormat="1" applyFont="1" applyFill="1" applyBorder="1" applyAlignment="1">
      <alignment horizontal="center" vertical="center"/>
    </xf>
    <xf numFmtId="0" fontId="76" fillId="20" borderId="1" xfId="0" applyFont="1" applyFill="1" applyBorder="1" applyAlignment="1">
      <alignment horizontal="center" vertical="center"/>
    </xf>
    <xf numFmtId="2" fontId="78" fillId="20" borderId="1" xfId="0" applyNumberFormat="1" applyFont="1" applyFill="1" applyBorder="1" applyAlignment="1">
      <alignment horizontal="center" vertical="center"/>
    </xf>
    <xf numFmtId="2" fontId="78" fillId="6" borderId="1" xfId="0" applyNumberFormat="1" applyFont="1" applyFill="1" applyBorder="1" applyAlignment="1">
      <alignment horizontal="center" vertical="center"/>
    </xf>
    <xf numFmtId="0" fontId="78" fillId="20" borderId="1" xfId="0" applyFont="1" applyFill="1" applyBorder="1" applyAlignment="1">
      <alignment vertical="center"/>
    </xf>
    <xf numFmtId="0" fontId="0" fillId="20" borderId="5" xfId="0" applyFill="1" applyBorder="1" applyAlignment="1">
      <alignment vertical="center"/>
    </xf>
    <xf numFmtId="0" fontId="0" fillId="37" borderId="1" xfId="0" applyFill="1" applyBorder="1" applyAlignment="1">
      <alignment horizontal="center" vertical="center"/>
    </xf>
    <xf numFmtId="2" fontId="62" fillId="35" borderId="1" xfId="0" applyNumberFormat="1" applyFont="1" applyFill="1" applyBorder="1" applyAlignment="1">
      <alignment horizontal="center" vertical="center"/>
    </xf>
    <xf numFmtId="0" fontId="86" fillId="35" borderId="1" xfId="0" applyFont="1" applyFill="1" applyBorder="1" applyAlignment="1">
      <alignment vertical="center"/>
    </xf>
    <xf numFmtId="0" fontId="0" fillId="20" borderId="0" xfId="0" applyFill="1" applyAlignment="1">
      <alignment horizontal="center" vertical="center" wrapText="1"/>
    </xf>
    <xf numFmtId="165" fontId="87" fillId="0" borderId="1" xfId="0" applyNumberFormat="1" applyFont="1" applyBorder="1" applyAlignment="1">
      <alignment horizontal="center"/>
    </xf>
    <xf numFmtId="165" fontId="78" fillId="0" borderId="4" xfId="0" applyNumberFormat="1" applyFont="1" applyBorder="1" applyAlignment="1">
      <alignment horizontal="center"/>
    </xf>
    <xf numFmtId="166" fontId="0" fillId="20" borderId="1" xfId="0" applyNumberFormat="1" applyFill="1" applyBorder="1" applyAlignment="1">
      <alignment vertical="center"/>
    </xf>
    <xf numFmtId="0" fontId="14" fillId="20" borderId="1" xfId="0" applyFont="1" applyFill="1" applyBorder="1" applyAlignment="1">
      <alignment horizontal="center" vertical="center"/>
    </xf>
    <xf numFmtId="0" fontId="18" fillId="20" borderId="1" xfId="0" applyFont="1" applyFill="1" applyBorder="1" applyAlignment="1">
      <alignment horizontal="center" vertical="center"/>
    </xf>
    <xf numFmtId="0" fontId="18" fillId="20" borderId="1" xfId="0" applyFont="1" applyFill="1" applyBorder="1" applyAlignment="1">
      <alignment horizontal="right" vertical="center"/>
    </xf>
    <xf numFmtId="0" fontId="81" fillId="20" borderId="0" xfId="0" applyFont="1" applyFill="1" applyAlignment="1">
      <alignment horizontal="right" vertical="center"/>
    </xf>
    <xf numFmtId="0" fontId="0" fillId="20" borderId="1" xfId="0" applyFill="1" applyBorder="1" applyAlignment="1">
      <alignment horizontal="right" vertical="center"/>
    </xf>
    <xf numFmtId="0" fontId="0" fillId="20" borderId="0" xfId="0" applyFill="1" applyAlignment="1">
      <alignment horizontal="right" vertical="center"/>
    </xf>
    <xf numFmtId="0" fontId="70" fillId="0" borderId="1" xfId="0" applyFont="1" applyBorder="1" applyAlignment="1">
      <alignment horizontal="right" vertical="center"/>
    </xf>
    <xf numFmtId="0" fontId="28" fillId="0" borderId="1" xfId="0" applyFont="1" applyBorder="1" applyAlignment="1">
      <alignment horizontal="right" vertical="center"/>
    </xf>
    <xf numFmtId="0" fontId="6" fillId="34" borderId="1" xfId="0" applyFont="1" applyFill="1" applyBorder="1" applyAlignment="1">
      <alignment horizontal="right" vertical="center"/>
    </xf>
    <xf numFmtId="0" fontId="75" fillId="0" borderId="1" xfId="0" applyFont="1" applyBorder="1" applyAlignment="1">
      <alignment horizontal="right" vertical="center"/>
    </xf>
    <xf numFmtId="0" fontId="0" fillId="20" borderId="4" xfId="0" quotePrefix="1" applyFill="1" applyBorder="1" applyAlignment="1">
      <alignment horizontal="right" vertical="center"/>
    </xf>
    <xf numFmtId="0" fontId="21" fillId="20" borderId="1" xfId="0" applyFont="1" applyFill="1" applyBorder="1" applyAlignment="1">
      <alignment horizontal="right" vertical="center"/>
    </xf>
    <xf numFmtId="0" fontId="18" fillId="20" borderId="3" xfId="0" applyFont="1" applyFill="1" applyBorder="1" applyAlignment="1">
      <alignment horizontal="right" vertical="center"/>
    </xf>
    <xf numFmtId="2" fontId="14" fillId="20" borderId="1" xfId="0" applyNumberFormat="1" applyFont="1" applyFill="1" applyBorder="1" applyAlignment="1">
      <alignment horizontal="center" vertical="center"/>
    </xf>
    <xf numFmtId="166" fontId="14" fillId="20" borderId="1" xfId="0" applyNumberFormat="1" applyFont="1" applyFill="1" applyBorder="1" applyAlignment="1">
      <alignment horizontal="center" vertical="center"/>
    </xf>
    <xf numFmtId="166" fontId="28" fillId="20" borderId="0" xfId="0" applyNumberFormat="1" applyFont="1" applyFill="1" applyAlignment="1">
      <alignment horizontal="center" vertical="center"/>
    </xf>
    <xf numFmtId="1" fontId="28" fillId="20" borderId="0" xfId="0" applyNumberFormat="1" applyFont="1" applyFill="1" applyAlignment="1">
      <alignment horizontal="center" vertical="center"/>
    </xf>
    <xf numFmtId="0" fontId="88" fillId="6" borderId="1" xfId="0" applyFont="1" applyFill="1" applyBorder="1" applyAlignment="1">
      <alignment horizontal="center" vertical="center"/>
    </xf>
    <xf numFmtId="0" fontId="90" fillId="0" borderId="1" xfId="0" applyFont="1" applyBorder="1" applyAlignment="1">
      <alignment horizontal="center"/>
    </xf>
    <xf numFmtId="0" fontId="76" fillId="0" borderId="4" xfId="0" applyFont="1" applyBorder="1" applyAlignment="1">
      <alignment horizontal="center"/>
    </xf>
    <xf numFmtId="0" fontId="8" fillId="20" borderId="4" xfId="0" applyFont="1" applyFill="1" applyBorder="1" applyAlignment="1">
      <alignment horizontal="center" vertical="center"/>
    </xf>
    <xf numFmtId="0" fontId="91" fillId="20" borderId="1" xfId="0" applyFont="1" applyFill="1" applyBorder="1" applyAlignment="1">
      <alignment horizontal="center" vertical="center"/>
    </xf>
    <xf numFmtId="166" fontId="0" fillId="20" borderId="1" xfId="0" applyNumberFormat="1" applyFill="1" applyBorder="1" applyAlignment="1">
      <alignment horizontal="center" vertical="center"/>
    </xf>
    <xf numFmtId="164" fontId="21" fillId="0" borderId="1" xfId="0" quotePrefix="1" applyNumberFormat="1" applyFont="1" applyBorder="1" applyAlignment="1">
      <alignment horizontal="center" vertical="center"/>
    </xf>
    <xf numFmtId="164" fontId="0" fillId="20" borderId="1" xfId="0" applyNumberFormat="1" applyFill="1" applyBorder="1" applyAlignment="1">
      <alignment horizontal="center" vertical="center"/>
    </xf>
    <xf numFmtId="0" fontId="0" fillId="38" borderId="1" xfId="0" applyFill="1" applyBorder="1" applyAlignment="1">
      <alignment vertical="center"/>
    </xf>
    <xf numFmtId="164" fontId="0" fillId="0" borderId="1" xfId="0" applyNumberFormat="1" applyBorder="1" applyAlignment="1">
      <alignment horizontal="right" vertical="center"/>
    </xf>
    <xf numFmtId="164" fontId="0" fillId="38" borderId="1" xfId="0" applyNumberFormat="1" applyFill="1" applyBorder="1" applyAlignment="1">
      <alignment horizontal="right" vertical="center"/>
    </xf>
    <xf numFmtId="0" fontId="0" fillId="3" borderId="1" xfId="0" applyFill="1" applyBorder="1" applyAlignment="1">
      <alignment vertical="center"/>
    </xf>
    <xf numFmtId="166" fontId="0" fillId="20" borderId="1" xfId="0" applyNumberFormat="1" applyFill="1" applyBorder="1" applyAlignment="1">
      <alignment horizontal="right" vertical="center"/>
    </xf>
    <xf numFmtId="166" fontId="0" fillId="20" borderId="0" xfId="0" applyNumberFormat="1" applyFill="1" applyAlignment="1">
      <alignment horizontal="right" vertical="center"/>
    </xf>
    <xf numFmtId="1" fontId="0" fillId="20" borderId="1" xfId="0" applyNumberFormat="1" applyFill="1" applyBorder="1" applyAlignment="1">
      <alignment horizontal="center" vertical="center"/>
    </xf>
    <xf numFmtId="1" fontId="7" fillId="20" borderId="1" xfId="0" applyNumberFormat="1" applyFont="1" applyFill="1" applyBorder="1" applyAlignment="1">
      <alignment horizontal="center" vertical="center"/>
    </xf>
    <xf numFmtId="166" fontId="8" fillId="31" borderId="1" xfId="0" applyNumberFormat="1" applyFont="1" applyFill="1" applyBorder="1" applyAlignment="1">
      <alignment horizontal="center" vertical="center"/>
    </xf>
    <xf numFmtId="166" fontId="0" fillId="3" borderId="1" xfId="0" applyNumberFormat="1" applyFill="1" applyBorder="1" applyAlignment="1">
      <alignment horizontal="right" vertical="center"/>
    </xf>
    <xf numFmtId="10" fontId="28" fillId="20" borderId="0" xfId="1" applyNumberFormat="1" applyFont="1" applyFill="1" applyAlignment="1" applyProtection="1">
      <alignment vertical="center"/>
    </xf>
    <xf numFmtId="166" fontId="8" fillId="20" borderId="1" xfId="0" applyNumberFormat="1" applyFont="1" applyFill="1" applyBorder="1" applyAlignment="1">
      <alignment vertical="center"/>
    </xf>
    <xf numFmtId="166" fontId="18" fillId="20" borderId="1" xfId="0" applyNumberFormat="1" applyFont="1" applyFill="1" applyBorder="1" applyAlignment="1">
      <alignment vertical="center"/>
    </xf>
    <xf numFmtId="166" fontId="18" fillId="2" borderId="1" xfId="0" applyNumberFormat="1" applyFont="1" applyFill="1" applyBorder="1" applyAlignment="1">
      <alignment vertical="center"/>
    </xf>
    <xf numFmtId="166" fontId="6" fillId="40" borderId="1" xfId="0" applyNumberFormat="1" applyFont="1" applyFill="1" applyBorder="1" applyAlignment="1">
      <alignment horizontal="center" vertical="center"/>
    </xf>
    <xf numFmtId="165" fontId="14" fillId="0" borderId="1" xfId="0" applyNumberFormat="1" applyFont="1" applyBorder="1"/>
    <xf numFmtId="0" fontId="76" fillId="0" borderId="1" xfId="0" applyFont="1" applyBorder="1" applyAlignment="1">
      <alignment horizontal="center"/>
    </xf>
    <xf numFmtId="165" fontId="78" fillId="0" borderId="1" xfId="0" applyNumberFormat="1" applyFont="1" applyBorder="1" applyAlignment="1">
      <alignment horizontal="center"/>
    </xf>
    <xf numFmtId="2" fontId="88" fillId="20" borderId="1" xfId="0" applyNumberFormat="1" applyFont="1" applyFill="1" applyBorder="1" applyAlignment="1">
      <alignment horizontal="center" vertical="center"/>
    </xf>
    <xf numFmtId="166" fontId="88" fillId="20" borderId="1" xfId="0" applyNumberFormat="1" applyFont="1" applyFill="1" applyBorder="1" applyAlignment="1">
      <alignment horizontal="center" vertical="center"/>
    </xf>
    <xf numFmtId="164" fontId="14" fillId="0" borderId="1" xfId="0" applyNumberFormat="1" applyFont="1" applyBorder="1" applyAlignment="1">
      <alignment horizontal="right" vertical="center"/>
    </xf>
    <xf numFmtId="164" fontId="0" fillId="6" borderId="1" xfId="0" applyNumberFormat="1" applyFill="1" applyBorder="1" applyAlignment="1">
      <alignment horizontal="right" vertical="center"/>
    </xf>
    <xf numFmtId="166" fontId="0" fillId="6" borderId="1" xfId="0" applyNumberFormat="1" applyFill="1" applyBorder="1" applyAlignment="1">
      <alignment horizontal="right" vertical="center"/>
    </xf>
    <xf numFmtId="0" fontId="21" fillId="0" borderId="1" xfId="0" applyFont="1" applyBorder="1"/>
    <xf numFmtId="166" fontId="21" fillId="20" borderId="1" xfId="0" applyNumberFormat="1" applyFont="1" applyFill="1" applyBorder="1" applyAlignment="1">
      <alignment vertical="center"/>
    </xf>
    <xf numFmtId="166" fontId="21" fillId="20" borderId="1" xfId="0" applyNumberFormat="1" applyFont="1" applyFill="1" applyBorder="1" applyAlignment="1">
      <alignment horizontal="center" vertical="center"/>
    </xf>
    <xf numFmtId="164" fontId="21" fillId="0" borderId="1" xfId="0" applyNumberFormat="1" applyFont="1" applyBorder="1" applyAlignment="1">
      <alignment horizontal="right" vertical="center"/>
    </xf>
    <xf numFmtId="0" fontId="14" fillId="20" borderId="0" xfId="0" applyFont="1" applyFill="1" applyAlignment="1">
      <alignment vertical="center"/>
    </xf>
    <xf numFmtId="166" fontId="18" fillId="20" borderId="1" xfId="0" applyNumberFormat="1" applyFont="1" applyFill="1" applyBorder="1" applyAlignment="1">
      <alignment horizontal="center" vertical="center"/>
    </xf>
    <xf numFmtId="2" fontId="18" fillId="20" borderId="1" xfId="0" applyNumberFormat="1" applyFont="1" applyFill="1" applyBorder="1" applyAlignment="1">
      <alignment horizontal="center" vertical="center"/>
    </xf>
    <xf numFmtId="0" fontId="0" fillId="0" borderId="0" xfId="0" applyAlignment="1">
      <alignment vertical="center" wrapText="1"/>
    </xf>
    <xf numFmtId="0" fontId="14" fillId="20" borderId="1" xfId="0" applyFont="1" applyFill="1" applyBorder="1" applyAlignment="1">
      <alignment horizontal="center"/>
    </xf>
    <xf numFmtId="2" fontId="28" fillId="20" borderId="1" xfId="0" applyNumberFormat="1" applyFont="1" applyFill="1" applyBorder="1" applyAlignment="1">
      <alignment horizontal="center" vertical="center"/>
    </xf>
    <xf numFmtId="166" fontId="28" fillId="20" borderId="1" xfId="0" applyNumberFormat="1" applyFont="1" applyFill="1" applyBorder="1" applyAlignment="1">
      <alignment horizontal="center" vertical="center"/>
    </xf>
    <xf numFmtId="2" fontId="28" fillId="6" borderId="1" xfId="0" applyNumberFormat="1" applyFont="1" applyFill="1" applyBorder="1" applyAlignment="1">
      <alignment horizontal="center" vertical="center"/>
    </xf>
    <xf numFmtId="0" fontId="28" fillId="6" borderId="1" xfId="0" applyFont="1" applyFill="1" applyBorder="1" applyAlignment="1">
      <alignment horizontal="center" vertical="center"/>
    </xf>
    <xf numFmtId="164" fontId="28" fillId="0" borderId="1" xfId="0" applyNumberFormat="1" applyFont="1" applyBorder="1" applyAlignment="1">
      <alignment horizontal="right" vertical="center"/>
    </xf>
    <xf numFmtId="164" fontId="28" fillId="6" borderId="1" xfId="0" applyNumberFormat="1" applyFont="1" applyFill="1" applyBorder="1" applyAlignment="1">
      <alignment horizontal="right" vertical="center"/>
    </xf>
    <xf numFmtId="164" fontId="28" fillId="38" borderId="1" xfId="0" applyNumberFormat="1" applyFont="1" applyFill="1" applyBorder="1" applyAlignment="1">
      <alignment horizontal="right" vertical="center"/>
    </xf>
    <xf numFmtId="166" fontId="74" fillId="20" borderId="1" xfId="0" applyNumberFormat="1" applyFont="1" applyFill="1" applyBorder="1" applyAlignment="1">
      <alignment vertical="center"/>
    </xf>
    <xf numFmtId="164" fontId="28" fillId="20" borderId="1" xfId="0" applyNumberFormat="1" applyFont="1" applyFill="1" applyBorder="1" applyAlignment="1">
      <alignment horizontal="center" vertical="center"/>
    </xf>
    <xf numFmtId="165" fontId="14" fillId="0" borderId="1" xfId="0" applyNumberFormat="1" applyFont="1" applyBorder="1" applyAlignment="1">
      <alignment horizontal="center"/>
    </xf>
    <xf numFmtId="180" fontId="71" fillId="20" borderId="0" xfId="0" applyNumberFormat="1" applyFont="1" applyFill="1" applyAlignment="1">
      <alignment horizontal="center" vertical="center"/>
    </xf>
    <xf numFmtId="180" fontId="71" fillId="20" borderId="0" xfId="0" applyNumberFormat="1" applyFont="1" applyFill="1" applyAlignment="1">
      <alignment horizontal="left" vertical="center"/>
    </xf>
    <xf numFmtId="0" fontId="8" fillId="20" borderId="0" xfId="0" applyFont="1" applyFill="1" applyAlignment="1">
      <alignment horizontal="right" vertical="center"/>
    </xf>
    <xf numFmtId="0" fontId="0" fillId="2" borderId="1" xfId="0" applyFill="1" applyBorder="1" applyAlignment="1">
      <alignment horizontal="center" vertical="center"/>
    </xf>
    <xf numFmtId="0" fontId="21" fillId="20" borderId="0" xfId="0" applyFont="1" applyFill="1" applyAlignment="1">
      <alignment horizontal="left" vertical="center"/>
    </xf>
    <xf numFmtId="166" fontId="21" fillId="20" borderId="0" xfId="0" applyNumberFormat="1" applyFont="1" applyFill="1" applyAlignment="1">
      <alignment vertical="center"/>
    </xf>
    <xf numFmtId="0" fontId="78" fillId="20" borderId="0" xfId="0" applyFont="1" applyFill="1" applyAlignment="1">
      <alignment vertical="center"/>
    </xf>
    <xf numFmtId="2" fontId="78" fillId="20" borderId="0" xfId="0" applyNumberFormat="1" applyFont="1" applyFill="1" applyAlignment="1">
      <alignment vertical="center"/>
    </xf>
    <xf numFmtId="165" fontId="14" fillId="9" borderId="1" xfId="0" applyNumberFormat="1" applyFont="1" applyFill="1" applyBorder="1" applyAlignment="1">
      <alignment horizontal="center" vertical="center"/>
    </xf>
    <xf numFmtId="167" fontId="14" fillId="0" borderId="1" xfId="0" applyNumberFormat="1" applyFont="1" applyBorder="1" applyAlignment="1">
      <alignment horizontal="center" vertical="center"/>
    </xf>
    <xf numFmtId="165" fontId="14" fillId="6" borderId="5" xfId="0" applyNumberFormat="1" applyFont="1" applyFill="1" applyBorder="1" applyAlignment="1">
      <alignment horizontal="center" vertical="center"/>
    </xf>
    <xf numFmtId="165" fontId="14" fillId="6" borderId="1" xfId="0" applyNumberFormat="1" applyFont="1" applyFill="1" applyBorder="1" applyAlignment="1">
      <alignment horizontal="center" vertical="center"/>
    </xf>
    <xf numFmtId="167" fontId="14" fillId="0" borderId="4" xfId="0" applyNumberFormat="1" applyFont="1" applyBorder="1" applyAlignment="1">
      <alignment horizontal="center" vertical="center"/>
    </xf>
    <xf numFmtId="167" fontId="14" fillId="38" borderId="4" xfId="0" applyNumberFormat="1" applyFont="1" applyFill="1" applyBorder="1" applyAlignment="1">
      <alignment horizontal="center" vertical="center"/>
    </xf>
    <xf numFmtId="167" fontId="14" fillId="38" borderId="1" xfId="0" applyNumberFormat="1" applyFont="1" applyFill="1" applyBorder="1" applyAlignment="1">
      <alignment horizontal="center" vertical="center"/>
    </xf>
    <xf numFmtId="164" fontId="9" fillId="10" borderId="1" xfId="0" applyNumberFormat="1" applyFont="1" applyFill="1" applyBorder="1" applyAlignment="1">
      <alignment horizontal="center" vertical="center"/>
    </xf>
    <xf numFmtId="164" fontId="9" fillId="30" borderId="1" xfId="0" applyNumberFormat="1" applyFont="1" applyFill="1" applyBorder="1" applyAlignment="1">
      <alignment horizontal="center" vertical="center"/>
    </xf>
    <xf numFmtId="166" fontId="0" fillId="31" borderId="1" xfId="0" applyNumberFormat="1" applyFill="1" applyBorder="1" applyAlignment="1">
      <alignment vertical="center"/>
    </xf>
    <xf numFmtId="166" fontId="92" fillId="0" borderId="0" xfId="0" applyNumberFormat="1" applyFont="1" applyAlignment="1">
      <alignment horizontal="left" vertical="center"/>
    </xf>
    <xf numFmtId="166" fontId="92" fillId="20" borderId="0" xfId="0" applyNumberFormat="1" applyFont="1" applyFill="1" applyAlignment="1">
      <alignment horizontal="left" vertical="center"/>
    </xf>
    <xf numFmtId="0" fontId="0" fillId="0" borderId="0" xfId="227" applyFont="1" applyAlignment="1">
      <alignment horizontal="right" vertical="center"/>
    </xf>
    <xf numFmtId="165" fontId="3" fillId="39" borderId="1" xfId="227" applyNumberFormat="1" applyFill="1" applyBorder="1" applyAlignment="1">
      <alignment horizontal="center" vertical="center"/>
    </xf>
    <xf numFmtId="0" fontId="43" fillId="0" borderId="0" xfId="0" applyFont="1" applyAlignment="1">
      <alignment vertical="center"/>
    </xf>
    <xf numFmtId="0" fontId="43" fillId="0" borderId="0" xfId="0" applyFont="1" applyAlignment="1">
      <alignment horizontal="right" vertical="center"/>
    </xf>
    <xf numFmtId="166" fontId="3" fillId="39" borderId="1" xfId="227" applyNumberFormat="1" applyFill="1" applyBorder="1" applyAlignment="1">
      <alignment horizontal="center" vertical="center"/>
    </xf>
    <xf numFmtId="0" fontId="78" fillId="20" borderId="1" xfId="0" applyFont="1" applyFill="1" applyBorder="1" applyAlignment="1">
      <alignment horizontal="center" vertical="center"/>
    </xf>
    <xf numFmtId="2" fontId="3" fillId="0" borderId="0" xfId="227" applyNumberFormat="1" applyAlignment="1">
      <alignment vertical="center"/>
    </xf>
    <xf numFmtId="167" fontId="0" fillId="20" borderId="1" xfId="0" applyNumberFormat="1" applyFill="1" applyBorder="1" applyAlignment="1">
      <alignment vertical="center"/>
    </xf>
    <xf numFmtId="0" fontId="97" fillId="20" borderId="0" xfId="0" applyFont="1" applyFill="1" applyAlignment="1">
      <alignment vertical="center"/>
    </xf>
    <xf numFmtId="0" fontId="97" fillId="20" borderId="0" xfId="0" applyFont="1" applyFill="1" applyAlignment="1">
      <alignment horizontal="right" vertical="center"/>
    </xf>
    <xf numFmtId="0" fontId="97" fillId="20" borderId="1" xfId="0" applyFont="1" applyFill="1" applyBorder="1" applyAlignment="1">
      <alignment horizontal="center" vertical="center"/>
    </xf>
    <xf numFmtId="0" fontId="97" fillId="0" borderId="1" xfId="0" applyFont="1" applyBorder="1" applyAlignment="1">
      <alignment horizontal="center"/>
    </xf>
    <xf numFmtId="166" fontId="97" fillId="0" borderId="1" xfId="0" applyNumberFormat="1" applyFont="1" applyBorder="1" applyAlignment="1">
      <alignment horizontal="center"/>
    </xf>
    <xf numFmtId="164" fontId="97" fillId="0" borderId="1" xfId="0" applyNumberFormat="1" applyFont="1" applyBorder="1" applyAlignment="1">
      <alignment horizontal="center"/>
    </xf>
    <xf numFmtId="0" fontId="0" fillId="0" borderId="1" xfId="0" applyBorder="1" applyAlignment="1">
      <alignment horizontal="left"/>
    </xf>
    <xf numFmtId="165" fontId="8" fillId="2" borderId="5" xfId="0" applyNumberFormat="1" applyFont="1" applyFill="1" applyBorder="1" applyAlignment="1">
      <alignment horizontal="center" vertical="center"/>
    </xf>
    <xf numFmtId="165" fontId="100" fillId="35" borderId="1" xfId="0" applyNumberFormat="1" applyFont="1" applyFill="1" applyBorder="1" applyAlignment="1">
      <alignment horizontal="center"/>
    </xf>
    <xf numFmtId="166" fontId="0" fillId="20" borderId="0" xfId="0" applyNumberFormat="1" applyFill="1" applyAlignment="1">
      <alignment horizontal="center" vertical="center"/>
    </xf>
    <xf numFmtId="165" fontId="99" fillId="17" borderId="1" xfId="0" applyNumberFormat="1" applyFont="1" applyFill="1" applyBorder="1" applyAlignment="1">
      <alignment horizontal="center" vertical="center"/>
    </xf>
    <xf numFmtId="0" fontId="11" fillId="20" borderId="1" xfId="0" applyFont="1" applyFill="1" applyBorder="1" applyAlignment="1">
      <alignment vertical="center"/>
    </xf>
    <xf numFmtId="168" fontId="101" fillId="35" borderId="1" xfId="0" applyNumberFormat="1" applyFont="1" applyFill="1" applyBorder="1" applyAlignment="1">
      <alignment horizontal="right" vertical="center"/>
    </xf>
    <xf numFmtId="0" fontId="102" fillId="17" borderId="1" xfId="0" applyFont="1" applyFill="1" applyBorder="1" applyAlignment="1">
      <alignment vertical="center"/>
    </xf>
    <xf numFmtId="167" fontId="101" fillId="35" borderId="1" xfId="0" applyNumberFormat="1" applyFont="1" applyFill="1" applyBorder="1" applyAlignment="1">
      <alignment horizontal="right" vertical="center"/>
    </xf>
    <xf numFmtId="183" fontId="101" fillId="35" borderId="1" xfId="0" applyNumberFormat="1" applyFont="1" applyFill="1" applyBorder="1" applyAlignment="1">
      <alignment horizontal="right" vertical="center"/>
    </xf>
    <xf numFmtId="182" fontId="101" fillId="35" borderId="1" xfId="0" applyNumberFormat="1" applyFont="1" applyFill="1" applyBorder="1" applyAlignment="1">
      <alignment horizontal="right" vertical="center"/>
    </xf>
    <xf numFmtId="0" fontId="103" fillId="20" borderId="1" xfId="0" applyFont="1" applyFill="1" applyBorder="1" applyAlignment="1">
      <alignment horizontal="center" vertical="center"/>
    </xf>
    <xf numFmtId="0" fontId="60" fillId="20" borderId="0" xfId="0" applyFont="1" applyFill="1" applyAlignment="1">
      <alignment vertical="center"/>
    </xf>
    <xf numFmtId="2" fontId="103" fillId="39" borderId="1" xfId="0" applyNumberFormat="1" applyFont="1" applyFill="1" applyBorder="1" applyAlignment="1" applyProtection="1">
      <alignment horizontal="center" vertical="center"/>
      <protection locked="0"/>
    </xf>
    <xf numFmtId="166" fontId="60" fillId="20" borderId="0" xfId="0" applyNumberFormat="1" applyFont="1" applyFill="1" applyAlignment="1">
      <alignment vertical="center"/>
    </xf>
    <xf numFmtId="166" fontId="105" fillId="20" borderId="0" xfId="0" applyNumberFormat="1" applyFont="1" applyFill="1" applyAlignment="1">
      <alignment horizontal="center"/>
    </xf>
    <xf numFmtId="166" fontId="106" fillId="20" borderId="0" xfId="0" applyNumberFormat="1" applyFont="1" applyFill="1" applyAlignment="1">
      <alignment horizontal="center"/>
    </xf>
    <xf numFmtId="0" fontId="105" fillId="20" borderId="0" xfId="0" applyFont="1" applyFill="1" applyAlignment="1">
      <alignment horizontal="center" vertical="top"/>
    </xf>
    <xf numFmtId="0" fontId="98" fillId="0" borderId="1" xfId="0" applyFont="1" applyBorder="1" applyAlignment="1">
      <alignment horizontal="right" vertical="center"/>
    </xf>
    <xf numFmtId="0" fontId="6" fillId="43" borderId="1" xfId="0" applyFont="1" applyFill="1" applyBorder="1" applyAlignment="1">
      <alignment horizontal="right" vertical="top" wrapText="1"/>
    </xf>
    <xf numFmtId="0" fontId="18" fillId="44" borderId="3" xfId="0" applyFont="1" applyFill="1" applyBorder="1" applyAlignment="1" applyProtection="1">
      <alignment horizontal="center" vertical="center"/>
      <protection locked="0"/>
    </xf>
    <xf numFmtId="0" fontId="18" fillId="44" borderId="1" xfId="0" applyFont="1" applyFill="1" applyBorder="1" applyAlignment="1" applyProtection="1">
      <alignment horizontal="center" vertical="center"/>
      <protection locked="0"/>
    </xf>
    <xf numFmtId="0" fontId="81" fillId="44" borderId="1" xfId="0" applyFont="1" applyFill="1" applyBorder="1" applyAlignment="1">
      <alignment horizontal="center" vertical="center"/>
    </xf>
    <xf numFmtId="171" fontId="18" fillId="44" borderId="1" xfId="0" applyNumberFormat="1" applyFont="1" applyFill="1" applyBorder="1" applyAlignment="1" applyProtection="1">
      <alignment horizontal="center" vertical="center"/>
      <protection locked="0"/>
    </xf>
    <xf numFmtId="0" fontId="111" fillId="0" borderId="1" xfId="0" applyFont="1" applyBorder="1" applyAlignment="1">
      <alignment horizontal="center"/>
    </xf>
    <xf numFmtId="0" fontId="112" fillId="0" borderId="1" xfId="0" applyFont="1" applyBorder="1" applyAlignment="1">
      <alignment horizontal="center"/>
    </xf>
    <xf numFmtId="166" fontId="113" fillId="21" borderId="1" xfId="0" applyNumberFormat="1" applyFont="1" applyFill="1" applyBorder="1" applyAlignment="1">
      <alignment horizontal="center" vertical="center"/>
    </xf>
    <xf numFmtId="2" fontId="113" fillId="0" borderId="0" xfId="0" applyNumberFormat="1" applyFont="1" applyAlignment="1">
      <alignment horizontal="center" vertical="center"/>
    </xf>
    <xf numFmtId="0" fontId="114" fillId="0" borderId="0" xfId="0" applyFont="1"/>
    <xf numFmtId="166" fontId="110" fillId="0" borderId="1" xfId="0" applyNumberFormat="1" applyFont="1" applyBorder="1" applyAlignment="1">
      <alignment horizontal="center"/>
    </xf>
    <xf numFmtId="0" fontId="115" fillId="0" borderId="0" xfId="0" applyFont="1" applyAlignment="1">
      <alignment vertical="center"/>
    </xf>
    <xf numFmtId="166" fontId="6" fillId="45" borderId="1" xfId="0" applyNumberFormat="1" applyFont="1" applyFill="1" applyBorder="1" applyAlignment="1">
      <alignment horizontal="center"/>
    </xf>
    <xf numFmtId="166" fontId="6" fillId="45" borderId="1" xfId="0" applyNumberFormat="1" applyFont="1" applyFill="1" applyBorder="1" applyAlignment="1">
      <alignment horizontal="center" vertical="center"/>
    </xf>
    <xf numFmtId="176" fontId="71" fillId="0" borderId="0" xfId="0" applyNumberFormat="1" applyFont="1" applyAlignment="1">
      <alignment horizontal="left" vertical="center"/>
    </xf>
    <xf numFmtId="0" fontId="67" fillId="0" borderId="0" xfId="0" applyFont="1" applyAlignment="1">
      <alignment vertical="center"/>
    </xf>
    <xf numFmtId="172" fontId="71" fillId="0" borderId="0" xfId="0" applyNumberFormat="1" applyFont="1" applyAlignment="1">
      <alignment horizontal="left" vertical="center"/>
    </xf>
    <xf numFmtId="0" fontId="80" fillId="0" borderId="0" xfId="0" applyFont="1" applyAlignment="1">
      <alignment vertical="center"/>
    </xf>
    <xf numFmtId="2" fontId="81" fillId="44" borderId="1" xfId="0" applyNumberFormat="1" applyFont="1" applyFill="1" applyBorder="1" applyAlignment="1" applyProtection="1">
      <alignment horizontal="center" vertical="center"/>
      <protection locked="0"/>
    </xf>
    <xf numFmtId="184" fontId="104" fillId="0" borderId="0" xfId="0" applyNumberFormat="1" applyFont="1" applyAlignment="1">
      <alignment horizontal="left" vertical="center"/>
    </xf>
    <xf numFmtId="187" fontId="97" fillId="20" borderId="1" xfId="0" applyNumberFormat="1" applyFont="1" applyFill="1" applyBorder="1" applyAlignment="1">
      <alignment horizontal="center" vertical="center"/>
    </xf>
    <xf numFmtId="187" fontId="97" fillId="0" borderId="1" xfId="0" applyNumberFormat="1" applyFont="1" applyBorder="1" applyAlignment="1">
      <alignment horizontal="center" vertical="center"/>
    </xf>
    <xf numFmtId="166" fontId="116" fillId="20" borderId="0" xfId="0" applyNumberFormat="1" applyFont="1" applyFill="1" applyAlignment="1">
      <alignment horizontal="center" vertical="center"/>
    </xf>
    <xf numFmtId="0" fontId="104" fillId="0" borderId="1" xfId="0" applyFont="1" applyBorder="1" applyAlignment="1">
      <alignment horizontal="right" vertical="center"/>
    </xf>
    <xf numFmtId="0" fontId="67" fillId="6" borderId="0" xfId="0" applyFont="1" applyFill="1" applyAlignment="1">
      <alignment vertical="center"/>
    </xf>
    <xf numFmtId="169" fontId="3" fillId="0" borderId="0" xfId="1" applyNumberFormat="1" applyFont="1" applyAlignment="1">
      <alignment horizontal="center" vertical="center"/>
    </xf>
    <xf numFmtId="165" fontId="14" fillId="0" borderId="5" xfId="0" applyNumberFormat="1" applyFont="1" applyBorder="1" applyAlignment="1">
      <alignment horizontal="center" vertical="center"/>
    </xf>
    <xf numFmtId="0" fontId="21" fillId="30" borderId="1" xfId="227" applyFont="1" applyFill="1" applyBorder="1" applyAlignment="1">
      <alignment horizontal="center" vertical="center"/>
    </xf>
    <xf numFmtId="0" fontId="78" fillId="20" borderId="0" xfId="0" applyFont="1" applyFill="1" applyAlignment="1">
      <alignment horizontal="center" vertical="center"/>
    </xf>
    <xf numFmtId="0" fontId="70" fillId="6" borderId="0" xfId="0" applyFont="1" applyFill="1" applyAlignment="1">
      <alignment vertical="center"/>
    </xf>
    <xf numFmtId="0" fontId="0" fillId="20" borderId="0" xfId="0" applyFill="1" applyAlignment="1">
      <alignment horizontal="center" vertical="center"/>
    </xf>
    <xf numFmtId="164" fontId="70" fillId="0" borderId="4" xfId="61" applyNumberFormat="1" applyFont="1" applyBorder="1" applyAlignment="1">
      <alignment horizontal="center" vertical="center"/>
    </xf>
    <xf numFmtId="164" fontId="70" fillId="0" borderId="5" xfId="61" applyNumberFormat="1" applyFont="1" applyBorder="1" applyAlignment="1">
      <alignment horizontal="center" vertical="center"/>
    </xf>
    <xf numFmtId="170" fontId="98" fillId="0" borderId="1" xfId="61" applyNumberFormat="1" applyFont="1" applyBorder="1" applyAlignment="1">
      <alignment horizontal="center" vertical="center"/>
    </xf>
    <xf numFmtId="0" fontId="8" fillId="20" borderId="8" xfId="0" applyFont="1" applyFill="1" applyBorder="1" applyAlignment="1">
      <alignment horizontal="right" vertical="center" wrapText="1"/>
    </xf>
    <xf numFmtId="0" fontId="8" fillId="20" borderId="3" xfId="0" applyFont="1" applyFill="1" applyBorder="1" applyAlignment="1">
      <alignment horizontal="right" vertical="center" wrapText="1"/>
    </xf>
    <xf numFmtId="167" fontId="1" fillId="0" borderId="1" xfId="61" applyNumberFormat="1" applyFont="1" applyBorder="1" applyAlignment="1">
      <alignment horizontal="center" vertical="center"/>
    </xf>
    <xf numFmtId="0" fontId="8" fillId="20" borderId="8" xfId="0" applyFont="1" applyFill="1" applyBorder="1" applyAlignment="1">
      <alignment horizontal="center" vertical="center" wrapText="1"/>
    </xf>
    <xf numFmtId="0" fontId="8" fillId="20" borderId="2" xfId="0" applyFont="1" applyFill="1" applyBorder="1" applyAlignment="1">
      <alignment horizontal="center" vertical="center" wrapText="1"/>
    </xf>
    <xf numFmtId="0" fontId="8" fillId="20" borderId="3" xfId="0" applyFont="1" applyFill="1" applyBorder="1" applyAlignment="1">
      <alignment horizontal="center" vertical="center" wrapText="1"/>
    </xf>
    <xf numFmtId="0" fontId="89" fillId="20" borderId="8" xfId="0" applyFont="1" applyFill="1" applyBorder="1" applyAlignment="1">
      <alignment horizontal="center" vertical="center" wrapText="1"/>
    </xf>
    <xf numFmtId="0" fontId="89" fillId="20" borderId="2" xfId="0" applyFont="1" applyFill="1" applyBorder="1" applyAlignment="1">
      <alignment horizontal="center" vertical="center" wrapText="1"/>
    </xf>
    <xf numFmtId="0" fontId="89" fillId="20" borderId="3" xfId="0" applyFont="1" applyFill="1" applyBorder="1" applyAlignment="1">
      <alignment horizontal="center" vertical="center" wrapText="1"/>
    </xf>
    <xf numFmtId="164" fontId="28" fillId="0" borderId="1" xfId="61" applyNumberFormat="1" applyFont="1" applyBorder="1" applyAlignment="1">
      <alignment horizontal="center" vertical="center"/>
    </xf>
    <xf numFmtId="3" fontId="18" fillId="44" borderId="1" xfId="61" applyNumberFormat="1" applyFont="1" applyFill="1" applyBorder="1" applyAlignment="1" applyProtection="1">
      <alignment horizontal="center" vertical="center"/>
      <protection locked="0"/>
    </xf>
    <xf numFmtId="174" fontId="18" fillId="44" borderId="1" xfId="61" applyNumberFormat="1" applyFont="1" applyFill="1" applyBorder="1" applyAlignment="1" applyProtection="1">
      <alignment horizontal="center" vertical="center"/>
      <protection locked="0"/>
    </xf>
    <xf numFmtId="0" fontId="28" fillId="20" borderId="0" xfId="0" applyFont="1" applyFill="1" applyAlignment="1">
      <alignment horizontal="right" vertical="center"/>
    </xf>
    <xf numFmtId="0" fontId="18" fillId="20" borderId="1" xfId="0" applyFont="1" applyFill="1" applyBorder="1" applyAlignment="1">
      <alignment horizontal="center" vertical="center"/>
    </xf>
    <xf numFmtId="170" fontId="18" fillId="44" borderId="1" xfId="61" applyNumberFormat="1" applyFont="1" applyFill="1" applyBorder="1" applyAlignment="1" applyProtection="1">
      <alignment horizontal="center" vertical="center"/>
      <protection locked="0"/>
    </xf>
    <xf numFmtId="0" fontId="18" fillId="44" borderId="1" xfId="0" applyFont="1" applyFill="1" applyBorder="1" applyAlignment="1" applyProtection="1">
      <alignment horizontal="left" vertical="center"/>
      <protection locked="0"/>
    </xf>
    <xf numFmtId="0" fontId="0" fillId="0" borderId="1" xfId="0" applyBorder="1" applyAlignment="1">
      <alignment horizontal="center" vertical="center" wrapText="1"/>
    </xf>
    <xf numFmtId="172" fontId="88" fillId="20" borderId="6" xfId="0" applyNumberFormat="1" applyFont="1" applyFill="1" applyBorder="1" applyAlignment="1">
      <alignment horizontal="center" vertical="center"/>
    </xf>
    <xf numFmtId="172" fontId="88" fillId="20" borderId="13" xfId="0" applyNumberFormat="1" applyFont="1" applyFill="1" applyBorder="1" applyAlignment="1">
      <alignment horizontal="center" vertical="center"/>
    </xf>
    <xf numFmtId="0" fontId="24" fillId="20" borderId="1" xfId="0" applyFont="1" applyFill="1" applyBorder="1" applyAlignment="1">
      <alignment horizontal="center" vertical="center"/>
    </xf>
    <xf numFmtId="0" fontId="95" fillId="20" borderId="0" xfId="0" applyFont="1" applyFill="1" applyAlignment="1">
      <alignment horizontal="center" vertical="center"/>
    </xf>
    <xf numFmtId="0" fontId="21" fillId="20" borderId="0" xfId="0" applyFont="1" applyFill="1" applyAlignment="1">
      <alignment horizontal="center" wrapText="1"/>
    </xf>
    <xf numFmtId="0" fontId="21" fillId="20" borderId="0" xfId="0" applyFont="1" applyFill="1" applyAlignment="1">
      <alignment horizontal="center"/>
    </xf>
    <xf numFmtId="0" fontId="65" fillId="0" borderId="0" xfId="0" applyFont="1" applyAlignment="1">
      <alignment horizontal="center" vertical="center"/>
    </xf>
    <xf numFmtId="14" fontId="50" fillId="20" borderId="0" xfId="0" applyNumberFormat="1" applyFont="1" applyFill="1" applyAlignment="1">
      <alignment horizontal="center" vertical="center"/>
    </xf>
    <xf numFmtId="0" fontId="50" fillId="20" borderId="0" xfId="0" applyFont="1" applyFill="1" applyAlignment="1">
      <alignment horizontal="center" vertical="center"/>
    </xf>
    <xf numFmtId="0" fontId="97" fillId="20" borderId="4" xfId="0" applyFont="1" applyFill="1" applyBorder="1" applyAlignment="1">
      <alignment horizontal="center" vertical="center"/>
    </xf>
    <xf numFmtId="0" fontId="97" fillId="20" borderId="5" xfId="0" applyFont="1"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center" vertical="center" wrapText="1"/>
    </xf>
    <xf numFmtId="0" fontId="0" fillId="20" borderId="1" xfId="0" applyFill="1" applyBorder="1" applyAlignment="1">
      <alignment horizontal="center" vertical="center"/>
    </xf>
    <xf numFmtId="0" fontId="0" fillId="20" borderId="3" xfId="0" applyFill="1" applyBorder="1" applyAlignment="1">
      <alignment horizontal="center" vertical="center"/>
    </xf>
    <xf numFmtId="0" fontId="8" fillId="31" borderId="1" xfId="0" applyFont="1" applyFill="1" applyBorder="1" applyAlignment="1">
      <alignment horizontal="right" vertical="center"/>
    </xf>
    <xf numFmtId="0" fontId="0" fillId="6" borderId="1" xfId="0" applyFill="1" applyBorder="1" applyAlignment="1">
      <alignment horizontal="right" vertical="center"/>
    </xf>
    <xf numFmtId="0" fontId="14" fillId="20" borderId="1" xfId="0" applyFont="1" applyFill="1" applyBorder="1" applyAlignment="1">
      <alignment horizontal="center" vertical="center"/>
    </xf>
    <xf numFmtId="0" fontId="88" fillId="20" borderId="1" xfId="0" applyFont="1" applyFill="1" applyBorder="1" applyAlignment="1">
      <alignment horizontal="center" vertical="center"/>
    </xf>
    <xf numFmtId="0" fontId="0" fillId="20" borderId="6" xfId="0" applyFill="1" applyBorder="1" applyAlignment="1">
      <alignment horizontal="center" vertical="center"/>
    </xf>
    <xf numFmtId="0" fontId="0" fillId="20" borderId="14" xfId="0" applyFill="1" applyBorder="1" applyAlignment="1">
      <alignment horizontal="center" vertical="center"/>
    </xf>
    <xf numFmtId="0" fontId="0" fillId="20" borderId="12" xfId="0" applyFill="1" applyBorder="1" applyAlignment="1">
      <alignment horizontal="center" vertical="center"/>
    </xf>
    <xf numFmtId="0" fontId="87" fillId="23" borderId="1" xfId="0" applyFont="1" applyFill="1" applyBorder="1" applyAlignment="1">
      <alignment horizontal="left" vertical="top" wrapText="1"/>
    </xf>
    <xf numFmtId="179" fontId="103" fillId="42" borderId="1" xfId="61" applyNumberFormat="1" applyFont="1" applyFill="1" applyBorder="1" applyAlignment="1">
      <alignment horizontal="center" vertical="center"/>
    </xf>
    <xf numFmtId="186" fontId="109" fillId="0" borderId="1" xfId="61" applyNumberFormat="1" applyFont="1" applyBorder="1" applyAlignment="1">
      <alignment horizontal="center" vertical="center"/>
    </xf>
    <xf numFmtId="170" fontId="6" fillId="34" borderId="1" xfId="61" applyNumberFormat="1" applyFont="1" applyFill="1" applyBorder="1" applyAlignment="1">
      <alignment horizontal="center" vertical="center"/>
    </xf>
    <xf numFmtId="0" fontId="24" fillId="0" borderId="0" xfId="0" applyFont="1" applyAlignment="1">
      <alignment horizontal="right" vertical="center" wrapText="1"/>
    </xf>
    <xf numFmtId="0" fontId="0" fillId="20" borderId="0" xfId="0" applyFill="1" applyAlignment="1">
      <alignment horizontal="right" vertical="center"/>
    </xf>
    <xf numFmtId="0" fontId="8" fillId="20" borderId="0" xfId="0" applyFont="1" applyFill="1" applyAlignment="1">
      <alignment horizontal="center" vertical="center"/>
    </xf>
    <xf numFmtId="0" fontId="94" fillId="21" borderId="1" xfId="0" applyFont="1" applyFill="1" applyBorder="1" applyAlignment="1">
      <alignment horizontal="center" vertical="center"/>
    </xf>
    <xf numFmtId="0" fontId="93" fillId="21" borderId="1" xfId="0" applyFont="1" applyFill="1" applyBorder="1" applyAlignment="1">
      <alignment horizontal="center" vertical="center"/>
    </xf>
    <xf numFmtId="181" fontId="21" fillId="20" borderId="0" xfId="0" applyNumberFormat="1" applyFont="1" applyFill="1" applyAlignment="1">
      <alignment horizontal="left" vertical="top" wrapText="1"/>
    </xf>
    <xf numFmtId="0" fontId="97" fillId="20" borderId="12" xfId="0" applyFont="1" applyFill="1" applyBorder="1" applyAlignment="1">
      <alignment horizontal="center" vertical="center"/>
    </xf>
    <xf numFmtId="164" fontId="97" fillId="0" borderId="4" xfId="0" applyNumberFormat="1" applyFont="1" applyBorder="1" applyAlignment="1">
      <alignment horizontal="center" vertical="center"/>
    </xf>
    <xf numFmtId="0" fontId="97" fillId="0" borderId="5" xfId="0" applyFont="1" applyBorder="1" applyAlignment="1">
      <alignment horizontal="center" vertical="center"/>
    </xf>
    <xf numFmtId="164" fontId="97" fillId="0" borderId="1" xfId="0" applyNumberFormat="1" applyFont="1" applyBorder="1" applyAlignment="1">
      <alignment horizontal="center" vertical="center"/>
    </xf>
    <xf numFmtId="0" fontId="97" fillId="0" borderId="1" xfId="0" applyFont="1" applyBorder="1" applyAlignment="1">
      <alignment horizontal="center" vertical="center"/>
    </xf>
    <xf numFmtId="0" fontId="8" fillId="20" borderId="1" xfId="0" applyFont="1" applyFill="1" applyBorder="1" applyAlignment="1">
      <alignment horizontal="center" vertical="center"/>
    </xf>
    <xf numFmtId="3" fontId="6" fillId="41" borderId="1" xfId="61" applyNumberFormat="1" applyFont="1" applyFill="1" applyBorder="1" applyAlignment="1">
      <alignment horizontal="center" vertical="center"/>
    </xf>
    <xf numFmtId="0" fontId="0" fillId="0" borderId="0" xfId="0" applyAlignment="1">
      <alignment horizontal="center" vertical="center"/>
    </xf>
    <xf numFmtId="0" fontId="6" fillId="41" borderId="1" xfId="0" applyFont="1" applyFill="1" applyBorder="1" applyAlignment="1">
      <alignment horizontal="right" vertical="center"/>
    </xf>
    <xf numFmtId="170" fontId="6" fillId="43" borderId="1" xfId="61" applyNumberFormat="1" applyFont="1" applyFill="1" applyBorder="1" applyAlignment="1">
      <alignment horizontal="center" vertical="center"/>
    </xf>
    <xf numFmtId="0" fontId="24" fillId="20" borderId="1" xfId="0" quotePrefix="1" applyFont="1" applyFill="1" applyBorder="1" applyAlignment="1">
      <alignment horizontal="left" vertical="center"/>
    </xf>
    <xf numFmtId="185" fontId="109" fillId="0" borderId="1" xfId="61" applyNumberFormat="1" applyFont="1" applyBorder="1" applyAlignment="1">
      <alignment horizontal="center" vertical="center"/>
    </xf>
    <xf numFmtId="0" fontId="14" fillId="13" borderId="1" xfId="0" applyFont="1" applyFill="1" applyBorder="1" applyAlignment="1">
      <alignment horizontal="center" vertical="center"/>
    </xf>
    <xf numFmtId="0" fontId="13" fillId="15" borderId="1" xfId="0" applyFont="1" applyFill="1" applyBorder="1" applyAlignment="1">
      <alignment horizontal="center" vertical="center"/>
    </xf>
    <xf numFmtId="0" fontId="13" fillId="15" borderId="4" xfId="0" applyFont="1" applyFill="1" applyBorder="1" applyAlignment="1">
      <alignment horizontal="left" vertical="center"/>
    </xf>
    <xf numFmtId="0" fontId="13" fillId="15" borderId="5" xfId="0" applyFont="1" applyFill="1" applyBorder="1" applyAlignment="1">
      <alignment horizontal="left" vertical="center"/>
    </xf>
    <xf numFmtId="0" fontId="18" fillId="13" borderId="4" xfId="0" applyFont="1" applyFill="1" applyBorder="1" applyAlignment="1">
      <alignment horizontal="center" vertical="center"/>
    </xf>
    <xf numFmtId="0" fontId="18" fillId="13" borderId="7" xfId="0" applyFont="1" applyFill="1" applyBorder="1" applyAlignment="1">
      <alignment horizontal="center" vertical="center"/>
    </xf>
    <xf numFmtId="0" fontId="18" fillId="13" borderId="5" xfId="0" applyFont="1" applyFill="1" applyBorder="1" applyAlignment="1">
      <alignment horizontal="center" vertical="center"/>
    </xf>
    <xf numFmtId="0" fontId="0" fillId="0" borderId="1" xfId="0" applyBorder="1" applyAlignment="1">
      <alignment horizontal="center" vertical="center"/>
    </xf>
    <xf numFmtId="0" fontId="57" fillId="0" borderId="13" xfId="0" applyFont="1" applyBorder="1" applyAlignment="1">
      <alignment horizontal="center" vertical="center" wrapText="1"/>
    </xf>
    <xf numFmtId="0" fontId="57" fillId="0" borderId="15" xfId="0" applyFont="1" applyBorder="1" applyAlignment="1">
      <alignment horizontal="center" vertical="center" wrapText="1"/>
    </xf>
    <xf numFmtId="0" fontId="0" fillId="8" borderId="9"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12" fillId="15" borderId="4" xfId="0" applyFont="1" applyFill="1" applyBorder="1" applyAlignment="1">
      <alignment horizontal="center" vertical="center"/>
    </xf>
    <xf numFmtId="0" fontId="12" fillId="15" borderId="7" xfId="0" applyFont="1" applyFill="1" applyBorder="1" applyAlignment="1">
      <alignment horizontal="center" vertical="center"/>
    </xf>
    <xf numFmtId="0" fontId="12" fillId="15" borderId="5" xfId="0" applyFont="1" applyFill="1" applyBorder="1" applyAlignment="1">
      <alignment horizontal="center" vertical="center"/>
    </xf>
    <xf numFmtId="0" fontId="0" fillId="0" borderId="8" xfId="0" quotePrefix="1" applyBorder="1" applyAlignment="1">
      <alignment horizontal="center" vertical="center"/>
    </xf>
    <xf numFmtId="0" fontId="0" fillId="0" borderId="3" xfId="0" quotePrefix="1" applyBorder="1" applyAlignment="1">
      <alignment horizontal="center" vertical="center"/>
    </xf>
    <xf numFmtId="0" fontId="6" fillId="19" borderId="6" xfId="0" applyFont="1" applyFill="1" applyBorder="1" applyAlignment="1">
      <alignment horizontal="center" vertical="center" wrapText="1"/>
    </xf>
    <xf numFmtId="0" fontId="6" fillId="19" borderId="0" xfId="0" applyFont="1" applyFill="1" applyAlignment="1">
      <alignment horizontal="center" vertical="center" wrapText="1"/>
    </xf>
    <xf numFmtId="164" fontId="11" fillId="6" borderId="1" xfId="0" applyNumberFormat="1" applyFont="1" applyFill="1" applyBorder="1" applyAlignment="1">
      <alignment horizontal="center" vertical="center" wrapText="1"/>
    </xf>
    <xf numFmtId="0" fontId="11" fillId="7" borderId="1" xfId="0" applyFont="1" applyFill="1" applyBorder="1" applyAlignment="1">
      <alignment horizontal="center" vertical="center"/>
    </xf>
    <xf numFmtId="0" fontId="13" fillId="12" borderId="1" xfId="0" applyFont="1" applyFill="1" applyBorder="1" applyAlignment="1">
      <alignment horizontal="center" vertical="center"/>
    </xf>
    <xf numFmtId="0" fontId="38" fillId="0" borderId="0" xfId="0" applyFont="1" applyAlignment="1">
      <alignment horizontal="left" vertical="center"/>
    </xf>
    <xf numFmtId="0" fontId="38" fillId="0" borderId="0" xfId="0" applyFont="1" applyAlignment="1">
      <alignment horizontal="left" vertical="top"/>
    </xf>
    <xf numFmtId="0" fontId="113" fillId="0" borderId="0" xfId="0" applyFont="1" applyAlignment="1">
      <alignment horizontal="right" vertical="center"/>
    </xf>
    <xf numFmtId="0" fontId="38" fillId="0" borderId="0" xfId="0" applyFont="1" applyAlignment="1">
      <alignment horizontal="left"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50" fillId="0" borderId="8" xfId="0" applyFont="1" applyBorder="1" applyAlignment="1">
      <alignment horizontal="center" vertical="center"/>
    </xf>
    <xf numFmtId="164" fontId="11" fillId="6" borderId="2" xfId="0" applyNumberFormat="1" applyFont="1" applyFill="1" applyBorder="1" applyAlignment="1">
      <alignment horizontal="center" vertical="center" wrapText="1"/>
    </xf>
    <xf numFmtId="164" fontId="11" fillId="6" borderId="3" xfId="0" applyNumberFormat="1" applyFont="1" applyFill="1" applyBorder="1" applyAlignment="1">
      <alignment horizontal="center" vertical="center" wrapText="1"/>
    </xf>
    <xf numFmtId="0" fontId="13" fillId="6" borderId="1" xfId="0" applyFont="1" applyFill="1" applyBorder="1" applyAlignment="1">
      <alignment horizontal="center" vertical="center"/>
    </xf>
    <xf numFmtId="0" fontId="38" fillId="0" borderId="0" xfId="0" applyFont="1" applyAlignment="1">
      <alignment vertical="center"/>
    </xf>
    <xf numFmtId="0" fontId="38" fillId="0" borderId="0" xfId="0" applyFont="1" applyAlignment="1">
      <alignment vertical="center" wrapText="1"/>
    </xf>
    <xf numFmtId="0" fontId="50" fillId="0" borderId="1" xfId="0" applyFont="1" applyBorder="1" applyAlignment="1">
      <alignment horizontal="center" vertical="center"/>
    </xf>
    <xf numFmtId="0" fontId="32" fillId="22" borderId="1" xfId="227" applyFont="1" applyFill="1" applyBorder="1" applyAlignment="1">
      <alignment horizontal="center" vertical="center"/>
    </xf>
    <xf numFmtId="0" fontId="49" fillId="0" borderId="0" xfId="61" applyFont="1" applyAlignment="1">
      <alignment horizontal="left" vertical="center"/>
    </xf>
    <xf numFmtId="0" fontId="49" fillId="0" borderId="13" xfId="61" applyFont="1" applyBorder="1" applyAlignment="1">
      <alignment horizontal="left" vertical="center"/>
    </xf>
    <xf numFmtId="0" fontId="39" fillId="0" borderId="1" xfId="227" applyFont="1" applyBorder="1" applyAlignment="1">
      <alignment horizontal="center" vertical="center"/>
    </xf>
    <xf numFmtId="0" fontId="12" fillId="12" borderId="1" xfId="61" applyFont="1" applyFill="1" applyBorder="1" applyAlignment="1">
      <alignment horizontal="center" vertical="center"/>
    </xf>
    <xf numFmtId="0" fontId="31" fillId="6" borderId="4" xfId="61" applyFont="1" applyFill="1" applyBorder="1" applyAlignment="1">
      <alignment horizontal="center" vertical="center"/>
    </xf>
    <xf numFmtId="0" fontId="31" fillId="6" borderId="7" xfId="61" applyFont="1" applyFill="1" applyBorder="1" applyAlignment="1">
      <alignment horizontal="center" vertical="center"/>
    </xf>
    <xf numFmtId="0" fontId="31" fillId="6" borderId="5" xfId="61" applyFont="1" applyFill="1" applyBorder="1" applyAlignment="1">
      <alignment horizontal="center" vertical="center"/>
    </xf>
    <xf numFmtId="0" fontId="8" fillId="21" borderId="1" xfId="61" applyFont="1" applyFill="1" applyBorder="1" applyAlignment="1">
      <alignment horizontal="center" vertical="center"/>
    </xf>
    <xf numFmtId="0" fontId="31" fillId="5" borderId="1" xfId="61" applyFont="1" applyFill="1" applyBorder="1" applyAlignment="1">
      <alignment horizontal="center" vertical="center"/>
    </xf>
    <xf numFmtId="0" fontId="31" fillId="3" borderId="1" xfId="61" applyFont="1" applyFill="1" applyBorder="1" applyAlignment="1">
      <alignment horizontal="center" vertical="center"/>
    </xf>
    <xf numFmtId="0" fontId="3" fillId="17" borderId="1" xfId="227" applyFill="1" applyBorder="1" applyAlignment="1">
      <alignment horizontal="center" vertical="center"/>
    </xf>
    <xf numFmtId="0" fontId="3" fillId="18" borderId="8" xfId="227" applyFill="1" applyBorder="1" applyAlignment="1">
      <alignment horizontal="center" vertical="center"/>
    </xf>
    <xf numFmtId="0" fontId="3" fillId="18" borderId="2" xfId="227" applyFill="1" applyBorder="1" applyAlignment="1">
      <alignment horizontal="center" vertical="center"/>
    </xf>
    <xf numFmtId="0" fontId="3" fillId="18" borderId="3" xfId="227" applyFill="1" applyBorder="1" applyAlignment="1">
      <alignment horizontal="center" vertical="center"/>
    </xf>
    <xf numFmtId="167" fontId="3" fillId="18" borderId="4" xfId="227" applyNumberFormat="1" applyFill="1" applyBorder="1" applyAlignment="1">
      <alignment horizontal="center" vertical="center"/>
    </xf>
    <xf numFmtId="167" fontId="3" fillId="18" borderId="7" xfId="227" applyNumberFormat="1" applyFill="1" applyBorder="1" applyAlignment="1">
      <alignment horizontal="center" vertical="center"/>
    </xf>
    <xf numFmtId="0" fontId="20" fillId="18" borderId="8" xfId="227" applyFont="1" applyFill="1" applyBorder="1" applyAlignment="1">
      <alignment horizontal="center" vertical="center"/>
    </xf>
    <xf numFmtId="0" fontId="20" fillId="18" borderId="2" xfId="227" applyFont="1" applyFill="1" applyBorder="1" applyAlignment="1">
      <alignment horizontal="center" vertical="center"/>
    </xf>
    <xf numFmtId="0" fontId="20" fillId="18" borderId="3" xfId="227" applyFont="1" applyFill="1" applyBorder="1" applyAlignment="1">
      <alignment horizontal="center" vertical="center"/>
    </xf>
    <xf numFmtId="0" fontId="3" fillId="25" borderId="8" xfId="227" applyFill="1" applyBorder="1" applyAlignment="1">
      <alignment horizontal="center" vertical="center"/>
    </xf>
    <xf numFmtId="0" fontId="3" fillId="25" borderId="2" xfId="227" applyFill="1" applyBorder="1" applyAlignment="1">
      <alignment horizontal="center" vertical="center"/>
    </xf>
    <xf numFmtId="0" fontId="3" fillId="25" borderId="3" xfId="227" applyFill="1" applyBorder="1" applyAlignment="1">
      <alignment horizontal="center" vertical="center"/>
    </xf>
    <xf numFmtId="0" fontId="20" fillId="25" borderId="8" xfId="227" applyFont="1" applyFill="1" applyBorder="1" applyAlignment="1">
      <alignment horizontal="center" vertical="center"/>
    </xf>
    <xf numFmtId="0" fontId="20" fillId="25" borderId="2" xfId="227" applyFont="1" applyFill="1" applyBorder="1" applyAlignment="1">
      <alignment horizontal="center" vertical="center"/>
    </xf>
    <xf numFmtId="0" fontId="20" fillId="25" borderId="3" xfId="227" applyFont="1" applyFill="1" applyBorder="1" applyAlignment="1">
      <alignment horizontal="center" vertical="center"/>
    </xf>
    <xf numFmtId="0" fontId="43" fillId="0" borderId="8" xfId="227" applyFont="1" applyBorder="1" applyAlignment="1">
      <alignment horizontal="center" vertical="center" wrapText="1"/>
    </xf>
    <xf numFmtId="0" fontId="43" fillId="0" borderId="2" xfId="227" applyFont="1" applyBorder="1" applyAlignment="1">
      <alignment horizontal="center" vertical="center" wrapText="1"/>
    </xf>
    <xf numFmtId="0" fontId="43" fillId="0" borderId="3" xfId="227" applyFont="1" applyBorder="1" applyAlignment="1">
      <alignment horizontal="center" vertical="center" wrapText="1"/>
    </xf>
    <xf numFmtId="0" fontId="3" fillId="0" borderId="8" xfId="227" applyBorder="1" applyAlignment="1">
      <alignment horizontal="center" vertical="center" wrapText="1"/>
    </xf>
    <xf numFmtId="0" fontId="3" fillId="0" borderId="2" xfId="227" applyBorder="1" applyAlignment="1">
      <alignment horizontal="center" vertical="center" wrapText="1"/>
    </xf>
    <xf numFmtId="0" fontId="3" fillId="0" borderId="3" xfId="227" applyBorder="1" applyAlignment="1">
      <alignment horizontal="center" vertical="center" wrapText="1"/>
    </xf>
    <xf numFmtId="0" fontId="3" fillId="12" borderId="1" xfId="227" applyFill="1" applyBorder="1" applyAlignment="1">
      <alignment horizontal="center" vertical="center"/>
    </xf>
    <xf numFmtId="0" fontId="39" fillId="0" borderId="0" xfId="227" applyFont="1" applyAlignment="1">
      <alignment horizontal="center" vertical="center"/>
    </xf>
    <xf numFmtId="0" fontId="31" fillId="6" borderId="1" xfId="61" applyFont="1" applyFill="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vertical="center"/>
    </xf>
    <xf numFmtId="0" fontId="8" fillId="15" borderId="4" xfId="0" applyFont="1" applyFill="1" applyBorder="1" applyAlignment="1">
      <alignment horizontal="left" vertical="center"/>
    </xf>
    <xf numFmtId="0" fontId="8" fillId="15" borderId="7" xfId="0" applyFont="1" applyFill="1" applyBorder="1" applyAlignment="1">
      <alignment horizontal="left" vertical="center"/>
    </xf>
    <xf numFmtId="0" fontId="8" fillId="15" borderId="5" xfId="0" applyFont="1" applyFill="1" applyBorder="1" applyAlignment="1">
      <alignment horizontal="left" vertical="center"/>
    </xf>
    <xf numFmtId="0" fontId="31" fillId="17" borderId="1" xfId="61" quotePrefix="1" applyFont="1" applyFill="1" applyBorder="1" applyAlignment="1">
      <alignment horizontal="center" vertical="center"/>
    </xf>
    <xf numFmtId="0" fontId="40" fillId="26" borderId="9" xfId="227" applyFont="1" applyFill="1" applyBorder="1" applyAlignment="1">
      <alignment horizontal="center" vertical="center" wrapText="1"/>
    </xf>
    <xf numFmtId="0" fontId="40" fillId="26" borderId="10" xfId="227" applyFont="1" applyFill="1" applyBorder="1" applyAlignment="1">
      <alignment horizontal="center" vertical="center" wrapText="1"/>
    </xf>
    <xf numFmtId="0" fontId="40" fillId="26" borderId="11" xfId="227" applyFont="1" applyFill="1" applyBorder="1" applyAlignment="1">
      <alignment horizontal="center" vertical="center" wrapText="1"/>
    </xf>
    <xf numFmtId="0" fontId="44" fillId="26" borderId="1" xfId="61" applyFont="1" applyFill="1" applyBorder="1" applyAlignment="1">
      <alignment horizontal="center" vertical="center" wrapText="1"/>
    </xf>
    <xf numFmtId="0" fontId="42" fillId="26" borderId="14" xfId="227" applyFont="1" applyFill="1" applyBorder="1" applyAlignment="1">
      <alignment horizontal="center" vertical="center" wrapText="1"/>
    </xf>
    <xf numFmtId="0" fontId="42" fillId="26" borderId="12" xfId="227" applyFont="1" applyFill="1" applyBorder="1" applyAlignment="1">
      <alignment horizontal="center" vertical="center" wrapText="1"/>
    </xf>
    <xf numFmtId="0" fontId="42" fillId="26" borderId="15" xfId="227" applyFont="1" applyFill="1" applyBorder="1" applyAlignment="1">
      <alignment horizontal="center" vertical="center" wrapText="1"/>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5" xfId="0" applyFont="1" applyFill="1" applyBorder="1" applyAlignment="1">
      <alignment horizontal="center" vertical="center"/>
    </xf>
    <xf numFmtId="0" fontId="18" fillId="27" borderId="8" xfId="61" applyFont="1" applyFill="1" applyBorder="1" applyAlignment="1">
      <alignment horizontal="center" vertical="center" wrapText="1"/>
    </xf>
    <xf numFmtId="0" fontId="18" fillId="27" borderId="3" xfId="61" applyFont="1" applyFill="1" applyBorder="1" applyAlignment="1">
      <alignment horizontal="center" vertical="center" wrapText="1"/>
    </xf>
    <xf numFmtId="0" fontId="18" fillId="12" borderId="8" xfId="61" applyFont="1" applyFill="1" applyBorder="1" applyAlignment="1">
      <alignment horizontal="center" vertical="center" wrapText="1"/>
    </xf>
    <xf numFmtId="0" fontId="18" fillId="12" borderId="3" xfId="61" applyFont="1" applyFill="1" applyBorder="1" applyAlignment="1">
      <alignment horizontal="center" vertical="center" wrapText="1"/>
    </xf>
    <xf numFmtId="0" fontId="47" fillId="6" borderId="4" xfId="61" applyFont="1" applyFill="1" applyBorder="1" applyAlignment="1">
      <alignment horizontal="left" vertical="center"/>
    </xf>
    <xf numFmtId="0" fontId="47" fillId="6" borderId="7" xfId="61" applyFont="1" applyFill="1" applyBorder="1" applyAlignment="1">
      <alignment horizontal="left" vertical="center"/>
    </xf>
    <xf numFmtId="0" fontId="47" fillId="6" borderId="5" xfId="61" applyFont="1" applyFill="1" applyBorder="1" applyAlignment="1">
      <alignment horizontal="left" vertical="center"/>
    </xf>
    <xf numFmtId="0" fontId="0" fillId="0" borderId="14" xfId="0" applyBorder="1" applyAlignment="1">
      <alignment horizontal="center" vertical="center"/>
    </xf>
    <xf numFmtId="0" fontId="0" fillId="0" borderId="4" xfId="0" applyBorder="1" applyAlignment="1">
      <alignment horizontal="center" vertical="center"/>
    </xf>
    <xf numFmtId="0" fontId="14" fillId="0" borderId="4" xfId="0" applyFont="1" applyBorder="1" applyAlignment="1">
      <alignment horizontal="center" vertical="center"/>
    </xf>
    <xf numFmtId="0" fontId="8" fillId="0" borderId="12" xfId="0" applyFont="1" applyBorder="1" applyAlignment="1">
      <alignment horizontal="center"/>
    </xf>
    <xf numFmtId="0" fontId="10" fillId="0" borderId="1" xfId="61" applyFont="1" applyBorder="1" applyAlignment="1">
      <alignment horizontal="center" vertical="center"/>
    </xf>
    <xf numFmtId="0" fontId="10" fillId="20" borderId="8" xfId="61" applyFont="1" applyFill="1" applyBorder="1" applyAlignment="1">
      <alignment horizontal="center" vertical="center"/>
    </xf>
    <xf numFmtId="0" fontId="10" fillId="20" borderId="3" xfId="61" applyFont="1" applyFill="1" applyBorder="1" applyAlignment="1">
      <alignment horizontal="center" vertical="center"/>
    </xf>
    <xf numFmtId="0" fontId="14" fillId="20" borderId="8" xfId="61" applyFont="1" applyFill="1" applyBorder="1" applyAlignment="1">
      <alignment horizontal="center" vertical="center"/>
    </xf>
    <xf numFmtId="0" fontId="14" fillId="20" borderId="3" xfId="61" applyFont="1" applyFill="1" applyBorder="1" applyAlignment="1">
      <alignment horizontal="center" vertical="center"/>
    </xf>
    <xf numFmtId="0" fontId="14" fillId="20" borderId="1" xfId="61" applyFont="1" applyFill="1" applyBorder="1" applyAlignment="1">
      <alignment horizontal="center" vertical="center"/>
    </xf>
    <xf numFmtId="0" fontId="10" fillId="20" borderId="1" xfId="61" applyFont="1" applyFill="1" applyBorder="1" applyAlignment="1">
      <alignment horizontal="center" vertical="center"/>
    </xf>
    <xf numFmtId="0" fontId="0" fillId="0" borderId="3" xfId="0" applyBorder="1" applyAlignment="1">
      <alignment horizontal="center" vertical="center"/>
    </xf>
    <xf numFmtId="0" fontId="14" fillId="0" borderId="1" xfId="0" applyFont="1" applyBorder="1" applyAlignment="1">
      <alignment horizontal="center" vertical="center"/>
    </xf>
  </cellXfs>
  <cellStyles count="157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Normal" xfId="0" builtinId="0"/>
    <cellStyle name="Normal 2" xfId="61" xr:uid="{00000000-0005-0000-0000-000003050000}"/>
    <cellStyle name="Normal 2 2" xfId="2" xr:uid="{00000000-0005-0000-0000-000004050000}"/>
    <cellStyle name="Normal 2 3" xfId="1112" xr:uid="{00000000-0005-0000-0000-000005050000}"/>
    <cellStyle name="Normal 3" xfId="3" xr:uid="{00000000-0005-0000-0000-000006050000}"/>
    <cellStyle name="Normal 3 2" xfId="228" xr:uid="{00000000-0005-0000-0000-000007050000}"/>
    <cellStyle name="Normal 4" xfId="4" xr:uid="{00000000-0005-0000-0000-000008050000}"/>
    <cellStyle name="Normal 5" xfId="230" xr:uid="{00000000-0005-0000-0000-000009050000}"/>
    <cellStyle name="Normal 6" xfId="231" xr:uid="{00000000-0005-0000-0000-00000A050000}"/>
    <cellStyle name="Normal 7" xfId="227" xr:uid="{00000000-0005-0000-0000-00000B050000}"/>
    <cellStyle name="Normal 8" xfId="1083" xr:uid="{00000000-0005-0000-0000-00000C050000}"/>
    <cellStyle name="Percent" xfId="1" builtinId="5"/>
    <cellStyle name="Percent 2" xfId="62" xr:uid="{00000000-0005-0000-0000-00000E050000}"/>
    <cellStyle name="Percent 3" xfId="229" xr:uid="{00000000-0005-0000-0000-00000F050000}"/>
    <cellStyle name="style1428522882333" xfId="232" xr:uid="{00000000-0005-0000-0000-000010050000}"/>
    <cellStyle name="style1428522882372" xfId="233" xr:uid="{00000000-0005-0000-0000-000011050000}"/>
    <cellStyle name="style1428522882397" xfId="234" xr:uid="{00000000-0005-0000-0000-000012050000}"/>
    <cellStyle name="style1428522882419" xfId="235" xr:uid="{00000000-0005-0000-0000-000013050000}"/>
    <cellStyle name="style1428522882445" xfId="236" xr:uid="{00000000-0005-0000-0000-000014050000}"/>
    <cellStyle name="style1428522882472" xfId="237" xr:uid="{00000000-0005-0000-0000-000015050000}"/>
    <cellStyle name="style1428522882499" xfId="238" xr:uid="{00000000-0005-0000-0000-000016050000}"/>
    <cellStyle name="style1428522882526" xfId="239" xr:uid="{00000000-0005-0000-0000-000017050000}"/>
    <cellStyle name="style1428522882555" xfId="240" xr:uid="{00000000-0005-0000-0000-000018050000}"/>
    <cellStyle name="style1428522882583" xfId="241" xr:uid="{00000000-0005-0000-0000-000019050000}"/>
    <cellStyle name="style1428522882610" xfId="242" xr:uid="{00000000-0005-0000-0000-00001A050000}"/>
    <cellStyle name="style1428522882637" xfId="243" xr:uid="{00000000-0005-0000-0000-00001B050000}"/>
    <cellStyle name="style1428522882657" xfId="244" xr:uid="{00000000-0005-0000-0000-00001C050000}"/>
    <cellStyle name="style1428522882678" xfId="245" xr:uid="{00000000-0005-0000-0000-00001D050000}"/>
    <cellStyle name="style1428522882707" xfId="246" xr:uid="{00000000-0005-0000-0000-00001E050000}"/>
    <cellStyle name="style1428522882735" xfId="247" xr:uid="{00000000-0005-0000-0000-00001F050000}"/>
    <cellStyle name="style1428522882763" xfId="248" xr:uid="{00000000-0005-0000-0000-000020050000}"/>
    <cellStyle name="style1428522882790" xfId="249" xr:uid="{00000000-0005-0000-0000-000021050000}"/>
    <cellStyle name="style1428522882817" xfId="250" xr:uid="{00000000-0005-0000-0000-000022050000}"/>
    <cellStyle name="style1428522882844" xfId="251" xr:uid="{00000000-0005-0000-0000-000023050000}"/>
    <cellStyle name="style1428522882874" xfId="252" xr:uid="{00000000-0005-0000-0000-000024050000}"/>
    <cellStyle name="style1428522882927" xfId="253" xr:uid="{00000000-0005-0000-0000-000025050000}"/>
    <cellStyle name="style1428522882957" xfId="254" xr:uid="{00000000-0005-0000-0000-000026050000}"/>
    <cellStyle name="style1428522882986" xfId="255" xr:uid="{00000000-0005-0000-0000-000027050000}"/>
    <cellStyle name="style1428522883015" xfId="256" xr:uid="{00000000-0005-0000-0000-000028050000}"/>
    <cellStyle name="style1428522883044" xfId="257" xr:uid="{00000000-0005-0000-0000-000029050000}"/>
    <cellStyle name="style1428522883077" xfId="258" xr:uid="{00000000-0005-0000-0000-00002A050000}"/>
    <cellStyle name="style1428522883102" xfId="259" xr:uid="{00000000-0005-0000-0000-00002B050000}"/>
    <cellStyle name="style1428522883129" xfId="260" xr:uid="{00000000-0005-0000-0000-00002C050000}"/>
    <cellStyle name="style1428522883160" xfId="261" xr:uid="{00000000-0005-0000-0000-00002D050000}"/>
    <cellStyle name="style1428522883189" xfId="262" xr:uid="{00000000-0005-0000-0000-00002E050000}"/>
    <cellStyle name="style1428522883216" xfId="263" xr:uid="{00000000-0005-0000-0000-00002F050000}"/>
    <cellStyle name="style1428522883245" xfId="264" xr:uid="{00000000-0005-0000-0000-000030050000}"/>
    <cellStyle name="style1428522883273" xfId="265" xr:uid="{00000000-0005-0000-0000-000031050000}"/>
    <cellStyle name="style1428522883294" xfId="266" xr:uid="{00000000-0005-0000-0000-000032050000}"/>
    <cellStyle name="style1428522883316" xfId="267" xr:uid="{00000000-0005-0000-0000-000033050000}"/>
    <cellStyle name="style1428522883336" xfId="268" xr:uid="{00000000-0005-0000-0000-000034050000}"/>
    <cellStyle name="style1428522883362" xfId="269" xr:uid="{00000000-0005-0000-0000-000035050000}"/>
    <cellStyle name="style1428522883388" xfId="270" xr:uid="{00000000-0005-0000-0000-000036050000}"/>
    <cellStyle name="style1428522883414" xfId="271" xr:uid="{00000000-0005-0000-0000-000037050000}"/>
    <cellStyle name="style1428522883442" xfId="272" xr:uid="{00000000-0005-0000-0000-000038050000}"/>
    <cellStyle name="style1428522883470" xfId="273" xr:uid="{00000000-0005-0000-0000-000039050000}"/>
    <cellStyle name="style1428522883496" xfId="274" xr:uid="{00000000-0005-0000-0000-00003A050000}"/>
    <cellStyle name="style1428522883516" xfId="275" xr:uid="{00000000-0005-0000-0000-00003B050000}"/>
    <cellStyle name="style1428522883538" xfId="276" xr:uid="{00000000-0005-0000-0000-00003C050000}"/>
    <cellStyle name="style1428522883562" xfId="277" xr:uid="{00000000-0005-0000-0000-00003D050000}"/>
    <cellStyle name="style1428522883592" xfId="278" xr:uid="{00000000-0005-0000-0000-00003E050000}"/>
    <cellStyle name="style1428522883616" xfId="279" xr:uid="{00000000-0005-0000-0000-00003F050000}"/>
    <cellStyle name="style1428522883639" xfId="280" xr:uid="{00000000-0005-0000-0000-000040050000}"/>
    <cellStyle name="style1428522883661" xfId="281" xr:uid="{00000000-0005-0000-0000-000041050000}"/>
    <cellStyle name="style1428522883681" xfId="282" xr:uid="{00000000-0005-0000-0000-000042050000}"/>
    <cellStyle name="style1428522883700" xfId="283" xr:uid="{00000000-0005-0000-0000-000043050000}"/>
    <cellStyle name="style1428522883721" xfId="284" xr:uid="{00000000-0005-0000-0000-000044050000}"/>
    <cellStyle name="style1428522883742" xfId="285" xr:uid="{00000000-0005-0000-0000-000045050000}"/>
    <cellStyle name="style1428522883764" xfId="286" xr:uid="{00000000-0005-0000-0000-000046050000}"/>
    <cellStyle name="style1428522883785" xfId="287" xr:uid="{00000000-0005-0000-0000-000047050000}"/>
    <cellStyle name="style1428522883805" xfId="288" xr:uid="{00000000-0005-0000-0000-000048050000}"/>
    <cellStyle name="style1428522883827" xfId="289" xr:uid="{00000000-0005-0000-0000-000049050000}"/>
    <cellStyle name="style1428522883846" xfId="290" xr:uid="{00000000-0005-0000-0000-00004A050000}"/>
    <cellStyle name="style1428522883866" xfId="291" xr:uid="{00000000-0005-0000-0000-00004B050000}"/>
    <cellStyle name="style1428522883889" xfId="292" xr:uid="{00000000-0005-0000-0000-00004C050000}"/>
    <cellStyle name="style1428522883916" xfId="293" xr:uid="{00000000-0005-0000-0000-00004D050000}"/>
    <cellStyle name="style1428522883945" xfId="294" xr:uid="{00000000-0005-0000-0000-00004E050000}"/>
    <cellStyle name="style1428522883967" xfId="295" xr:uid="{00000000-0005-0000-0000-00004F050000}"/>
    <cellStyle name="style1428522883990" xfId="296" xr:uid="{00000000-0005-0000-0000-000050050000}"/>
    <cellStyle name="style1428522884011" xfId="297" xr:uid="{00000000-0005-0000-0000-000051050000}"/>
    <cellStyle name="style1428522884031" xfId="298" xr:uid="{00000000-0005-0000-0000-000052050000}"/>
    <cellStyle name="style1428522884053" xfId="299" xr:uid="{00000000-0005-0000-0000-000053050000}"/>
    <cellStyle name="style1428522884078" xfId="300" xr:uid="{00000000-0005-0000-0000-000054050000}"/>
    <cellStyle name="style1428522884102" xfId="301" xr:uid="{00000000-0005-0000-0000-000055050000}"/>
    <cellStyle name="style1428522884123" xfId="302" xr:uid="{00000000-0005-0000-0000-000056050000}"/>
    <cellStyle name="style1428522884150" xfId="303" xr:uid="{00000000-0005-0000-0000-000057050000}"/>
    <cellStyle name="style1428522884173" xfId="304" xr:uid="{00000000-0005-0000-0000-000058050000}"/>
    <cellStyle name="style1428522884194" xfId="305" xr:uid="{00000000-0005-0000-0000-000059050000}"/>
    <cellStyle name="style1428522884214" xfId="306" xr:uid="{00000000-0005-0000-0000-00005A050000}"/>
    <cellStyle name="style1428522884250" xfId="307" xr:uid="{00000000-0005-0000-0000-00005B050000}"/>
    <cellStyle name="style1428522884274" xfId="308" xr:uid="{00000000-0005-0000-0000-00005C050000}"/>
    <cellStyle name="style1428522884299" xfId="309" xr:uid="{00000000-0005-0000-0000-00005D050000}"/>
    <cellStyle name="style1428522884363" xfId="310" xr:uid="{00000000-0005-0000-0000-00005E050000}"/>
    <cellStyle name="style1428522884392" xfId="311" xr:uid="{00000000-0005-0000-0000-00005F050000}"/>
    <cellStyle name="style1428522884413" xfId="312" xr:uid="{00000000-0005-0000-0000-000060050000}"/>
    <cellStyle name="style1428522884438" xfId="313" xr:uid="{00000000-0005-0000-0000-000061050000}"/>
    <cellStyle name="style1428522884459" xfId="314" xr:uid="{00000000-0005-0000-0000-000062050000}"/>
    <cellStyle name="style1428522884502" xfId="315" xr:uid="{00000000-0005-0000-0000-000063050000}"/>
    <cellStyle name="style1428522884524" xfId="316" xr:uid="{00000000-0005-0000-0000-000064050000}"/>
    <cellStyle name="style1428522884560" xfId="317" xr:uid="{00000000-0005-0000-0000-000065050000}"/>
    <cellStyle name="style1428522884581" xfId="318" xr:uid="{00000000-0005-0000-0000-000066050000}"/>
    <cellStyle name="style1428522884635" xfId="319" xr:uid="{00000000-0005-0000-0000-000067050000}"/>
    <cellStyle name="style1428522884657" xfId="320" xr:uid="{00000000-0005-0000-0000-000068050000}"/>
    <cellStyle name="style1428522884680" xfId="321" xr:uid="{00000000-0005-0000-0000-000069050000}"/>
    <cellStyle name="style1428522884880" xfId="322" xr:uid="{00000000-0005-0000-0000-00006A050000}"/>
    <cellStyle name="style1428522884983" xfId="323" xr:uid="{00000000-0005-0000-0000-00006B050000}"/>
    <cellStyle name="style1428522885005" xfId="324" xr:uid="{00000000-0005-0000-0000-00006C050000}"/>
    <cellStyle name="style1428522885028" xfId="325" xr:uid="{00000000-0005-0000-0000-00006D050000}"/>
    <cellStyle name="style1428525920874" xfId="326" xr:uid="{00000000-0005-0000-0000-00006E050000}"/>
    <cellStyle name="style1428525920970" xfId="327" xr:uid="{00000000-0005-0000-0000-00006F050000}"/>
    <cellStyle name="style1428525921031" xfId="328" xr:uid="{00000000-0005-0000-0000-000070050000}"/>
    <cellStyle name="style1428525921065" xfId="329" xr:uid="{00000000-0005-0000-0000-000071050000}"/>
    <cellStyle name="style1428525921108" xfId="330" xr:uid="{00000000-0005-0000-0000-000072050000}"/>
    <cellStyle name="style1428525921151" xfId="331" xr:uid="{00000000-0005-0000-0000-000073050000}"/>
    <cellStyle name="style1428525921203" xfId="332" xr:uid="{00000000-0005-0000-0000-000074050000}"/>
    <cellStyle name="style1428525921259" xfId="333" xr:uid="{00000000-0005-0000-0000-000075050000}"/>
    <cellStyle name="style1428525921302" xfId="334" xr:uid="{00000000-0005-0000-0000-000076050000}"/>
    <cellStyle name="style1428525921343" xfId="335" xr:uid="{00000000-0005-0000-0000-000077050000}"/>
    <cellStyle name="style1428525921387" xfId="336" xr:uid="{00000000-0005-0000-0000-000078050000}"/>
    <cellStyle name="style1428525921428" xfId="337" xr:uid="{00000000-0005-0000-0000-000079050000}"/>
    <cellStyle name="style1428525921461" xfId="338" xr:uid="{00000000-0005-0000-0000-00007A050000}"/>
    <cellStyle name="style1428525921489" xfId="339" xr:uid="{00000000-0005-0000-0000-00007B050000}"/>
    <cellStyle name="style1428525921542" xfId="340" xr:uid="{00000000-0005-0000-0000-00007C050000}"/>
    <cellStyle name="style1428525921588" xfId="341" xr:uid="{00000000-0005-0000-0000-00007D050000}"/>
    <cellStyle name="style1428525921627" xfId="342" xr:uid="{00000000-0005-0000-0000-00007E050000}"/>
    <cellStyle name="style1428525921665" xfId="343" xr:uid="{00000000-0005-0000-0000-00007F050000}"/>
    <cellStyle name="style1428525921713" xfId="344" xr:uid="{00000000-0005-0000-0000-000080050000}"/>
    <cellStyle name="style1428525921754" xfId="345" xr:uid="{00000000-0005-0000-0000-000081050000}"/>
    <cellStyle name="style1428525921793" xfId="346" xr:uid="{00000000-0005-0000-0000-000082050000}"/>
    <cellStyle name="style1428525921835" xfId="347" xr:uid="{00000000-0005-0000-0000-000083050000}"/>
    <cellStyle name="style1428525921878" xfId="348" xr:uid="{00000000-0005-0000-0000-000084050000}"/>
    <cellStyle name="style1428525921917" xfId="349" xr:uid="{00000000-0005-0000-0000-000085050000}"/>
    <cellStyle name="style1428525921945" xfId="350" xr:uid="{00000000-0005-0000-0000-000086050000}"/>
    <cellStyle name="style1428525921982" xfId="351" xr:uid="{00000000-0005-0000-0000-000087050000}"/>
    <cellStyle name="style1428525922021" xfId="352" xr:uid="{00000000-0005-0000-0000-000088050000}"/>
    <cellStyle name="style1428525922056" xfId="353" xr:uid="{00000000-0005-0000-0000-000089050000}"/>
    <cellStyle name="style1428525922101" xfId="354" xr:uid="{00000000-0005-0000-0000-00008A050000}"/>
    <cellStyle name="style1428525922153" xfId="355" xr:uid="{00000000-0005-0000-0000-00008B050000}"/>
    <cellStyle name="style1428525922202" xfId="356" xr:uid="{00000000-0005-0000-0000-00008C050000}"/>
    <cellStyle name="style1428525922247" xfId="357" xr:uid="{00000000-0005-0000-0000-00008D050000}"/>
    <cellStyle name="style1428525922293" xfId="358" xr:uid="{00000000-0005-0000-0000-00008E050000}"/>
    <cellStyle name="style1428525922350" xfId="359" xr:uid="{00000000-0005-0000-0000-00008F050000}"/>
    <cellStyle name="style1428525922398" xfId="360" xr:uid="{00000000-0005-0000-0000-000090050000}"/>
    <cellStyle name="style1428525922435" xfId="361" xr:uid="{00000000-0005-0000-0000-000091050000}"/>
    <cellStyle name="style1428525922475" xfId="362" xr:uid="{00000000-0005-0000-0000-000092050000}"/>
    <cellStyle name="style1428525922526" xfId="363" xr:uid="{00000000-0005-0000-0000-000093050000}"/>
    <cellStyle name="style1428525922586" xfId="364" xr:uid="{00000000-0005-0000-0000-000094050000}"/>
    <cellStyle name="style1428525922621" xfId="365" xr:uid="{00000000-0005-0000-0000-000095050000}"/>
    <cellStyle name="style1428525922665" xfId="366" xr:uid="{00000000-0005-0000-0000-000096050000}"/>
    <cellStyle name="style1428525922709" xfId="367" xr:uid="{00000000-0005-0000-0000-000097050000}"/>
    <cellStyle name="style1428525922756" xfId="368" xr:uid="{00000000-0005-0000-0000-000098050000}"/>
    <cellStyle name="style1428525922791" xfId="369" xr:uid="{00000000-0005-0000-0000-000099050000}"/>
    <cellStyle name="style1428525922830" xfId="370" xr:uid="{00000000-0005-0000-0000-00009A050000}"/>
    <cellStyle name="style1428525922861" xfId="371" xr:uid="{00000000-0005-0000-0000-00009B050000}"/>
    <cellStyle name="style1428525922893" xfId="372" xr:uid="{00000000-0005-0000-0000-00009C050000}"/>
    <cellStyle name="style1428525922929" xfId="373" xr:uid="{00000000-0005-0000-0000-00009D050000}"/>
    <cellStyle name="style1428525922966" xfId="374" xr:uid="{00000000-0005-0000-0000-00009E050000}"/>
    <cellStyle name="style1428525922998" xfId="375" xr:uid="{00000000-0005-0000-0000-00009F050000}"/>
    <cellStyle name="style1428525923031" xfId="376" xr:uid="{00000000-0005-0000-0000-0000A0050000}"/>
    <cellStyle name="style1428525923061" xfId="377" xr:uid="{00000000-0005-0000-0000-0000A1050000}"/>
    <cellStyle name="style1428525923095" xfId="378" xr:uid="{00000000-0005-0000-0000-0000A2050000}"/>
    <cellStyle name="style1428525923127" xfId="379" xr:uid="{00000000-0005-0000-0000-0000A3050000}"/>
    <cellStyle name="style1428525923170" xfId="380" xr:uid="{00000000-0005-0000-0000-0000A4050000}"/>
    <cellStyle name="style1428525923198" xfId="381" xr:uid="{00000000-0005-0000-0000-0000A5050000}"/>
    <cellStyle name="style1428525923223" xfId="382" xr:uid="{00000000-0005-0000-0000-0000A6050000}"/>
    <cellStyle name="style1428525923248" xfId="383" xr:uid="{00000000-0005-0000-0000-0000A7050000}"/>
    <cellStyle name="style1428525923273" xfId="384" xr:uid="{00000000-0005-0000-0000-0000A8050000}"/>
    <cellStyle name="style1428525923328" xfId="385" xr:uid="{00000000-0005-0000-0000-0000A9050000}"/>
    <cellStyle name="style1428525923371" xfId="386" xr:uid="{00000000-0005-0000-0000-0000AA050000}"/>
    <cellStyle name="style1428525923414" xfId="387" xr:uid="{00000000-0005-0000-0000-0000AB050000}"/>
    <cellStyle name="style1428525923439" xfId="388" xr:uid="{00000000-0005-0000-0000-0000AC050000}"/>
    <cellStyle name="style1428525923481" xfId="389" xr:uid="{00000000-0005-0000-0000-0000AD050000}"/>
    <cellStyle name="style1428525923511" xfId="390" xr:uid="{00000000-0005-0000-0000-0000AE050000}"/>
    <cellStyle name="style1428525923535" xfId="391" xr:uid="{00000000-0005-0000-0000-0000AF050000}"/>
    <cellStyle name="style1428525923559" xfId="392" xr:uid="{00000000-0005-0000-0000-0000B0050000}"/>
    <cellStyle name="style1428525923589" xfId="393" xr:uid="{00000000-0005-0000-0000-0000B1050000}"/>
    <cellStyle name="style1428525923653" xfId="394" xr:uid="{00000000-0005-0000-0000-0000B2050000}"/>
    <cellStyle name="style1428525923680" xfId="395" xr:uid="{00000000-0005-0000-0000-0000B3050000}"/>
    <cellStyle name="style1428525923753" xfId="396" xr:uid="{00000000-0005-0000-0000-0000B4050000}"/>
    <cellStyle name="style1428525923785" xfId="397" xr:uid="{00000000-0005-0000-0000-0000B5050000}"/>
    <cellStyle name="style1428525923811" xfId="398" xr:uid="{00000000-0005-0000-0000-0000B6050000}"/>
    <cellStyle name="style1428525923834" xfId="399" xr:uid="{00000000-0005-0000-0000-0000B7050000}"/>
    <cellStyle name="style1428525923991" xfId="400" xr:uid="{00000000-0005-0000-0000-0000B8050000}"/>
    <cellStyle name="style1428525924019" xfId="401" xr:uid="{00000000-0005-0000-0000-0000B9050000}"/>
    <cellStyle name="style1428525924045" xfId="402" xr:uid="{00000000-0005-0000-0000-0000BA050000}"/>
    <cellStyle name="style1428525924358" xfId="403" xr:uid="{00000000-0005-0000-0000-0000BB050000}"/>
    <cellStyle name="style1428525924381" xfId="404" xr:uid="{00000000-0005-0000-0000-0000BC050000}"/>
    <cellStyle name="style1428525924531" xfId="405" xr:uid="{00000000-0005-0000-0000-0000BD050000}"/>
    <cellStyle name="style1428525924564" xfId="406" xr:uid="{00000000-0005-0000-0000-0000BE050000}"/>
    <cellStyle name="style1428525924608" xfId="407" xr:uid="{00000000-0005-0000-0000-0000BF050000}"/>
    <cellStyle name="style1428525924634" xfId="408" xr:uid="{00000000-0005-0000-0000-0000C0050000}"/>
    <cellStyle name="style1428525924783" xfId="409" xr:uid="{00000000-0005-0000-0000-0000C1050000}"/>
    <cellStyle name="style1428525924833" xfId="410" xr:uid="{00000000-0005-0000-0000-0000C2050000}"/>
    <cellStyle name="style1428525924903" xfId="411" xr:uid="{00000000-0005-0000-0000-0000C3050000}"/>
    <cellStyle name="style1428525924928" xfId="412" xr:uid="{00000000-0005-0000-0000-0000C4050000}"/>
    <cellStyle name="style1428525924953" xfId="413" xr:uid="{00000000-0005-0000-0000-0000C5050000}"/>
    <cellStyle name="style1428525925900" xfId="414" xr:uid="{00000000-0005-0000-0000-0000C6050000}"/>
    <cellStyle name="style1428525926031" xfId="415" xr:uid="{00000000-0005-0000-0000-0000C7050000}"/>
    <cellStyle name="style1428525926054" xfId="416" xr:uid="{00000000-0005-0000-0000-0000C8050000}"/>
    <cellStyle name="style1428525926083" xfId="417" xr:uid="{00000000-0005-0000-0000-0000C9050000}"/>
    <cellStyle name="style1428526189871" xfId="418" xr:uid="{00000000-0005-0000-0000-0000CA050000}"/>
    <cellStyle name="style1428526189912" xfId="419" xr:uid="{00000000-0005-0000-0000-0000CB050000}"/>
    <cellStyle name="style1428526189937" xfId="420" xr:uid="{00000000-0005-0000-0000-0000CC050000}"/>
    <cellStyle name="style1428526189964" xfId="421" xr:uid="{00000000-0005-0000-0000-0000CD050000}"/>
    <cellStyle name="style1428526189999" xfId="422" xr:uid="{00000000-0005-0000-0000-0000CE050000}"/>
    <cellStyle name="style1428526190031" xfId="423" xr:uid="{00000000-0005-0000-0000-0000CF050000}"/>
    <cellStyle name="style1428526190061" xfId="424" xr:uid="{00000000-0005-0000-0000-0000D0050000}"/>
    <cellStyle name="style1428526190096" xfId="425" xr:uid="{00000000-0005-0000-0000-0000D1050000}"/>
    <cellStyle name="style1428526190135" xfId="426" xr:uid="{00000000-0005-0000-0000-0000D2050000}"/>
    <cellStyle name="style1428526190169" xfId="427" xr:uid="{00000000-0005-0000-0000-0000D3050000}"/>
    <cellStyle name="style1428526190203" xfId="428" xr:uid="{00000000-0005-0000-0000-0000D4050000}"/>
    <cellStyle name="style1428526190240" xfId="429" xr:uid="{00000000-0005-0000-0000-0000D5050000}"/>
    <cellStyle name="style1428526190270" xfId="430" xr:uid="{00000000-0005-0000-0000-0000D6050000}"/>
    <cellStyle name="style1428526190298" xfId="431" xr:uid="{00000000-0005-0000-0000-0000D7050000}"/>
    <cellStyle name="style1428526190342" xfId="432" xr:uid="{00000000-0005-0000-0000-0000D8050000}"/>
    <cellStyle name="style1428526190380" xfId="433" xr:uid="{00000000-0005-0000-0000-0000D9050000}"/>
    <cellStyle name="style1428526190437" xfId="434" xr:uid="{00000000-0005-0000-0000-0000DA050000}"/>
    <cellStyle name="style1428526190480" xfId="435" xr:uid="{00000000-0005-0000-0000-0000DB050000}"/>
    <cellStyle name="style1428526190525" xfId="436" xr:uid="{00000000-0005-0000-0000-0000DC050000}"/>
    <cellStyle name="style1428526190557" xfId="437" xr:uid="{00000000-0005-0000-0000-0000DD050000}"/>
    <cellStyle name="style1428526190588" xfId="438" xr:uid="{00000000-0005-0000-0000-0000DE050000}"/>
    <cellStyle name="style1428526190619" xfId="439" xr:uid="{00000000-0005-0000-0000-0000DF050000}"/>
    <cellStyle name="style1428526190646" xfId="440" xr:uid="{00000000-0005-0000-0000-0000E0050000}"/>
    <cellStyle name="style1428526190676" xfId="441" xr:uid="{00000000-0005-0000-0000-0000E1050000}"/>
    <cellStyle name="style1428526190707" xfId="442" xr:uid="{00000000-0005-0000-0000-0000E2050000}"/>
    <cellStyle name="style1428526190749" xfId="443" xr:uid="{00000000-0005-0000-0000-0000E3050000}"/>
    <cellStyle name="style1428526190788" xfId="444" xr:uid="{00000000-0005-0000-0000-0000E4050000}"/>
    <cellStyle name="style1428526190828" xfId="445" xr:uid="{00000000-0005-0000-0000-0000E5050000}"/>
    <cellStyle name="style1428526190862" xfId="446" xr:uid="{00000000-0005-0000-0000-0000E6050000}"/>
    <cellStyle name="style1428526190892" xfId="447" xr:uid="{00000000-0005-0000-0000-0000E7050000}"/>
    <cellStyle name="style1428526190934" xfId="448" xr:uid="{00000000-0005-0000-0000-0000E8050000}"/>
    <cellStyle name="style1428526190963" xfId="449" xr:uid="{00000000-0005-0000-0000-0000E9050000}"/>
    <cellStyle name="style1428526190991" xfId="450" xr:uid="{00000000-0005-0000-0000-0000EA050000}"/>
    <cellStyle name="style1428526191022" xfId="451" xr:uid="{00000000-0005-0000-0000-0000EB050000}"/>
    <cellStyle name="style1428526191048" xfId="452" xr:uid="{00000000-0005-0000-0000-0000EC050000}"/>
    <cellStyle name="style1428526191071" xfId="453" xr:uid="{00000000-0005-0000-0000-0000ED050000}"/>
    <cellStyle name="style1428526191093" xfId="454" xr:uid="{00000000-0005-0000-0000-0000EE050000}"/>
    <cellStyle name="style1428526191122" xfId="455" xr:uid="{00000000-0005-0000-0000-0000EF050000}"/>
    <cellStyle name="style1428526191151" xfId="456" xr:uid="{00000000-0005-0000-0000-0000F0050000}"/>
    <cellStyle name="style1428526191181" xfId="457" xr:uid="{00000000-0005-0000-0000-0000F1050000}"/>
    <cellStyle name="style1428526191211" xfId="458" xr:uid="{00000000-0005-0000-0000-0000F2050000}"/>
    <cellStyle name="style1428526191241" xfId="459" xr:uid="{00000000-0005-0000-0000-0000F3050000}"/>
    <cellStyle name="style1428526191273" xfId="460" xr:uid="{00000000-0005-0000-0000-0000F4050000}"/>
    <cellStyle name="style1428526191296" xfId="461" xr:uid="{00000000-0005-0000-0000-0000F5050000}"/>
    <cellStyle name="style1428526191318" xfId="462" xr:uid="{00000000-0005-0000-0000-0000F6050000}"/>
    <cellStyle name="style1428526191341" xfId="463" xr:uid="{00000000-0005-0000-0000-0000F7050000}"/>
    <cellStyle name="style1428526191363" xfId="464" xr:uid="{00000000-0005-0000-0000-0000F8050000}"/>
    <cellStyle name="style1428526191385" xfId="465" xr:uid="{00000000-0005-0000-0000-0000F9050000}"/>
    <cellStyle name="style1428526191409" xfId="466" xr:uid="{00000000-0005-0000-0000-0000FA050000}"/>
    <cellStyle name="style1428526191433" xfId="467" xr:uid="{00000000-0005-0000-0000-0000FB050000}"/>
    <cellStyle name="style1428526191459" xfId="468" xr:uid="{00000000-0005-0000-0000-0000FC050000}"/>
    <cellStyle name="style1428526191482" xfId="469" xr:uid="{00000000-0005-0000-0000-0000FD050000}"/>
    <cellStyle name="style1428526191506" xfId="470" xr:uid="{00000000-0005-0000-0000-0000FE050000}"/>
    <cellStyle name="style1428526191529" xfId="471" xr:uid="{00000000-0005-0000-0000-0000FF050000}"/>
    <cellStyle name="style1428526191560" xfId="472" xr:uid="{00000000-0005-0000-0000-000000060000}"/>
    <cellStyle name="style1428526191586" xfId="473" xr:uid="{00000000-0005-0000-0000-000001060000}"/>
    <cellStyle name="style1428526191609" xfId="474" xr:uid="{00000000-0005-0000-0000-000002060000}"/>
    <cellStyle name="style1428526191636" xfId="475" xr:uid="{00000000-0005-0000-0000-000003060000}"/>
    <cellStyle name="style1428526191661" xfId="476" xr:uid="{00000000-0005-0000-0000-000004060000}"/>
    <cellStyle name="style1428526191684" xfId="477" xr:uid="{00000000-0005-0000-0000-000005060000}"/>
    <cellStyle name="style1428526191713" xfId="478" xr:uid="{00000000-0005-0000-0000-000006060000}"/>
    <cellStyle name="style1428526191743" xfId="479" xr:uid="{00000000-0005-0000-0000-000007060000}"/>
    <cellStyle name="style1428526191774" xfId="480" xr:uid="{00000000-0005-0000-0000-000008060000}"/>
    <cellStyle name="style1428526191797" xfId="481" xr:uid="{00000000-0005-0000-0000-000009060000}"/>
    <cellStyle name="style1428526191831" xfId="482" xr:uid="{00000000-0005-0000-0000-00000A060000}"/>
    <cellStyle name="style1428526191855" xfId="483" xr:uid="{00000000-0005-0000-0000-00000B060000}"/>
    <cellStyle name="style1428526191877" xfId="484" xr:uid="{00000000-0005-0000-0000-00000C060000}"/>
    <cellStyle name="style1428526191900" xfId="485" xr:uid="{00000000-0005-0000-0000-00000D060000}"/>
    <cellStyle name="style1428526191922" xfId="486" xr:uid="{00000000-0005-0000-0000-00000E060000}"/>
    <cellStyle name="style1428526191952" xfId="487" xr:uid="{00000000-0005-0000-0000-00000F060000}"/>
    <cellStyle name="style1428526191988" xfId="488" xr:uid="{00000000-0005-0000-0000-000010060000}"/>
    <cellStyle name="style1428526192029" xfId="489" xr:uid="{00000000-0005-0000-0000-000011060000}"/>
    <cellStyle name="style1428526192050" xfId="490" xr:uid="{00000000-0005-0000-0000-000012060000}"/>
    <cellStyle name="style1428526192071" xfId="491" xr:uid="{00000000-0005-0000-0000-000013060000}"/>
    <cellStyle name="style1428526192093" xfId="492" xr:uid="{00000000-0005-0000-0000-000014060000}"/>
    <cellStyle name="style1428526192155" xfId="493" xr:uid="{00000000-0005-0000-0000-000015060000}"/>
    <cellStyle name="style1428526192182" xfId="494" xr:uid="{00000000-0005-0000-0000-000016060000}"/>
    <cellStyle name="style1428526192341" xfId="495" xr:uid="{00000000-0005-0000-0000-000017060000}"/>
    <cellStyle name="style1428526192398" xfId="496" xr:uid="{00000000-0005-0000-0000-000018060000}"/>
    <cellStyle name="style1428526192552" xfId="497" xr:uid="{00000000-0005-0000-0000-000019060000}"/>
    <cellStyle name="style1428526192573" xfId="498" xr:uid="{00000000-0005-0000-0000-00001A060000}"/>
    <cellStyle name="style1428526192627" xfId="499" xr:uid="{00000000-0005-0000-0000-00001B060000}"/>
    <cellStyle name="style1428526192650" xfId="500" xr:uid="{00000000-0005-0000-0000-00001C060000}"/>
    <cellStyle name="style1428526192675" xfId="501" xr:uid="{00000000-0005-0000-0000-00001D060000}"/>
    <cellStyle name="style1428526192822" xfId="502" xr:uid="{00000000-0005-0000-0000-00001E060000}"/>
    <cellStyle name="style1428526193554" xfId="503" xr:uid="{00000000-0005-0000-0000-00001F060000}"/>
    <cellStyle name="style1428526193688" xfId="504" xr:uid="{00000000-0005-0000-0000-000020060000}"/>
    <cellStyle name="style1428526193709" xfId="505" xr:uid="{00000000-0005-0000-0000-000021060000}"/>
    <cellStyle name="style1428526193732" xfId="506" xr:uid="{00000000-0005-0000-0000-000022060000}"/>
  </cellStyles>
  <dxfs count="6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ont>
        <color rgb="FF006100"/>
      </font>
      <fill>
        <patternFill>
          <bgColor rgb="FFC6EFCE"/>
        </patternFill>
      </fill>
    </dxf>
    <dxf>
      <font>
        <color rgb="FFFF0000"/>
      </font>
      <fill>
        <patternFill patternType="solid">
          <fgColor indexed="64"/>
          <bgColor theme="0" tint="-0.14999847407452621"/>
        </patternFill>
      </fill>
    </dxf>
    <dxf>
      <fill>
        <patternFill>
          <bgColor theme="0" tint="-0.499984740745262"/>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ill>
        <patternFill>
          <bgColor theme="4" tint="0.79998168889431442"/>
        </patternFill>
      </fill>
    </dxf>
    <dxf>
      <font>
        <color rgb="FF9C0006"/>
      </font>
      <fill>
        <patternFill>
          <bgColor rgb="FFFFC7CE"/>
        </patternFill>
      </fill>
    </dxf>
    <dxf>
      <font>
        <color rgb="FF006100"/>
      </font>
      <fill>
        <patternFill>
          <bgColor rgb="FFC6EFCE"/>
        </patternFill>
      </fill>
    </dxf>
    <dxf>
      <font>
        <color rgb="FFFF0000"/>
      </font>
      <fill>
        <patternFill patternType="solid">
          <fgColor indexed="64"/>
          <bgColor theme="0" tint="-0.14999847407452621"/>
        </patternFill>
      </fill>
    </dxf>
    <dxf>
      <fill>
        <patternFill>
          <bgColor theme="0" tint="-0.499984740745262"/>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008F00"/>
      </font>
    </dxf>
    <dxf>
      <font>
        <color rgb="FF008F00"/>
      </font>
    </dxf>
    <dxf>
      <font>
        <b/>
        <i val="0"/>
        <color theme="0"/>
      </font>
      <fill>
        <patternFill>
          <bgColor rgb="FFC00000"/>
        </patternFill>
      </fill>
    </dxf>
    <dxf>
      <font>
        <b/>
        <i val="0"/>
        <color theme="0"/>
      </font>
      <fill>
        <patternFill>
          <bgColor rgb="FFC00000"/>
        </patternFill>
      </fill>
    </dxf>
    <dxf>
      <fill>
        <patternFill>
          <bgColor theme="0" tint="-0.14996795556505021"/>
        </patternFill>
      </fill>
    </dxf>
    <dxf>
      <font>
        <b/>
        <i val="0"/>
        <color rgb="FF0000FF"/>
      </font>
      <fill>
        <patternFill patternType="solid">
          <fgColor indexed="64"/>
          <bgColor rgb="FFFFFDA9"/>
        </patternFill>
      </fill>
    </dxf>
    <dxf>
      <font>
        <color theme="0"/>
      </font>
    </dxf>
    <dxf>
      <font>
        <color theme="0"/>
      </font>
    </dxf>
    <dxf>
      <font>
        <b/>
        <i val="0"/>
        <color theme="0"/>
      </font>
      <fill>
        <patternFill>
          <bgColor rgb="FFC00000"/>
        </patternFill>
      </fill>
    </dxf>
    <dxf>
      <fill>
        <patternFill>
          <bgColor theme="0" tint="-0.14996795556505021"/>
        </patternFill>
      </fill>
    </dxf>
    <dxf>
      <font>
        <color rgb="FFC00000"/>
      </font>
    </dxf>
    <dxf>
      <font>
        <color theme="0" tint="-0.14996795556505021"/>
      </font>
      <fill>
        <patternFill>
          <bgColor theme="0" tint="-0.14996795556505021"/>
        </patternFill>
      </fill>
    </dxf>
    <dxf>
      <font>
        <b val="0"/>
        <i val="0"/>
        <color theme="1"/>
      </font>
      <fill>
        <patternFill patternType="none">
          <bgColor auto="1"/>
        </patternFill>
      </fill>
    </dxf>
    <dxf>
      <font>
        <b val="0"/>
        <i val="0"/>
        <color theme="1"/>
      </font>
      <fill>
        <patternFill patternType="none">
          <bgColor auto="1"/>
        </patternFill>
      </fill>
    </dxf>
    <dxf>
      <font>
        <b val="0"/>
        <i val="0"/>
        <color theme="1"/>
      </font>
      <fill>
        <patternFill patternType="none">
          <bgColor auto="1"/>
        </patternFill>
      </fill>
    </dxf>
    <dxf>
      <font>
        <color theme="0"/>
      </font>
    </dxf>
    <dxf>
      <font>
        <color theme="0"/>
      </font>
    </dxf>
    <dxf>
      <fill>
        <patternFill>
          <bgColor theme="0" tint="-0.14996795556505021"/>
        </patternFill>
      </fill>
    </dxf>
    <dxf>
      <font>
        <color rgb="FFC00000"/>
      </font>
      <fill>
        <patternFill patternType="none">
          <bgColor auto="1"/>
        </patternFill>
      </fill>
    </dxf>
    <dxf>
      <font>
        <color theme="0" tint="-0.14996795556505021"/>
      </font>
      <fill>
        <patternFill>
          <bgColor theme="0" tint="-0.14996795556505021"/>
        </patternFill>
      </fill>
    </dxf>
    <dxf>
      <font>
        <color theme="0"/>
      </font>
      <fill>
        <patternFill>
          <bgColor rgb="FFC00000"/>
        </patternFill>
      </fill>
    </dxf>
    <dxf>
      <font>
        <color theme="0"/>
      </font>
      <fill>
        <patternFill>
          <bgColor rgb="FFC00000"/>
        </patternFill>
      </fill>
    </dxf>
  </dxfs>
  <tableStyles count="0" defaultTableStyle="TableStyleMedium9" defaultPivotStyle="PivotStyleMedium4"/>
  <colors>
    <mruColors>
      <color rgb="FFFFCCF4"/>
      <color rgb="FF9437FF"/>
      <color rgb="FFFFFFE1"/>
      <color rgb="FF007FFF"/>
      <color rgb="FF008F00"/>
      <color rgb="FFFFFDC0"/>
      <color rgb="FF0432FF"/>
      <color rgb="FFCCFFCC"/>
      <color rgb="FFE0FEB6"/>
      <color rgb="FF2E67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View from</a:t>
            </a:r>
            <a:r>
              <a:rPr lang="en-US" sz="1400" baseline="0">
                <a:latin typeface="Arial" panose="020B0604020202020204" pitchFamily="34" charset="0"/>
                <a:cs typeface="Arial" panose="020B0604020202020204" pitchFamily="34" charset="0"/>
              </a:rPr>
              <a:t> </a:t>
            </a:r>
          </a:p>
          <a:p>
            <a:pPr>
              <a:defRPr sz="1400">
                <a:latin typeface="Arial" panose="020B0604020202020204" pitchFamily="34" charset="0"/>
                <a:cs typeface="Arial" panose="020B0604020202020204" pitchFamily="34" charset="0"/>
              </a:defRPr>
            </a:pPr>
            <a:r>
              <a:rPr lang="en-US" sz="1400" baseline="0">
                <a:latin typeface="Arial" panose="020B0604020202020204" pitchFamily="34" charset="0"/>
                <a:cs typeface="Arial" panose="020B0604020202020204" pitchFamily="34" charset="0"/>
              </a:rPr>
              <a:t>the Right (+x)</a:t>
            </a:r>
            <a:endParaRPr lang="en-US" sz="1400">
              <a:latin typeface="Arial" panose="020B0604020202020204" pitchFamily="34" charset="0"/>
              <a:cs typeface="Arial" panose="020B0604020202020204" pitchFamily="34" charset="0"/>
            </a:endParaRPr>
          </a:p>
        </c:rich>
      </c:tx>
      <c:layout>
        <c:manualLayout>
          <c:xMode val="edge"/>
          <c:yMode val="edge"/>
          <c:x val="9.8662506600737956E-2"/>
          <c:y val="0.81239556384095601"/>
        </c:manualLayout>
      </c:layout>
      <c:overlay val="1"/>
    </c:title>
    <c:autoTitleDeleted val="0"/>
    <c:plotArea>
      <c:layout>
        <c:manualLayout>
          <c:layoutTarget val="inner"/>
          <c:xMode val="edge"/>
          <c:yMode val="edge"/>
          <c:x val="8.535347351237331E-2"/>
          <c:y val="3.0562300385189995E-2"/>
          <c:w val="0.90222234908325205"/>
          <c:h val="0.88658610542951555"/>
        </c:manualLayout>
      </c:layout>
      <c:scatterChart>
        <c:scatterStyle val="lineMarker"/>
        <c:varyColors val="0"/>
        <c:ser>
          <c:idx val="0"/>
          <c:order val="0"/>
          <c:tx>
            <c:strRef>
              <c:f>'Input Data'!$AQ$47</c:f>
              <c:strCache>
                <c:ptCount val="1"/>
                <c:pt idx="0">
                  <c:v>Trunk/Neck</c:v>
                </c:pt>
              </c:strCache>
            </c:strRef>
          </c:tx>
          <c:spPr>
            <a:ln w="28575" cap="rnd">
              <a:solidFill>
                <a:srgbClr val="00B050"/>
              </a:solidFill>
              <a:round/>
            </a:ln>
            <a:effectLst/>
          </c:spPr>
          <c:marker>
            <c:symbol val="circle"/>
            <c:size val="5"/>
            <c:spPr>
              <a:solidFill>
                <a:srgbClr val="00B050"/>
              </a:solidFill>
              <a:ln w="9525">
                <a:solidFill>
                  <a:schemeClr val="tx1"/>
                </a:solidFill>
              </a:ln>
              <a:effectLst/>
            </c:spPr>
          </c:marker>
          <c:dPt>
            <c:idx val="0"/>
            <c:marker>
              <c:symbol val="circle"/>
              <c:size val="30"/>
            </c:marker>
            <c:bubble3D val="0"/>
            <c:extLst>
              <c:ext xmlns:c16="http://schemas.microsoft.com/office/drawing/2014/chart" uri="{C3380CC4-5D6E-409C-BE32-E72D297353CC}">
                <c16:uniqueId val="{00000000-29DA-7D4F-BDB1-1D0C49AB480A}"/>
              </c:ext>
            </c:extLst>
          </c:dPt>
          <c:dPt>
            <c:idx val="1"/>
            <c:marker>
              <c:symbol val="circle"/>
              <c:size val="30"/>
            </c:marker>
            <c:bubble3D val="0"/>
            <c:extLst>
              <c:ext xmlns:c16="http://schemas.microsoft.com/office/drawing/2014/chart" uri="{C3380CC4-5D6E-409C-BE32-E72D297353CC}">
                <c16:uniqueId val="{00000001-29DA-7D4F-BDB1-1D0C49AB480A}"/>
              </c:ext>
            </c:extLst>
          </c:dPt>
          <c:dPt>
            <c:idx val="5"/>
            <c:marker>
              <c:symbol val="circle"/>
              <c:size val="30"/>
              <c:spPr>
                <a:solidFill>
                  <a:schemeClr val="bg1">
                    <a:lumMod val="85000"/>
                  </a:schemeClr>
                </a:solidFill>
                <a:ln w="9525">
                  <a:solidFill>
                    <a:schemeClr val="tx1"/>
                  </a:solidFill>
                </a:ln>
                <a:effectLst/>
              </c:spPr>
            </c:marker>
            <c:bubble3D val="0"/>
            <c:spPr>
              <a:ln w="28575" cap="rnd">
                <a:noFill/>
                <a:round/>
              </a:ln>
              <a:effectLst/>
            </c:spPr>
            <c:extLst>
              <c:ext xmlns:c16="http://schemas.microsoft.com/office/drawing/2014/chart" uri="{C3380CC4-5D6E-409C-BE32-E72D297353CC}">
                <c16:uniqueId val="{00000000-7886-E241-9DD8-1B005BE76C26}"/>
              </c:ext>
            </c:extLst>
          </c:dPt>
          <c:xVal>
            <c:numRef>
              <c:f>'Input Data'!$AP$48:$AP$68</c:f>
              <c:numCache>
                <c:formatCode>0.00</c:formatCode>
                <c:ptCount val="21"/>
                <c:pt idx="0">
                  <c:v>33.534286468808276</c:v>
                </c:pt>
                <c:pt idx="1">
                  <c:v>33.534286468808276</c:v>
                </c:pt>
                <c:pt idx="2">
                  <c:v>23.459276246757785</c:v>
                </c:pt>
                <c:pt idx="3">
                  <c:v>0</c:v>
                </c:pt>
                <c:pt idx="4">
                  <c:v>0</c:v>
                </c:pt>
                <c:pt idx="5">
                  <c:v>33.534286468808276</c:v>
                </c:pt>
                <c:pt idx="6">
                  <c:v>63.12260788292528</c:v>
                </c:pt>
                <c:pt idx="7">
                  <c:v>58.504830900128596</c:v>
                </c:pt>
                <c:pt idx="8">
                  <c:v>43.504873612895125</c:v>
                </c:pt>
                <c:pt idx="9">
                  <c:v>23.122607882925283</c:v>
                </c:pt>
                <c:pt idx="10">
                  <c:v>0</c:v>
                </c:pt>
                <c:pt idx="11">
                  <c:v>0</c:v>
                </c:pt>
                <c:pt idx="12">
                  <c:v>0</c:v>
                </c:pt>
                <c:pt idx="13">
                  <c:v>15</c:v>
                </c:pt>
                <c:pt idx="14">
                  <c:v>43.12260788292528</c:v>
                </c:pt>
                <c:pt idx="15">
                  <c:v>38.543581939611769</c:v>
                </c:pt>
                <c:pt idx="16">
                  <c:v>23.66949992510132</c:v>
                </c:pt>
                <c:pt idx="17">
                  <c:v>23.122607882925283</c:v>
                </c:pt>
                <c:pt idx="18">
                  <c:v>0</c:v>
                </c:pt>
                <c:pt idx="19">
                  <c:v>0</c:v>
                </c:pt>
                <c:pt idx="20">
                  <c:v>0</c:v>
                </c:pt>
              </c:numCache>
            </c:numRef>
          </c:xVal>
          <c:yVal>
            <c:numRef>
              <c:f>'Input Data'!$AQ$48:$AQ$68</c:f>
              <c:numCache>
                <c:formatCode>0.00</c:formatCode>
                <c:ptCount val="21"/>
                <c:pt idx="0">
                  <c:v>139.51669843480818</c:v>
                </c:pt>
                <c:pt idx="1">
                  <c:v>139.51669843480818</c:v>
                </c:pt>
                <c:pt idx="2">
                  <c:v>127.06331861141977</c:v>
                </c:pt>
                <c:pt idx="3">
                  <c:v>93.56</c:v>
                </c:pt>
                <c:pt idx="4">
                  <c:v>84.59</c:v>
                </c:pt>
                <c:pt idx="5">
                  <c:v>139.51669843480818</c:v>
                </c:pt>
              </c:numCache>
            </c:numRef>
          </c:yVal>
          <c:smooth val="0"/>
          <c:extLst>
            <c:ext xmlns:c16="http://schemas.microsoft.com/office/drawing/2014/chart" uri="{C3380CC4-5D6E-409C-BE32-E72D297353CC}">
              <c16:uniqueId val="{00000000-0937-084D-BF01-E51E30ABDA78}"/>
            </c:ext>
          </c:extLst>
        </c:ser>
        <c:ser>
          <c:idx val="1"/>
          <c:order val="1"/>
          <c:tx>
            <c:strRef>
              <c:f>'Input Data'!$AR$47</c:f>
              <c:strCache>
                <c:ptCount val="1"/>
                <c:pt idx="0">
                  <c:v>Right</c:v>
                </c:pt>
              </c:strCache>
            </c:strRef>
          </c:tx>
          <c:spPr>
            <a:ln w="28575" cap="rnd">
              <a:solidFill>
                <a:schemeClr val="accent2"/>
              </a:solidFill>
              <a:round/>
            </a:ln>
            <a:effectLst/>
          </c:spPr>
          <c:marker>
            <c:symbol val="circle"/>
            <c:size val="5"/>
            <c:spPr>
              <a:solidFill>
                <a:schemeClr val="accent2"/>
              </a:solidFill>
              <a:ln w="9525">
                <a:solidFill>
                  <a:schemeClr val="tx1"/>
                </a:solidFill>
              </a:ln>
              <a:effectLst/>
            </c:spPr>
          </c:marker>
          <c:dPt>
            <c:idx val="10"/>
            <c:bubble3D val="0"/>
            <c:spPr>
              <a:ln w="28575" cap="rnd">
                <a:noFill/>
                <a:round/>
              </a:ln>
              <a:effectLst/>
            </c:spPr>
            <c:extLst>
              <c:ext xmlns:c16="http://schemas.microsoft.com/office/drawing/2014/chart" uri="{C3380CC4-5D6E-409C-BE32-E72D297353CC}">
                <c16:uniqueId val="{00000017-9418-CE4C-8DB4-171045FC5BE0}"/>
              </c:ext>
            </c:extLst>
          </c:dPt>
          <c:dPt>
            <c:idx val="11"/>
            <c:marker>
              <c:symbol val="none"/>
            </c:marker>
            <c:bubble3D val="0"/>
            <c:spPr>
              <a:ln w="28575" cap="rnd">
                <a:noFill/>
                <a:round/>
              </a:ln>
              <a:effectLst/>
            </c:spPr>
            <c:extLst>
              <c:ext xmlns:c16="http://schemas.microsoft.com/office/drawing/2014/chart" uri="{C3380CC4-5D6E-409C-BE32-E72D297353CC}">
                <c16:uniqueId val="{00000019-C5FD-9D40-948F-4D7ED667663B}"/>
              </c:ext>
            </c:extLst>
          </c:dPt>
          <c:dPt>
            <c:idx val="12"/>
            <c:marker>
              <c:symbol val="none"/>
            </c:marker>
            <c:bubble3D val="0"/>
            <c:spPr>
              <a:ln w="28575" cap="rnd">
                <a:noFill/>
                <a:round/>
              </a:ln>
              <a:effectLst/>
            </c:spPr>
            <c:extLst>
              <c:ext xmlns:c16="http://schemas.microsoft.com/office/drawing/2014/chart" uri="{C3380CC4-5D6E-409C-BE32-E72D297353CC}">
                <c16:uniqueId val="{0000001A-C5FD-9D40-948F-4D7ED667663B}"/>
              </c:ext>
            </c:extLst>
          </c:dPt>
          <c:dPt>
            <c:idx val="13"/>
            <c:marker>
              <c:symbol val="none"/>
            </c:marker>
            <c:bubble3D val="0"/>
            <c:spPr>
              <a:ln w="28575" cap="rnd">
                <a:noFill/>
                <a:round/>
              </a:ln>
              <a:effectLst/>
            </c:spPr>
            <c:extLst>
              <c:ext xmlns:c16="http://schemas.microsoft.com/office/drawing/2014/chart" uri="{C3380CC4-5D6E-409C-BE32-E72D297353CC}">
                <c16:uniqueId val="{0000001B-C5FD-9D40-948F-4D7ED667663B}"/>
              </c:ext>
            </c:extLst>
          </c:dPt>
          <c:dPt>
            <c:idx val="23"/>
            <c:marker>
              <c:symbol val="none"/>
            </c:marker>
            <c:bubble3D val="0"/>
            <c:spPr>
              <a:ln w="19050" cap="rnd">
                <a:solidFill>
                  <a:srgbClr val="FC02FF"/>
                </a:solidFill>
                <a:prstDash val="sysDash"/>
                <a:round/>
                <a:headEnd type="none" w="lg" len="lg"/>
                <a:tailEnd type="arrow" w="sm" len="sm"/>
              </a:ln>
              <a:effectLst/>
            </c:spPr>
            <c:extLst>
              <c:ext xmlns:c16="http://schemas.microsoft.com/office/drawing/2014/chart" uri="{C3380CC4-5D6E-409C-BE32-E72D297353CC}">
                <c16:uniqueId val="{00000003-D923-9248-AB38-232ECB319DE1}"/>
              </c:ext>
            </c:extLst>
          </c:dPt>
          <c:xVal>
            <c:numRef>
              <c:f>'Input Data'!$AP$48:$AP$92</c:f>
              <c:numCache>
                <c:formatCode>0.00</c:formatCode>
                <c:ptCount val="45"/>
                <c:pt idx="0">
                  <c:v>33.534286468808276</c:v>
                </c:pt>
                <c:pt idx="1">
                  <c:v>33.534286468808276</c:v>
                </c:pt>
                <c:pt idx="2">
                  <c:v>23.459276246757785</c:v>
                </c:pt>
                <c:pt idx="3">
                  <c:v>0</c:v>
                </c:pt>
                <c:pt idx="4">
                  <c:v>0</c:v>
                </c:pt>
                <c:pt idx="5">
                  <c:v>33.534286468808276</c:v>
                </c:pt>
                <c:pt idx="6">
                  <c:v>63.12260788292528</c:v>
                </c:pt>
                <c:pt idx="7">
                  <c:v>58.504830900128596</c:v>
                </c:pt>
                <c:pt idx="8">
                  <c:v>43.504873612895125</c:v>
                </c:pt>
                <c:pt idx="9">
                  <c:v>23.122607882925283</c:v>
                </c:pt>
                <c:pt idx="10">
                  <c:v>0</c:v>
                </c:pt>
                <c:pt idx="11">
                  <c:v>0</c:v>
                </c:pt>
                <c:pt idx="12">
                  <c:v>0</c:v>
                </c:pt>
                <c:pt idx="13">
                  <c:v>15</c:v>
                </c:pt>
                <c:pt idx="14">
                  <c:v>43.12260788292528</c:v>
                </c:pt>
                <c:pt idx="15">
                  <c:v>38.543581939611769</c:v>
                </c:pt>
                <c:pt idx="16">
                  <c:v>23.66949992510132</c:v>
                </c:pt>
                <c:pt idx="17">
                  <c:v>23.122607882925283</c:v>
                </c:pt>
                <c:pt idx="18">
                  <c:v>0</c:v>
                </c:pt>
                <c:pt idx="19">
                  <c:v>0</c:v>
                </c:pt>
                <c:pt idx="20">
                  <c:v>0</c:v>
                </c:pt>
                <c:pt idx="21">
                  <c:v>15</c:v>
                </c:pt>
                <c:pt idx="22">
                  <c:v>63.12260788292528</c:v>
                </c:pt>
                <c:pt idx="23">
                  <c:v>80.132953318919576</c:v>
                </c:pt>
                <c:pt idx="24">
                  <c:v>43.12260788292528</c:v>
                </c:pt>
                <c:pt idx="25">
                  <c:v>43.12260788292528</c:v>
                </c:pt>
                <c:pt idx="27">
                  <c:v>23.122607882925283</c:v>
                </c:pt>
                <c:pt idx="28">
                  <c:v>23.459276246757785</c:v>
                </c:pt>
                <c:pt idx="29">
                  <c:v>23.122607882925283</c:v>
                </c:pt>
                <c:pt idx="30">
                  <c:v>23.122607882925283</c:v>
                </c:pt>
                <c:pt idx="37">
                  <c:v>23.122607882925283</c:v>
                </c:pt>
                <c:pt idx="38">
                  <c:v>0</c:v>
                </c:pt>
                <c:pt idx="39">
                  <c:v>23.122607882925283</c:v>
                </c:pt>
                <c:pt idx="40">
                  <c:v>0</c:v>
                </c:pt>
              </c:numCache>
            </c:numRef>
          </c:xVal>
          <c:yVal>
            <c:numRef>
              <c:f>'Input Data'!$AR$48:$AR$92</c:f>
              <c:numCache>
                <c:formatCode>0.00</c:formatCode>
                <c:ptCount val="45"/>
                <c:pt idx="6">
                  <c:v>131.439338311597</c:v>
                </c:pt>
                <c:pt idx="7">
                  <c:v>126.25135646016804</c:v>
                </c:pt>
                <c:pt idx="8">
                  <c:v>109.39919870800944</c:v>
                </c:pt>
                <c:pt idx="9">
                  <c:v>121.43933831159701</c:v>
                </c:pt>
                <c:pt idx="10">
                  <c:v>84.59</c:v>
                </c:pt>
                <c:pt idx="11">
                  <c:v>43.44</c:v>
                </c:pt>
                <c:pt idx="12">
                  <c:v>6.23</c:v>
                </c:pt>
                <c:pt idx="13">
                  <c:v>0</c:v>
                </c:pt>
                <c:pt idx="22">
                  <c:v>131.439338311597</c:v>
                </c:pt>
                <c:pt idx="23">
                  <c:v>114.4289928756027</c:v>
                </c:pt>
                <c:pt idx="37">
                  <c:v>121.43933831159701</c:v>
                </c:pt>
                <c:pt idx="38">
                  <c:v>93.56</c:v>
                </c:pt>
              </c:numCache>
            </c:numRef>
          </c:yVal>
          <c:smooth val="0"/>
          <c:extLst>
            <c:ext xmlns:c16="http://schemas.microsoft.com/office/drawing/2014/chart" uri="{C3380CC4-5D6E-409C-BE32-E72D297353CC}">
              <c16:uniqueId val="{00000001-0937-084D-BF01-E51E30ABDA78}"/>
            </c:ext>
          </c:extLst>
        </c:ser>
        <c:ser>
          <c:idx val="2"/>
          <c:order val="2"/>
          <c:tx>
            <c:strRef>
              <c:f>'Input Data'!$AS$47</c:f>
              <c:strCache>
                <c:ptCount val="1"/>
                <c:pt idx="0">
                  <c:v>Left</c:v>
                </c:pt>
              </c:strCache>
            </c:strRef>
          </c:tx>
          <c:spPr>
            <a:ln w="28575" cap="rnd">
              <a:solidFill>
                <a:srgbClr val="0432FF"/>
              </a:solidFill>
              <a:prstDash val="solid"/>
              <a:round/>
            </a:ln>
            <a:effectLst/>
          </c:spPr>
          <c:marker>
            <c:symbol val="circle"/>
            <c:size val="5"/>
            <c:spPr>
              <a:solidFill>
                <a:srgbClr val="0432FF"/>
              </a:solidFill>
              <a:ln w="9525">
                <a:solidFill>
                  <a:schemeClr val="tx1"/>
                </a:solidFill>
              </a:ln>
              <a:effectLst/>
            </c:spPr>
          </c:marker>
          <c:dPt>
            <c:idx val="18"/>
            <c:bubble3D val="0"/>
            <c:spPr>
              <a:ln w="28575" cap="rnd">
                <a:noFill/>
                <a:prstDash val="solid"/>
                <a:round/>
              </a:ln>
              <a:effectLst/>
            </c:spPr>
            <c:extLst>
              <c:ext xmlns:c16="http://schemas.microsoft.com/office/drawing/2014/chart" uri="{C3380CC4-5D6E-409C-BE32-E72D297353CC}">
                <c16:uniqueId val="{00000015-B620-A946-ACBE-79C2238190BC}"/>
              </c:ext>
            </c:extLst>
          </c:dPt>
          <c:dPt>
            <c:idx val="19"/>
            <c:marker>
              <c:symbol val="none"/>
            </c:marker>
            <c:bubble3D val="0"/>
            <c:spPr>
              <a:ln w="28575" cap="rnd">
                <a:noFill/>
                <a:prstDash val="dash"/>
                <a:round/>
              </a:ln>
              <a:effectLst/>
            </c:spPr>
            <c:extLst>
              <c:ext xmlns:c16="http://schemas.microsoft.com/office/drawing/2014/chart" uri="{C3380CC4-5D6E-409C-BE32-E72D297353CC}">
                <c16:uniqueId val="{00000007-29DA-7D4F-BDB1-1D0C49AB480A}"/>
              </c:ext>
            </c:extLst>
          </c:dPt>
          <c:dPt>
            <c:idx val="20"/>
            <c:marker>
              <c:symbol val="none"/>
            </c:marker>
            <c:bubble3D val="0"/>
            <c:spPr>
              <a:ln w="28575" cap="rnd">
                <a:noFill/>
                <a:prstDash val="dash"/>
                <a:round/>
              </a:ln>
              <a:effectLst/>
            </c:spPr>
            <c:extLst>
              <c:ext xmlns:c16="http://schemas.microsoft.com/office/drawing/2014/chart" uri="{C3380CC4-5D6E-409C-BE32-E72D297353CC}">
                <c16:uniqueId val="{00000009-29DA-7D4F-BDB1-1D0C49AB480A}"/>
              </c:ext>
            </c:extLst>
          </c:dPt>
          <c:dPt>
            <c:idx val="21"/>
            <c:marker>
              <c:symbol val="none"/>
            </c:marker>
            <c:bubble3D val="0"/>
            <c:spPr>
              <a:ln w="28575" cap="rnd">
                <a:noFill/>
                <a:prstDash val="dash"/>
                <a:round/>
              </a:ln>
              <a:effectLst/>
            </c:spPr>
            <c:extLst>
              <c:ext xmlns:c16="http://schemas.microsoft.com/office/drawing/2014/chart" uri="{C3380CC4-5D6E-409C-BE32-E72D297353CC}">
                <c16:uniqueId val="{00000012-9F9D-B545-933C-3C6F6A031F9F}"/>
              </c:ext>
            </c:extLst>
          </c:dPt>
          <c:dPt>
            <c:idx val="23"/>
            <c:marker>
              <c:spPr>
                <a:solidFill>
                  <a:srgbClr val="3366FF"/>
                </a:solidFill>
                <a:ln w="9525">
                  <a:solidFill>
                    <a:schemeClr val="tx1"/>
                  </a:solidFill>
                </a:ln>
                <a:effectLst/>
              </c:spPr>
            </c:marker>
            <c:bubble3D val="0"/>
            <c:spPr>
              <a:ln w="28575" cap="rnd">
                <a:solidFill>
                  <a:schemeClr val="tx2">
                    <a:lumMod val="40000"/>
                    <a:lumOff val="60000"/>
                  </a:schemeClr>
                </a:solidFill>
                <a:prstDash val="solid"/>
                <a:round/>
              </a:ln>
              <a:effectLst/>
            </c:spPr>
            <c:extLst>
              <c:ext xmlns:c16="http://schemas.microsoft.com/office/drawing/2014/chart" uri="{C3380CC4-5D6E-409C-BE32-E72D297353CC}">
                <c16:uniqueId val="{00000005-D923-9248-AB38-232ECB319DE1}"/>
              </c:ext>
            </c:extLst>
          </c:dPt>
          <c:dPt>
            <c:idx val="25"/>
            <c:marker>
              <c:symbol val="none"/>
            </c:marker>
            <c:bubble3D val="0"/>
            <c:spPr>
              <a:ln w="28575" cap="rnd">
                <a:solidFill>
                  <a:srgbClr val="00B0F0"/>
                </a:solidFill>
                <a:prstDash val="sysDot"/>
                <a:round/>
                <a:tailEnd type="arrow" w="sm" len="sm"/>
              </a:ln>
              <a:effectLst/>
            </c:spPr>
            <c:extLst>
              <c:ext xmlns:c16="http://schemas.microsoft.com/office/drawing/2014/chart" uri="{C3380CC4-5D6E-409C-BE32-E72D297353CC}">
                <c16:uniqueId val="{00000006-509F-1F45-BC00-233D083A8964}"/>
              </c:ext>
            </c:extLst>
          </c:dPt>
          <c:dPt>
            <c:idx val="29"/>
            <c:bubble3D val="0"/>
            <c:spPr>
              <a:ln w="28575" cap="rnd">
                <a:solidFill>
                  <a:schemeClr val="bg1">
                    <a:lumMod val="65000"/>
                  </a:schemeClr>
                </a:solidFill>
                <a:prstDash val="solid"/>
                <a:round/>
              </a:ln>
              <a:effectLst/>
            </c:spPr>
            <c:extLst>
              <c:ext xmlns:c16="http://schemas.microsoft.com/office/drawing/2014/chart" uri="{C3380CC4-5D6E-409C-BE32-E72D297353CC}">
                <c16:uniqueId val="{0000000F-29DA-7D4F-BDB1-1D0C49AB480A}"/>
              </c:ext>
            </c:extLst>
          </c:dPt>
          <c:dPt>
            <c:idx val="30"/>
            <c:bubble3D val="0"/>
            <c:spPr>
              <a:ln w="28575" cap="rnd">
                <a:solidFill>
                  <a:schemeClr val="bg1">
                    <a:lumMod val="65000"/>
                  </a:schemeClr>
                </a:solidFill>
                <a:prstDash val="solid"/>
                <a:round/>
              </a:ln>
              <a:effectLst/>
            </c:spPr>
            <c:extLst>
              <c:ext xmlns:c16="http://schemas.microsoft.com/office/drawing/2014/chart" uri="{C3380CC4-5D6E-409C-BE32-E72D297353CC}">
                <c16:uniqueId val="{00000011-29DA-7D4F-BDB1-1D0C49AB480A}"/>
              </c:ext>
            </c:extLst>
          </c:dPt>
          <c:xVal>
            <c:numRef>
              <c:f>'Input Data'!$AP$48:$AP$88</c:f>
              <c:numCache>
                <c:formatCode>0.00</c:formatCode>
                <c:ptCount val="41"/>
                <c:pt idx="0">
                  <c:v>33.534286468808276</c:v>
                </c:pt>
                <c:pt idx="1">
                  <c:v>33.534286468808276</c:v>
                </c:pt>
                <c:pt idx="2">
                  <c:v>23.459276246757785</c:v>
                </c:pt>
                <c:pt idx="3">
                  <c:v>0</c:v>
                </c:pt>
                <c:pt idx="4">
                  <c:v>0</c:v>
                </c:pt>
                <c:pt idx="5">
                  <c:v>33.534286468808276</c:v>
                </c:pt>
                <c:pt idx="6">
                  <c:v>63.12260788292528</c:v>
                </c:pt>
                <c:pt idx="7">
                  <c:v>58.504830900128596</c:v>
                </c:pt>
                <c:pt idx="8">
                  <c:v>43.504873612895125</c:v>
                </c:pt>
                <c:pt idx="9">
                  <c:v>23.122607882925283</c:v>
                </c:pt>
                <c:pt idx="10">
                  <c:v>0</c:v>
                </c:pt>
                <c:pt idx="11">
                  <c:v>0</c:v>
                </c:pt>
                <c:pt idx="12">
                  <c:v>0</c:v>
                </c:pt>
                <c:pt idx="13">
                  <c:v>15</c:v>
                </c:pt>
                <c:pt idx="14">
                  <c:v>43.12260788292528</c:v>
                </c:pt>
                <c:pt idx="15">
                  <c:v>38.543581939611769</c:v>
                </c:pt>
                <c:pt idx="16">
                  <c:v>23.66949992510132</c:v>
                </c:pt>
                <c:pt idx="17">
                  <c:v>23.122607882925283</c:v>
                </c:pt>
                <c:pt idx="18">
                  <c:v>0</c:v>
                </c:pt>
                <c:pt idx="19">
                  <c:v>0</c:v>
                </c:pt>
                <c:pt idx="20">
                  <c:v>0</c:v>
                </c:pt>
                <c:pt idx="21">
                  <c:v>15</c:v>
                </c:pt>
                <c:pt idx="22">
                  <c:v>63.12260788292528</c:v>
                </c:pt>
                <c:pt idx="23">
                  <c:v>80.132953318919576</c:v>
                </c:pt>
                <c:pt idx="24">
                  <c:v>43.12260788292528</c:v>
                </c:pt>
                <c:pt idx="25">
                  <c:v>43.12260788292528</c:v>
                </c:pt>
                <c:pt idx="27">
                  <c:v>23.122607882925283</c:v>
                </c:pt>
                <c:pt idx="28">
                  <c:v>23.459276246757785</c:v>
                </c:pt>
                <c:pt idx="29">
                  <c:v>23.122607882925283</c:v>
                </c:pt>
                <c:pt idx="30">
                  <c:v>23.122607882925283</c:v>
                </c:pt>
                <c:pt idx="37">
                  <c:v>23.122607882925283</c:v>
                </c:pt>
                <c:pt idx="38">
                  <c:v>0</c:v>
                </c:pt>
                <c:pt idx="39">
                  <c:v>23.122607882925283</c:v>
                </c:pt>
                <c:pt idx="40">
                  <c:v>0</c:v>
                </c:pt>
              </c:numCache>
            </c:numRef>
          </c:xVal>
          <c:yVal>
            <c:numRef>
              <c:f>'Input Data'!$AS$48:$AS$88</c:f>
              <c:numCache>
                <c:formatCode>0.00</c:formatCode>
                <c:ptCount val="41"/>
                <c:pt idx="14">
                  <c:v>71.439338311597012</c:v>
                </c:pt>
                <c:pt idx="15">
                  <c:v>76.414862598541703</c:v>
                </c:pt>
                <c:pt idx="16">
                  <c:v>92.576892957262729</c:v>
                </c:pt>
                <c:pt idx="17">
                  <c:v>121.43933831159701</c:v>
                </c:pt>
                <c:pt idx="18">
                  <c:v>84.59</c:v>
                </c:pt>
                <c:pt idx="19">
                  <c:v>43.44</c:v>
                </c:pt>
                <c:pt idx="20">
                  <c:v>6.23</c:v>
                </c:pt>
                <c:pt idx="21">
                  <c:v>0</c:v>
                </c:pt>
                <c:pt idx="24">
                  <c:v>71.439338311597012</c:v>
                </c:pt>
                <c:pt idx="25">
                  <c:v>93.800018086594918</c:v>
                </c:pt>
                <c:pt idx="27">
                  <c:v>121.43933831159701</c:v>
                </c:pt>
                <c:pt idx="28">
                  <c:v>127.06331861141977</c:v>
                </c:pt>
                <c:pt idx="29">
                  <c:v>121.43933831159701</c:v>
                </c:pt>
                <c:pt idx="30">
                  <c:v>121.43933831159701</c:v>
                </c:pt>
                <c:pt idx="39">
                  <c:v>121.43933831159701</c:v>
                </c:pt>
                <c:pt idx="40">
                  <c:v>93.56</c:v>
                </c:pt>
              </c:numCache>
            </c:numRef>
          </c:yVal>
          <c:smooth val="0"/>
          <c:extLst>
            <c:ext xmlns:c16="http://schemas.microsoft.com/office/drawing/2014/chart" uri="{C3380CC4-5D6E-409C-BE32-E72D297353CC}">
              <c16:uniqueId val="{00000002-0937-084D-BF01-E51E30ABDA78}"/>
            </c:ext>
          </c:extLst>
        </c:ser>
        <c:dLbls>
          <c:showLegendKey val="0"/>
          <c:showVal val="0"/>
          <c:showCatName val="0"/>
          <c:showSerName val="0"/>
          <c:showPercent val="0"/>
          <c:showBubbleSize val="0"/>
        </c:dLbls>
        <c:axId val="2146799992"/>
        <c:axId val="2146803496"/>
      </c:scatterChart>
      <c:valAx>
        <c:axId val="2146799992"/>
        <c:scaling>
          <c:orientation val="minMax"/>
          <c:max val="100"/>
          <c:min val="-100"/>
        </c:scaling>
        <c:delete val="0"/>
        <c:axPos val="b"/>
        <c:numFmt formatCode="0"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6803496"/>
        <c:crosses val="autoZero"/>
        <c:crossBetween val="midCat"/>
      </c:valAx>
      <c:valAx>
        <c:axId val="2146803496"/>
        <c:scaling>
          <c:orientation val="minMax"/>
          <c:max val="200"/>
          <c:min val="0"/>
        </c:scaling>
        <c:delete val="0"/>
        <c:axPos val="l"/>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6799992"/>
        <c:crosses val="autoZero"/>
        <c:crossBetween val="midCat"/>
      </c:valAx>
      <c:spPr>
        <a:noFill/>
        <a:ln>
          <a:noFill/>
        </a:ln>
        <a:effectLst/>
      </c:spPr>
    </c:plotArea>
    <c:legend>
      <c:legendPos val="b"/>
      <c:layout>
        <c:manualLayout>
          <c:xMode val="edge"/>
          <c:yMode val="edge"/>
          <c:x val="0.39426780568512865"/>
          <c:y val="0.80414213980512939"/>
          <c:w val="0.28625981602467054"/>
          <c:h val="0.109900956784420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View from </a:t>
            </a:r>
          </a:p>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Behind (-y)</a:t>
            </a:r>
          </a:p>
        </c:rich>
      </c:tx>
      <c:layout>
        <c:manualLayout>
          <c:xMode val="edge"/>
          <c:yMode val="edge"/>
          <c:x val="9.4423665791776024E-2"/>
          <c:y val="0.81339118515676501"/>
        </c:manualLayout>
      </c:layout>
      <c:overlay val="1"/>
      <c:spPr>
        <a:noFill/>
        <a:ln>
          <a:noFill/>
        </a:ln>
        <a:effectLst/>
      </c:spPr>
    </c:title>
    <c:autoTitleDeleted val="0"/>
    <c:plotArea>
      <c:layout>
        <c:manualLayout>
          <c:layoutTarget val="inner"/>
          <c:xMode val="edge"/>
          <c:yMode val="edge"/>
          <c:x val="8.1264216972878389E-2"/>
          <c:y val="3.6036475391971495E-2"/>
          <c:w val="0.90065944881889759"/>
          <c:h val="0.88665098018229049"/>
        </c:manualLayout>
      </c:layout>
      <c:scatterChart>
        <c:scatterStyle val="lineMarker"/>
        <c:varyColors val="0"/>
        <c:ser>
          <c:idx val="0"/>
          <c:order val="0"/>
          <c:tx>
            <c:strRef>
              <c:f>'Input Data'!$AW$47</c:f>
              <c:strCache>
                <c:ptCount val="1"/>
                <c:pt idx="0">
                  <c:v>Trunk/Neck</c:v>
                </c:pt>
              </c:strCache>
            </c:strRef>
          </c:tx>
          <c:spPr>
            <a:ln w="28575" cap="rnd">
              <a:solidFill>
                <a:srgbClr val="00B050"/>
              </a:solidFill>
              <a:round/>
            </a:ln>
            <a:effectLst/>
          </c:spPr>
          <c:marker>
            <c:symbol val="circle"/>
            <c:size val="5"/>
            <c:spPr>
              <a:solidFill>
                <a:srgbClr val="00B050"/>
              </a:solidFill>
              <a:ln w="9525">
                <a:solidFill>
                  <a:schemeClr val="tx1"/>
                </a:solidFill>
              </a:ln>
              <a:effectLst/>
            </c:spPr>
          </c:marker>
          <c:dPt>
            <c:idx val="0"/>
            <c:marker>
              <c:symbol val="circle"/>
              <c:size val="30"/>
            </c:marker>
            <c:bubble3D val="0"/>
            <c:extLst>
              <c:ext xmlns:c16="http://schemas.microsoft.com/office/drawing/2014/chart" uri="{C3380CC4-5D6E-409C-BE32-E72D297353CC}">
                <c16:uniqueId val="{00000000-2895-B240-A8EB-120BA0800652}"/>
              </c:ext>
            </c:extLst>
          </c:dPt>
          <c:dPt>
            <c:idx val="1"/>
            <c:marker>
              <c:symbol val="circle"/>
              <c:size val="30"/>
              <c:spPr>
                <a:solidFill>
                  <a:schemeClr val="bg1">
                    <a:lumMod val="50000"/>
                  </a:schemeClr>
                </a:solidFill>
                <a:ln w="9525">
                  <a:solidFill>
                    <a:schemeClr val="tx1"/>
                  </a:solidFill>
                </a:ln>
                <a:effectLst/>
              </c:spPr>
            </c:marker>
            <c:bubble3D val="0"/>
            <c:extLst>
              <c:ext xmlns:c16="http://schemas.microsoft.com/office/drawing/2014/chart" uri="{C3380CC4-5D6E-409C-BE32-E72D297353CC}">
                <c16:uniqueId val="{00000001-2895-B240-A8EB-120BA0800652}"/>
              </c:ext>
            </c:extLst>
          </c:dPt>
          <c:xVal>
            <c:numRef>
              <c:f>'Input Data'!$AV$48:$AV$68</c:f>
              <c:numCache>
                <c:formatCode>0.0</c:formatCode>
                <c:ptCount val="21"/>
                <c:pt idx="0">
                  <c:v>0</c:v>
                </c:pt>
                <c:pt idx="1">
                  <c:v>0</c:v>
                </c:pt>
                <c:pt idx="2">
                  <c:v>0</c:v>
                </c:pt>
                <c:pt idx="3">
                  <c:v>0</c:v>
                </c:pt>
                <c:pt idx="4">
                  <c:v>0</c:v>
                </c:pt>
                <c:pt idx="6">
                  <c:v>37.04</c:v>
                </c:pt>
                <c:pt idx="7">
                  <c:v>36.442924278579326</c:v>
                </c:pt>
                <c:pt idx="8">
                  <c:v>34.503439034506314</c:v>
                </c:pt>
                <c:pt idx="9">
                  <c:v>17.04</c:v>
                </c:pt>
                <c:pt idx="10">
                  <c:v>9.07</c:v>
                </c:pt>
                <c:pt idx="11">
                  <c:v>9.07</c:v>
                </c:pt>
                <c:pt idx="12">
                  <c:v>9.07</c:v>
                </c:pt>
                <c:pt idx="14">
                  <c:v>-32.04</c:v>
                </c:pt>
                <c:pt idx="15">
                  <c:v>-29.841435108680159</c:v>
                </c:pt>
                <c:pt idx="16">
                  <c:v>-22.69982138721458</c:v>
                </c:pt>
                <c:pt idx="17">
                  <c:v>-17.04</c:v>
                </c:pt>
                <c:pt idx="18">
                  <c:v>-9.07</c:v>
                </c:pt>
                <c:pt idx="19">
                  <c:v>-9.07</c:v>
                </c:pt>
                <c:pt idx="20">
                  <c:v>-9.07</c:v>
                </c:pt>
              </c:numCache>
            </c:numRef>
          </c:xVal>
          <c:yVal>
            <c:numRef>
              <c:f>'Input Data'!$AW$48:$AW$68</c:f>
              <c:numCache>
                <c:formatCode>0.0</c:formatCode>
                <c:ptCount val="21"/>
                <c:pt idx="0">
                  <c:v>139.51669843480818</c:v>
                </c:pt>
                <c:pt idx="1">
                  <c:v>139.51669843480818</c:v>
                </c:pt>
                <c:pt idx="2">
                  <c:v>127.06331861141977</c:v>
                </c:pt>
                <c:pt idx="3">
                  <c:v>93.56</c:v>
                </c:pt>
                <c:pt idx="4">
                  <c:v>84.59</c:v>
                </c:pt>
              </c:numCache>
            </c:numRef>
          </c:yVal>
          <c:smooth val="0"/>
          <c:extLst>
            <c:ext xmlns:c16="http://schemas.microsoft.com/office/drawing/2014/chart" uri="{C3380CC4-5D6E-409C-BE32-E72D297353CC}">
              <c16:uniqueId val="{00000000-A493-924C-8EF7-0D7BFE93ABA7}"/>
            </c:ext>
          </c:extLst>
        </c:ser>
        <c:ser>
          <c:idx val="1"/>
          <c:order val="1"/>
          <c:tx>
            <c:strRef>
              <c:f>'Input Data'!$AX$47</c:f>
              <c:strCache>
                <c:ptCount val="1"/>
                <c:pt idx="0">
                  <c:v>Right</c:v>
                </c:pt>
              </c:strCache>
            </c:strRef>
          </c:tx>
          <c:spPr>
            <a:ln w="28575" cap="rnd">
              <a:solidFill>
                <a:schemeClr val="accent2"/>
              </a:solidFill>
              <a:round/>
            </a:ln>
            <a:effectLst/>
          </c:spPr>
          <c:marker>
            <c:symbol val="circle"/>
            <c:size val="5"/>
            <c:spPr>
              <a:solidFill>
                <a:schemeClr val="accent2"/>
              </a:solidFill>
              <a:ln w="9525">
                <a:solidFill>
                  <a:schemeClr val="tx1"/>
                </a:solidFill>
              </a:ln>
              <a:effectLst/>
            </c:spPr>
          </c:marker>
          <c:dPt>
            <c:idx val="10"/>
            <c:bubble3D val="0"/>
            <c:spPr>
              <a:ln w="28575" cap="rnd">
                <a:noFill/>
                <a:round/>
              </a:ln>
              <a:effectLst/>
            </c:spPr>
            <c:extLst>
              <c:ext xmlns:c16="http://schemas.microsoft.com/office/drawing/2014/chart" uri="{C3380CC4-5D6E-409C-BE32-E72D297353CC}">
                <c16:uniqueId val="{00000018-EE45-2248-AAF5-755D878F9925}"/>
              </c:ext>
            </c:extLst>
          </c:dPt>
          <c:dPt>
            <c:idx val="11"/>
            <c:marker>
              <c:symbol val="none"/>
            </c:marker>
            <c:bubble3D val="0"/>
            <c:spPr>
              <a:ln w="28575" cap="rnd">
                <a:noFill/>
                <a:round/>
              </a:ln>
              <a:effectLst/>
            </c:spPr>
            <c:extLst>
              <c:ext xmlns:c16="http://schemas.microsoft.com/office/drawing/2014/chart" uri="{C3380CC4-5D6E-409C-BE32-E72D297353CC}">
                <c16:uniqueId val="{0000001B-BB56-C14E-9016-AC47E6775243}"/>
              </c:ext>
            </c:extLst>
          </c:dPt>
          <c:dPt>
            <c:idx val="12"/>
            <c:marker>
              <c:symbol val="none"/>
            </c:marker>
            <c:bubble3D val="0"/>
            <c:spPr>
              <a:ln w="28575" cap="rnd">
                <a:noFill/>
                <a:round/>
              </a:ln>
              <a:effectLst/>
            </c:spPr>
            <c:extLst>
              <c:ext xmlns:c16="http://schemas.microsoft.com/office/drawing/2014/chart" uri="{C3380CC4-5D6E-409C-BE32-E72D297353CC}">
                <c16:uniqueId val="{0000001C-BB56-C14E-9016-AC47E6775243}"/>
              </c:ext>
            </c:extLst>
          </c:dPt>
          <c:dPt>
            <c:idx val="23"/>
            <c:marker>
              <c:symbol val="none"/>
            </c:marker>
            <c:bubble3D val="0"/>
            <c:spPr>
              <a:ln w="19050" cap="rnd">
                <a:solidFill>
                  <a:srgbClr val="FC02FF"/>
                </a:solidFill>
                <a:prstDash val="sysDash"/>
                <a:round/>
                <a:tailEnd type="arrow" w="sm" len="sm"/>
              </a:ln>
              <a:effectLst/>
            </c:spPr>
            <c:extLst>
              <c:ext xmlns:c16="http://schemas.microsoft.com/office/drawing/2014/chart" uri="{C3380CC4-5D6E-409C-BE32-E72D297353CC}">
                <c16:uniqueId val="{00000001-ECE9-0944-BAC1-B42FFCB0B509}"/>
              </c:ext>
            </c:extLst>
          </c:dPt>
          <c:xVal>
            <c:numRef>
              <c:f>'Input Data'!$AV$48:$AV$89</c:f>
              <c:numCache>
                <c:formatCode>0.0</c:formatCode>
                <c:ptCount val="42"/>
                <c:pt idx="0">
                  <c:v>0</c:v>
                </c:pt>
                <c:pt idx="1">
                  <c:v>0</c:v>
                </c:pt>
                <c:pt idx="2">
                  <c:v>0</c:v>
                </c:pt>
                <c:pt idx="3">
                  <c:v>0</c:v>
                </c:pt>
                <c:pt idx="4">
                  <c:v>0</c:v>
                </c:pt>
                <c:pt idx="6">
                  <c:v>37.04</c:v>
                </c:pt>
                <c:pt idx="7">
                  <c:v>36.442924278579326</c:v>
                </c:pt>
                <c:pt idx="8">
                  <c:v>34.503439034506314</c:v>
                </c:pt>
                <c:pt idx="9">
                  <c:v>17.04</c:v>
                </c:pt>
                <c:pt idx="10">
                  <c:v>9.07</c:v>
                </c:pt>
                <c:pt idx="11">
                  <c:v>9.07</c:v>
                </c:pt>
                <c:pt idx="12">
                  <c:v>9.07</c:v>
                </c:pt>
                <c:pt idx="14">
                  <c:v>-32.04</c:v>
                </c:pt>
                <c:pt idx="15">
                  <c:v>-29.841435108680159</c:v>
                </c:pt>
                <c:pt idx="16">
                  <c:v>-22.69982138721458</c:v>
                </c:pt>
                <c:pt idx="17">
                  <c:v>-17.04</c:v>
                </c:pt>
                <c:pt idx="18">
                  <c:v>-9.07</c:v>
                </c:pt>
                <c:pt idx="19">
                  <c:v>-9.07</c:v>
                </c:pt>
                <c:pt idx="20">
                  <c:v>-9.07</c:v>
                </c:pt>
                <c:pt idx="22">
                  <c:v>37.04</c:v>
                </c:pt>
                <c:pt idx="23">
                  <c:v>43.844138174397713</c:v>
                </c:pt>
                <c:pt idx="24">
                  <c:v>-32.04</c:v>
                </c:pt>
                <c:pt idx="25">
                  <c:v>-43.220339887498952</c:v>
                </c:pt>
                <c:pt idx="27">
                  <c:v>-17.04</c:v>
                </c:pt>
                <c:pt idx="28">
                  <c:v>0</c:v>
                </c:pt>
                <c:pt idx="29">
                  <c:v>17.04</c:v>
                </c:pt>
                <c:pt idx="30">
                  <c:v>-17.04</c:v>
                </c:pt>
                <c:pt idx="32">
                  <c:v>-9.07</c:v>
                </c:pt>
                <c:pt idx="33">
                  <c:v>0</c:v>
                </c:pt>
                <c:pt idx="34">
                  <c:v>9.07</c:v>
                </c:pt>
                <c:pt idx="35">
                  <c:v>-9.07</c:v>
                </c:pt>
                <c:pt idx="37">
                  <c:v>17.04</c:v>
                </c:pt>
                <c:pt idx="38">
                  <c:v>0</c:v>
                </c:pt>
                <c:pt idx="39">
                  <c:v>-17.04</c:v>
                </c:pt>
                <c:pt idx="40">
                  <c:v>0</c:v>
                </c:pt>
                <c:pt idx="41">
                  <c:v>9.07</c:v>
                </c:pt>
              </c:numCache>
            </c:numRef>
          </c:xVal>
          <c:yVal>
            <c:numRef>
              <c:f>'Input Data'!$AX$48:$AX$89</c:f>
              <c:numCache>
                <c:formatCode>0.0</c:formatCode>
                <c:ptCount val="42"/>
                <c:pt idx="6">
                  <c:v>131.439338311597</c:v>
                </c:pt>
                <c:pt idx="7">
                  <c:v>126.25135646016804</c:v>
                </c:pt>
                <c:pt idx="8">
                  <c:v>109.39919870800944</c:v>
                </c:pt>
                <c:pt idx="9">
                  <c:v>121.43933831159701</c:v>
                </c:pt>
                <c:pt idx="10">
                  <c:v>84.59</c:v>
                </c:pt>
                <c:pt idx="11">
                  <c:v>43.44</c:v>
                </c:pt>
                <c:pt idx="12">
                  <c:v>6.23</c:v>
                </c:pt>
                <c:pt idx="22">
                  <c:v>131.439338311597</c:v>
                </c:pt>
                <c:pt idx="23">
                  <c:v>114.4289928756027</c:v>
                </c:pt>
                <c:pt idx="37">
                  <c:v>121.43933831159701</c:v>
                </c:pt>
                <c:pt idx="38">
                  <c:v>93.56</c:v>
                </c:pt>
                <c:pt idx="41">
                  <c:v>84.59</c:v>
                </c:pt>
              </c:numCache>
            </c:numRef>
          </c:yVal>
          <c:smooth val="0"/>
          <c:extLst>
            <c:ext xmlns:c16="http://schemas.microsoft.com/office/drawing/2014/chart" uri="{C3380CC4-5D6E-409C-BE32-E72D297353CC}">
              <c16:uniqueId val="{00000001-A493-924C-8EF7-0D7BFE93ABA7}"/>
            </c:ext>
          </c:extLst>
        </c:ser>
        <c:ser>
          <c:idx val="2"/>
          <c:order val="2"/>
          <c:tx>
            <c:strRef>
              <c:f>'Input Data'!$AY$47</c:f>
              <c:strCache>
                <c:ptCount val="1"/>
                <c:pt idx="0">
                  <c:v>Left</c:v>
                </c:pt>
              </c:strCache>
            </c:strRef>
          </c:tx>
          <c:spPr>
            <a:ln w="28575" cap="rnd">
              <a:solidFill>
                <a:srgbClr val="0432FF"/>
              </a:solidFill>
              <a:prstDash val="solid"/>
              <a:round/>
            </a:ln>
            <a:effectLst/>
          </c:spPr>
          <c:marker>
            <c:symbol val="circle"/>
            <c:size val="5"/>
            <c:spPr>
              <a:solidFill>
                <a:srgbClr val="0432FF"/>
              </a:solidFill>
              <a:ln w="9525">
                <a:solidFill>
                  <a:schemeClr val="tx1"/>
                </a:solidFill>
              </a:ln>
              <a:effectLst/>
            </c:spPr>
          </c:marker>
          <c:dPt>
            <c:idx val="16"/>
            <c:bubble3D val="0"/>
            <c:extLst>
              <c:ext xmlns:c16="http://schemas.microsoft.com/office/drawing/2014/chart" uri="{C3380CC4-5D6E-409C-BE32-E72D297353CC}">
                <c16:uniqueId val="{00000003-7331-284B-A0C6-D14200C1793C}"/>
              </c:ext>
            </c:extLst>
          </c:dPt>
          <c:dPt>
            <c:idx val="17"/>
            <c:bubble3D val="0"/>
            <c:extLst>
              <c:ext xmlns:c16="http://schemas.microsoft.com/office/drawing/2014/chart" uri="{C3380CC4-5D6E-409C-BE32-E72D297353CC}">
                <c16:uniqueId val="{00000004-7331-284B-A0C6-D14200C1793C}"/>
              </c:ext>
            </c:extLst>
          </c:dPt>
          <c:dPt>
            <c:idx val="18"/>
            <c:bubble3D val="0"/>
            <c:spPr>
              <a:ln w="28575" cap="rnd">
                <a:noFill/>
                <a:prstDash val="solid"/>
                <a:round/>
              </a:ln>
              <a:effectLst/>
            </c:spPr>
            <c:extLst>
              <c:ext xmlns:c16="http://schemas.microsoft.com/office/drawing/2014/chart" uri="{C3380CC4-5D6E-409C-BE32-E72D297353CC}">
                <c16:uniqueId val="{00000000-7331-284B-A0C6-D14200C1793C}"/>
              </c:ext>
            </c:extLst>
          </c:dPt>
          <c:dPt>
            <c:idx val="19"/>
            <c:marker>
              <c:symbol val="none"/>
            </c:marker>
            <c:bubble3D val="0"/>
            <c:spPr>
              <a:ln w="28575" cap="rnd">
                <a:noFill/>
                <a:prstDash val="solid"/>
                <a:round/>
              </a:ln>
              <a:effectLst/>
            </c:spPr>
            <c:extLst>
              <c:ext xmlns:c16="http://schemas.microsoft.com/office/drawing/2014/chart" uri="{C3380CC4-5D6E-409C-BE32-E72D297353CC}">
                <c16:uniqueId val="{00000001-7331-284B-A0C6-D14200C1793C}"/>
              </c:ext>
            </c:extLst>
          </c:dPt>
          <c:dPt>
            <c:idx val="20"/>
            <c:marker>
              <c:symbol val="none"/>
            </c:marker>
            <c:bubble3D val="0"/>
            <c:spPr>
              <a:ln w="28575" cap="rnd">
                <a:noFill/>
                <a:prstDash val="solid"/>
                <a:round/>
              </a:ln>
              <a:effectLst/>
            </c:spPr>
            <c:extLst>
              <c:ext xmlns:c16="http://schemas.microsoft.com/office/drawing/2014/chart" uri="{C3380CC4-5D6E-409C-BE32-E72D297353CC}">
                <c16:uniqueId val="{00000002-7331-284B-A0C6-D14200C1793C}"/>
              </c:ext>
            </c:extLst>
          </c:dPt>
          <c:dPt>
            <c:idx val="25"/>
            <c:marker>
              <c:symbol val="none"/>
            </c:marker>
            <c:bubble3D val="0"/>
            <c:spPr>
              <a:ln w="28575" cap="rnd">
                <a:solidFill>
                  <a:srgbClr val="00B0F0"/>
                </a:solidFill>
                <a:prstDash val="sysDot"/>
                <a:round/>
                <a:tailEnd type="arrow" w="sm" len="sm"/>
              </a:ln>
              <a:effectLst/>
            </c:spPr>
            <c:extLst>
              <c:ext xmlns:c16="http://schemas.microsoft.com/office/drawing/2014/chart" uri="{C3380CC4-5D6E-409C-BE32-E72D297353CC}">
                <c16:uniqueId val="{00000007-CF3F-774C-93F1-37EAF5D0B2A4}"/>
              </c:ext>
            </c:extLst>
          </c:dPt>
          <c:dPt>
            <c:idx val="28"/>
            <c:bubble3D val="0"/>
            <c:spPr>
              <a:ln w="28575" cap="rnd">
                <a:solidFill>
                  <a:schemeClr val="bg1">
                    <a:lumMod val="50000"/>
                  </a:schemeClr>
                </a:solidFill>
                <a:prstDash val="solid"/>
                <a:round/>
              </a:ln>
              <a:effectLst/>
            </c:spPr>
            <c:extLst>
              <c:ext xmlns:c16="http://schemas.microsoft.com/office/drawing/2014/chart" uri="{C3380CC4-5D6E-409C-BE32-E72D297353CC}">
                <c16:uniqueId val="{0000000C-2895-B240-A8EB-120BA0800652}"/>
              </c:ext>
            </c:extLst>
          </c:dPt>
          <c:dPt>
            <c:idx val="29"/>
            <c:bubble3D val="0"/>
            <c:spPr>
              <a:ln w="28575" cap="rnd">
                <a:solidFill>
                  <a:schemeClr val="bg1">
                    <a:lumMod val="50000"/>
                  </a:schemeClr>
                </a:solidFill>
                <a:prstDash val="solid"/>
                <a:round/>
              </a:ln>
              <a:effectLst/>
            </c:spPr>
            <c:extLst>
              <c:ext xmlns:c16="http://schemas.microsoft.com/office/drawing/2014/chart" uri="{C3380CC4-5D6E-409C-BE32-E72D297353CC}">
                <c16:uniqueId val="{0000000E-2895-B240-A8EB-120BA0800652}"/>
              </c:ext>
            </c:extLst>
          </c:dPt>
          <c:dPt>
            <c:idx val="30"/>
            <c:bubble3D val="0"/>
            <c:spPr>
              <a:ln w="28575" cap="rnd">
                <a:noFill/>
                <a:prstDash val="solid"/>
                <a:round/>
              </a:ln>
              <a:effectLst/>
            </c:spPr>
            <c:extLst>
              <c:ext xmlns:c16="http://schemas.microsoft.com/office/drawing/2014/chart" uri="{C3380CC4-5D6E-409C-BE32-E72D297353CC}">
                <c16:uniqueId val="{00000010-2895-B240-A8EB-120BA0800652}"/>
              </c:ext>
            </c:extLst>
          </c:dPt>
          <c:dPt>
            <c:idx val="33"/>
            <c:bubble3D val="0"/>
            <c:spPr>
              <a:ln w="28575" cap="rnd">
                <a:noFill/>
                <a:prstDash val="solid"/>
                <a:round/>
              </a:ln>
              <a:effectLst/>
            </c:spPr>
            <c:extLst>
              <c:ext xmlns:c16="http://schemas.microsoft.com/office/drawing/2014/chart" uri="{C3380CC4-5D6E-409C-BE32-E72D297353CC}">
                <c16:uniqueId val="{00000012-2895-B240-A8EB-120BA0800652}"/>
              </c:ext>
            </c:extLst>
          </c:dPt>
          <c:dPt>
            <c:idx val="34"/>
            <c:bubble3D val="0"/>
            <c:spPr>
              <a:ln w="28575" cap="rnd">
                <a:solidFill>
                  <a:schemeClr val="accent2"/>
                </a:solidFill>
                <a:prstDash val="solid"/>
                <a:round/>
              </a:ln>
              <a:effectLst/>
            </c:spPr>
            <c:extLst>
              <c:ext xmlns:c16="http://schemas.microsoft.com/office/drawing/2014/chart" uri="{C3380CC4-5D6E-409C-BE32-E72D297353CC}">
                <c16:uniqueId val="{00000014-2895-B240-A8EB-120BA0800652}"/>
              </c:ext>
            </c:extLst>
          </c:dPt>
          <c:dPt>
            <c:idx val="35"/>
            <c:bubble3D val="0"/>
            <c:spPr>
              <a:ln w="28575" cap="rnd">
                <a:solidFill>
                  <a:schemeClr val="bg1">
                    <a:lumMod val="65000"/>
                  </a:schemeClr>
                </a:solidFill>
                <a:prstDash val="solid"/>
                <a:round/>
              </a:ln>
              <a:effectLst/>
            </c:spPr>
            <c:extLst>
              <c:ext xmlns:c16="http://schemas.microsoft.com/office/drawing/2014/chart" uri="{C3380CC4-5D6E-409C-BE32-E72D297353CC}">
                <c16:uniqueId val="{00000016-2895-B240-A8EB-120BA0800652}"/>
              </c:ext>
            </c:extLst>
          </c:dPt>
          <c:xVal>
            <c:numRef>
              <c:f>'Input Data'!$AV$48:$AV$91</c:f>
              <c:numCache>
                <c:formatCode>0.0</c:formatCode>
                <c:ptCount val="44"/>
                <c:pt idx="0">
                  <c:v>0</c:v>
                </c:pt>
                <c:pt idx="1">
                  <c:v>0</c:v>
                </c:pt>
                <c:pt idx="2">
                  <c:v>0</c:v>
                </c:pt>
                <c:pt idx="3">
                  <c:v>0</c:v>
                </c:pt>
                <c:pt idx="4">
                  <c:v>0</c:v>
                </c:pt>
                <c:pt idx="6">
                  <c:v>37.04</c:v>
                </c:pt>
                <c:pt idx="7">
                  <c:v>36.442924278579326</c:v>
                </c:pt>
                <c:pt idx="8">
                  <c:v>34.503439034506314</c:v>
                </c:pt>
                <c:pt idx="9">
                  <c:v>17.04</c:v>
                </c:pt>
                <c:pt idx="10">
                  <c:v>9.07</c:v>
                </c:pt>
                <c:pt idx="11">
                  <c:v>9.07</c:v>
                </c:pt>
                <c:pt idx="12">
                  <c:v>9.07</c:v>
                </c:pt>
                <c:pt idx="14">
                  <c:v>-32.04</c:v>
                </c:pt>
                <c:pt idx="15">
                  <c:v>-29.841435108680159</c:v>
                </c:pt>
                <c:pt idx="16">
                  <c:v>-22.69982138721458</c:v>
                </c:pt>
                <c:pt idx="17">
                  <c:v>-17.04</c:v>
                </c:pt>
                <c:pt idx="18">
                  <c:v>-9.07</c:v>
                </c:pt>
                <c:pt idx="19">
                  <c:v>-9.07</c:v>
                </c:pt>
                <c:pt idx="20">
                  <c:v>-9.07</c:v>
                </c:pt>
                <c:pt idx="22">
                  <c:v>37.04</c:v>
                </c:pt>
                <c:pt idx="23">
                  <c:v>43.844138174397713</c:v>
                </c:pt>
                <c:pt idx="24">
                  <c:v>-32.04</c:v>
                </c:pt>
                <c:pt idx="25">
                  <c:v>-43.220339887498952</c:v>
                </c:pt>
                <c:pt idx="27">
                  <c:v>-17.04</c:v>
                </c:pt>
                <c:pt idx="28">
                  <c:v>0</c:v>
                </c:pt>
                <c:pt idx="29">
                  <c:v>17.04</c:v>
                </c:pt>
                <c:pt idx="30">
                  <c:v>-17.04</c:v>
                </c:pt>
                <c:pt idx="32">
                  <c:v>-9.07</c:v>
                </c:pt>
                <c:pt idx="33">
                  <c:v>0</c:v>
                </c:pt>
                <c:pt idx="34">
                  <c:v>9.07</c:v>
                </c:pt>
                <c:pt idx="35">
                  <c:v>-9.07</c:v>
                </c:pt>
                <c:pt idx="37">
                  <c:v>17.04</c:v>
                </c:pt>
                <c:pt idx="38">
                  <c:v>0</c:v>
                </c:pt>
                <c:pt idx="39">
                  <c:v>-17.04</c:v>
                </c:pt>
                <c:pt idx="40">
                  <c:v>0</c:v>
                </c:pt>
                <c:pt idx="41">
                  <c:v>9.07</c:v>
                </c:pt>
                <c:pt idx="42">
                  <c:v>0</c:v>
                </c:pt>
                <c:pt idx="43">
                  <c:v>-9.07</c:v>
                </c:pt>
              </c:numCache>
            </c:numRef>
          </c:xVal>
          <c:yVal>
            <c:numRef>
              <c:f>'Input Data'!$AY$48:$AY$91</c:f>
              <c:numCache>
                <c:formatCode>0.0</c:formatCode>
                <c:ptCount val="44"/>
                <c:pt idx="14">
                  <c:v>71.439338311597012</c:v>
                </c:pt>
                <c:pt idx="15">
                  <c:v>76.414862598541703</c:v>
                </c:pt>
                <c:pt idx="16">
                  <c:v>92.576892957262729</c:v>
                </c:pt>
                <c:pt idx="17">
                  <c:v>121.43933831159701</c:v>
                </c:pt>
                <c:pt idx="18">
                  <c:v>84.59</c:v>
                </c:pt>
                <c:pt idx="19">
                  <c:v>43.44</c:v>
                </c:pt>
                <c:pt idx="20">
                  <c:v>6.23</c:v>
                </c:pt>
                <c:pt idx="24">
                  <c:v>71.439338311597012</c:v>
                </c:pt>
                <c:pt idx="25">
                  <c:v>93.800018086594918</c:v>
                </c:pt>
                <c:pt idx="27">
                  <c:v>121.43933831159701</c:v>
                </c:pt>
                <c:pt idx="28">
                  <c:v>127.06331861141977</c:v>
                </c:pt>
                <c:pt idx="29">
                  <c:v>121.43933831159701</c:v>
                </c:pt>
                <c:pt idx="30">
                  <c:v>121.43933831159701</c:v>
                </c:pt>
                <c:pt idx="32">
                  <c:v>84.59</c:v>
                </c:pt>
                <c:pt idx="33">
                  <c:v>93.56</c:v>
                </c:pt>
                <c:pt idx="34">
                  <c:v>84.59</c:v>
                </c:pt>
                <c:pt idx="35">
                  <c:v>84.59</c:v>
                </c:pt>
                <c:pt idx="39">
                  <c:v>121.43933831159701</c:v>
                </c:pt>
                <c:pt idx="40">
                  <c:v>93.56</c:v>
                </c:pt>
                <c:pt idx="42">
                  <c:v>93.56</c:v>
                </c:pt>
                <c:pt idx="43">
                  <c:v>84.59</c:v>
                </c:pt>
              </c:numCache>
            </c:numRef>
          </c:yVal>
          <c:smooth val="0"/>
          <c:extLst>
            <c:ext xmlns:c16="http://schemas.microsoft.com/office/drawing/2014/chart" uri="{C3380CC4-5D6E-409C-BE32-E72D297353CC}">
              <c16:uniqueId val="{00000002-A493-924C-8EF7-0D7BFE93ABA7}"/>
            </c:ext>
          </c:extLst>
        </c:ser>
        <c:dLbls>
          <c:showLegendKey val="0"/>
          <c:showVal val="0"/>
          <c:showCatName val="0"/>
          <c:showSerName val="0"/>
          <c:showPercent val="0"/>
          <c:showBubbleSize val="0"/>
        </c:dLbls>
        <c:axId val="2143882648"/>
        <c:axId val="2143886360"/>
      </c:scatterChart>
      <c:valAx>
        <c:axId val="2143882648"/>
        <c:scaling>
          <c:orientation val="minMax"/>
          <c:max val="100"/>
          <c:min val="-100"/>
        </c:scaling>
        <c:delete val="0"/>
        <c:axPos val="b"/>
        <c:numFmt formatCode="0"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3886360"/>
        <c:crosses val="autoZero"/>
        <c:crossBetween val="midCat"/>
      </c:valAx>
      <c:valAx>
        <c:axId val="2143886360"/>
        <c:scaling>
          <c:orientation val="minMax"/>
          <c:max val="200"/>
          <c:min val="0"/>
        </c:scaling>
        <c:delete val="0"/>
        <c:axPos val="l"/>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3882648"/>
        <c:crosses val="autoZero"/>
        <c:crossBetween val="midCat"/>
      </c:valAx>
      <c:spPr>
        <a:noFill/>
        <a:ln>
          <a:noFill/>
        </a:ln>
        <a:effectLst/>
      </c:spPr>
    </c:plotArea>
    <c:legend>
      <c:legendPos val="b"/>
      <c:layout>
        <c:manualLayout>
          <c:xMode val="edge"/>
          <c:yMode val="edge"/>
          <c:x val="0.35684908136482946"/>
          <c:y val="0.80265244112146272"/>
          <c:w val="0.2774549431321085"/>
          <c:h val="0.1118394411063580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View from </a:t>
            </a:r>
          </a:p>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solidFill>
                  <a:schemeClr val="tx1"/>
                </a:solidFill>
                <a:latin typeface="Arial" panose="020B0604020202020204" pitchFamily="34" charset="0"/>
                <a:cs typeface="Arial" panose="020B0604020202020204" pitchFamily="34" charset="0"/>
              </a:rPr>
              <a:t>Above (+z)</a:t>
            </a:r>
          </a:p>
        </c:rich>
      </c:tx>
      <c:layout>
        <c:manualLayout>
          <c:xMode val="edge"/>
          <c:yMode val="edge"/>
          <c:x val="8.8844943273157326E-2"/>
          <c:y val="0.81059015951584334"/>
        </c:manualLayout>
      </c:layout>
      <c:overlay val="1"/>
      <c:spPr>
        <a:noFill/>
        <a:ln>
          <a:noFill/>
        </a:ln>
        <a:effectLst/>
      </c:spPr>
    </c:title>
    <c:autoTitleDeleted val="0"/>
    <c:plotArea>
      <c:layout>
        <c:manualLayout>
          <c:layoutTarget val="inner"/>
          <c:xMode val="edge"/>
          <c:yMode val="edge"/>
          <c:x val="7.5703511146693783E-2"/>
          <c:y val="3.0555555555555555E-2"/>
          <c:w val="0.90345786026301245"/>
          <c:h val="0.89205808340008585"/>
        </c:manualLayout>
      </c:layout>
      <c:scatterChart>
        <c:scatterStyle val="lineMarker"/>
        <c:varyColors val="0"/>
        <c:ser>
          <c:idx val="0"/>
          <c:order val="0"/>
          <c:tx>
            <c:strRef>
              <c:f>'Input Data'!$BD$47</c:f>
              <c:strCache>
                <c:ptCount val="1"/>
                <c:pt idx="0">
                  <c:v>Trunk/Neck</c:v>
                </c:pt>
              </c:strCache>
            </c:strRef>
          </c:tx>
          <c:spPr>
            <a:ln w="28575" cap="rnd">
              <a:solidFill>
                <a:srgbClr val="00B050"/>
              </a:solidFill>
              <a:round/>
            </a:ln>
            <a:effectLst/>
          </c:spPr>
          <c:marker>
            <c:symbol val="circle"/>
            <c:size val="5"/>
            <c:spPr>
              <a:solidFill>
                <a:srgbClr val="00B050"/>
              </a:solidFill>
              <a:ln w="9525">
                <a:solidFill>
                  <a:schemeClr val="tx1"/>
                </a:solidFill>
              </a:ln>
              <a:effectLst/>
            </c:spPr>
          </c:marker>
          <c:dPt>
            <c:idx val="0"/>
            <c:marker>
              <c:symbol val="circle"/>
              <c:size val="30"/>
            </c:marker>
            <c:bubble3D val="0"/>
            <c:extLst>
              <c:ext xmlns:c16="http://schemas.microsoft.com/office/drawing/2014/chart" uri="{C3380CC4-5D6E-409C-BE32-E72D297353CC}">
                <c16:uniqueId val="{00000000-5419-C64F-9478-295A7EC4B7A7}"/>
              </c:ext>
            </c:extLst>
          </c:dPt>
          <c:dPt>
            <c:idx val="1"/>
            <c:marker>
              <c:symbol val="circle"/>
              <c:size val="30"/>
              <c:spPr>
                <a:solidFill>
                  <a:schemeClr val="bg1">
                    <a:lumMod val="50000"/>
                  </a:schemeClr>
                </a:solidFill>
                <a:ln w="9525">
                  <a:solidFill>
                    <a:schemeClr val="tx1"/>
                  </a:solidFill>
                </a:ln>
                <a:effectLst/>
              </c:spPr>
            </c:marker>
            <c:bubble3D val="0"/>
            <c:extLst>
              <c:ext xmlns:c16="http://schemas.microsoft.com/office/drawing/2014/chart" uri="{C3380CC4-5D6E-409C-BE32-E72D297353CC}">
                <c16:uniqueId val="{00000001-5419-C64F-9478-295A7EC4B7A7}"/>
              </c:ext>
            </c:extLst>
          </c:dPt>
          <c:xVal>
            <c:numRef>
              <c:f>'Input Data'!$BC$48:$BC$68</c:f>
              <c:numCache>
                <c:formatCode>0.0</c:formatCode>
                <c:ptCount val="21"/>
                <c:pt idx="0">
                  <c:v>0</c:v>
                </c:pt>
                <c:pt idx="1">
                  <c:v>0</c:v>
                </c:pt>
                <c:pt idx="2">
                  <c:v>0</c:v>
                </c:pt>
                <c:pt idx="3">
                  <c:v>0</c:v>
                </c:pt>
                <c:pt idx="4">
                  <c:v>0</c:v>
                </c:pt>
                <c:pt idx="6">
                  <c:v>37.04</c:v>
                </c:pt>
                <c:pt idx="7">
                  <c:v>36.442924278579326</c:v>
                </c:pt>
                <c:pt idx="8">
                  <c:v>34.503439034506314</c:v>
                </c:pt>
                <c:pt idx="9">
                  <c:v>17.04</c:v>
                </c:pt>
                <c:pt idx="10">
                  <c:v>9.07</c:v>
                </c:pt>
                <c:pt idx="11">
                  <c:v>9.07</c:v>
                </c:pt>
                <c:pt idx="12">
                  <c:v>9.07</c:v>
                </c:pt>
                <c:pt idx="13">
                  <c:v>9.07</c:v>
                </c:pt>
                <c:pt idx="14">
                  <c:v>-32.04</c:v>
                </c:pt>
                <c:pt idx="15">
                  <c:v>-29.841435108680159</c:v>
                </c:pt>
                <c:pt idx="16">
                  <c:v>-22.69982138721458</c:v>
                </c:pt>
                <c:pt idx="17">
                  <c:v>-17.04</c:v>
                </c:pt>
                <c:pt idx="18">
                  <c:v>-9.07</c:v>
                </c:pt>
                <c:pt idx="19">
                  <c:v>-9.07</c:v>
                </c:pt>
                <c:pt idx="20">
                  <c:v>-9.07</c:v>
                </c:pt>
              </c:numCache>
            </c:numRef>
          </c:xVal>
          <c:yVal>
            <c:numRef>
              <c:f>'Input Data'!$BD$48:$BD$68</c:f>
              <c:numCache>
                <c:formatCode>0.0</c:formatCode>
                <c:ptCount val="21"/>
                <c:pt idx="0">
                  <c:v>33.534286468808276</c:v>
                </c:pt>
                <c:pt idx="1">
                  <c:v>33.534286468808276</c:v>
                </c:pt>
                <c:pt idx="2">
                  <c:v>23.459276246757785</c:v>
                </c:pt>
                <c:pt idx="3">
                  <c:v>0</c:v>
                </c:pt>
                <c:pt idx="4">
                  <c:v>0</c:v>
                </c:pt>
              </c:numCache>
            </c:numRef>
          </c:yVal>
          <c:smooth val="0"/>
          <c:extLst>
            <c:ext xmlns:c16="http://schemas.microsoft.com/office/drawing/2014/chart" uri="{C3380CC4-5D6E-409C-BE32-E72D297353CC}">
              <c16:uniqueId val="{00000002-5419-C64F-9478-295A7EC4B7A7}"/>
            </c:ext>
          </c:extLst>
        </c:ser>
        <c:ser>
          <c:idx val="1"/>
          <c:order val="1"/>
          <c:tx>
            <c:strRef>
              <c:f>'Input Data'!$BE$47</c:f>
              <c:strCache>
                <c:ptCount val="1"/>
                <c:pt idx="0">
                  <c:v>Right</c:v>
                </c:pt>
              </c:strCache>
            </c:strRef>
          </c:tx>
          <c:spPr>
            <a:ln w="28575" cap="rnd">
              <a:solidFill>
                <a:schemeClr val="accent2"/>
              </a:solidFill>
              <a:round/>
            </a:ln>
            <a:effectLst/>
          </c:spPr>
          <c:marker>
            <c:symbol val="circle"/>
            <c:size val="5"/>
            <c:spPr>
              <a:solidFill>
                <a:schemeClr val="accent2"/>
              </a:solidFill>
              <a:ln w="9525">
                <a:solidFill>
                  <a:schemeClr val="tx1"/>
                </a:solidFill>
              </a:ln>
              <a:effectLst/>
            </c:spPr>
          </c:marker>
          <c:dPt>
            <c:idx val="10"/>
            <c:bubble3D val="0"/>
            <c:spPr>
              <a:ln w="28575" cap="rnd">
                <a:noFill/>
                <a:round/>
              </a:ln>
              <a:effectLst/>
            </c:spPr>
            <c:extLst>
              <c:ext xmlns:c16="http://schemas.microsoft.com/office/drawing/2014/chart" uri="{C3380CC4-5D6E-409C-BE32-E72D297353CC}">
                <c16:uniqueId val="{00000018-9888-3B48-A1DD-94B972E8133F}"/>
              </c:ext>
            </c:extLst>
          </c:dPt>
          <c:dPt>
            <c:idx val="13"/>
            <c:marker>
              <c:symbol val="none"/>
            </c:marker>
            <c:bubble3D val="0"/>
            <c:spPr>
              <a:ln w="28575" cap="rnd">
                <a:noFill/>
                <a:round/>
              </a:ln>
              <a:effectLst/>
            </c:spPr>
            <c:extLst>
              <c:ext xmlns:c16="http://schemas.microsoft.com/office/drawing/2014/chart" uri="{C3380CC4-5D6E-409C-BE32-E72D297353CC}">
                <c16:uniqueId val="{0000001B-6C47-FA4F-8183-B3146413382F}"/>
              </c:ext>
            </c:extLst>
          </c:dPt>
          <c:dPt>
            <c:idx val="23"/>
            <c:marker>
              <c:symbol val="none"/>
            </c:marker>
            <c:bubble3D val="0"/>
            <c:spPr>
              <a:ln w="19050" cap="rnd">
                <a:solidFill>
                  <a:srgbClr val="FC02FF"/>
                </a:solidFill>
                <a:prstDash val="sysDash"/>
                <a:round/>
                <a:tailEnd type="arrow" w="sm" len="sm"/>
              </a:ln>
              <a:effectLst/>
            </c:spPr>
            <c:extLst>
              <c:ext xmlns:c16="http://schemas.microsoft.com/office/drawing/2014/chart" uri="{C3380CC4-5D6E-409C-BE32-E72D297353CC}">
                <c16:uniqueId val="{00000004-5419-C64F-9478-295A7EC4B7A7}"/>
              </c:ext>
            </c:extLst>
          </c:dPt>
          <c:xVal>
            <c:numRef>
              <c:f>'Input Data'!$BC$48:$BC$88</c:f>
              <c:numCache>
                <c:formatCode>0.0</c:formatCode>
                <c:ptCount val="41"/>
                <c:pt idx="0">
                  <c:v>0</c:v>
                </c:pt>
                <c:pt idx="1">
                  <c:v>0</c:v>
                </c:pt>
                <c:pt idx="2">
                  <c:v>0</c:v>
                </c:pt>
                <c:pt idx="3">
                  <c:v>0</c:v>
                </c:pt>
                <c:pt idx="4">
                  <c:v>0</c:v>
                </c:pt>
                <c:pt idx="6">
                  <c:v>37.04</c:v>
                </c:pt>
                <c:pt idx="7">
                  <c:v>36.442924278579326</c:v>
                </c:pt>
                <c:pt idx="8">
                  <c:v>34.503439034506314</c:v>
                </c:pt>
                <c:pt idx="9">
                  <c:v>17.04</c:v>
                </c:pt>
                <c:pt idx="10">
                  <c:v>9.07</c:v>
                </c:pt>
                <c:pt idx="11">
                  <c:v>9.07</c:v>
                </c:pt>
                <c:pt idx="12">
                  <c:v>9.07</c:v>
                </c:pt>
                <c:pt idx="13">
                  <c:v>9.07</c:v>
                </c:pt>
                <c:pt idx="14">
                  <c:v>-32.04</c:v>
                </c:pt>
                <c:pt idx="15">
                  <c:v>-29.841435108680159</c:v>
                </c:pt>
                <c:pt idx="16">
                  <c:v>-22.69982138721458</c:v>
                </c:pt>
                <c:pt idx="17">
                  <c:v>-17.04</c:v>
                </c:pt>
                <c:pt idx="18">
                  <c:v>-9.07</c:v>
                </c:pt>
                <c:pt idx="19">
                  <c:v>-9.07</c:v>
                </c:pt>
                <c:pt idx="20">
                  <c:v>-9.07</c:v>
                </c:pt>
                <c:pt idx="21">
                  <c:v>-9.07</c:v>
                </c:pt>
                <c:pt idx="22">
                  <c:v>37.04</c:v>
                </c:pt>
                <c:pt idx="23">
                  <c:v>43.844138174397713</c:v>
                </c:pt>
                <c:pt idx="24">
                  <c:v>-32.04</c:v>
                </c:pt>
                <c:pt idx="25">
                  <c:v>-43.220339887498952</c:v>
                </c:pt>
                <c:pt idx="27">
                  <c:v>-17.04</c:v>
                </c:pt>
                <c:pt idx="28">
                  <c:v>0</c:v>
                </c:pt>
                <c:pt idx="29">
                  <c:v>17.04</c:v>
                </c:pt>
                <c:pt idx="30">
                  <c:v>-17.04</c:v>
                </c:pt>
                <c:pt idx="32">
                  <c:v>-9.07</c:v>
                </c:pt>
                <c:pt idx="33">
                  <c:v>0</c:v>
                </c:pt>
                <c:pt idx="34">
                  <c:v>9.07</c:v>
                </c:pt>
                <c:pt idx="35">
                  <c:v>-9.07</c:v>
                </c:pt>
                <c:pt idx="37">
                  <c:v>17.04</c:v>
                </c:pt>
                <c:pt idx="38">
                  <c:v>0</c:v>
                </c:pt>
                <c:pt idx="39">
                  <c:v>-17.04</c:v>
                </c:pt>
                <c:pt idx="40">
                  <c:v>0</c:v>
                </c:pt>
              </c:numCache>
            </c:numRef>
          </c:xVal>
          <c:yVal>
            <c:numRef>
              <c:f>'Input Data'!$BE$48:$BE$88</c:f>
              <c:numCache>
                <c:formatCode>0.0</c:formatCode>
                <c:ptCount val="41"/>
                <c:pt idx="6">
                  <c:v>63.12260788292528</c:v>
                </c:pt>
                <c:pt idx="7">
                  <c:v>58.504830900128596</c:v>
                </c:pt>
                <c:pt idx="8">
                  <c:v>43.504873612895125</c:v>
                </c:pt>
                <c:pt idx="9">
                  <c:v>23.122607882925283</c:v>
                </c:pt>
                <c:pt idx="10">
                  <c:v>0</c:v>
                </c:pt>
                <c:pt idx="11">
                  <c:v>0</c:v>
                </c:pt>
                <c:pt idx="12">
                  <c:v>0</c:v>
                </c:pt>
                <c:pt idx="13">
                  <c:v>15</c:v>
                </c:pt>
                <c:pt idx="22">
                  <c:v>63.12260788292528</c:v>
                </c:pt>
                <c:pt idx="23">
                  <c:v>80.132953318919576</c:v>
                </c:pt>
                <c:pt idx="37">
                  <c:v>23.122607882925283</c:v>
                </c:pt>
                <c:pt idx="38">
                  <c:v>0</c:v>
                </c:pt>
              </c:numCache>
            </c:numRef>
          </c:yVal>
          <c:smooth val="0"/>
          <c:extLst>
            <c:ext xmlns:c16="http://schemas.microsoft.com/office/drawing/2014/chart" uri="{C3380CC4-5D6E-409C-BE32-E72D297353CC}">
              <c16:uniqueId val="{00000005-5419-C64F-9478-295A7EC4B7A7}"/>
            </c:ext>
          </c:extLst>
        </c:ser>
        <c:ser>
          <c:idx val="2"/>
          <c:order val="2"/>
          <c:tx>
            <c:strRef>
              <c:f>'Input Data'!$BF$47</c:f>
              <c:strCache>
                <c:ptCount val="1"/>
                <c:pt idx="0">
                  <c:v>Left</c:v>
                </c:pt>
              </c:strCache>
            </c:strRef>
          </c:tx>
          <c:spPr>
            <a:ln w="28575" cap="rnd">
              <a:solidFill>
                <a:srgbClr val="0432FF"/>
              </a:solidFill>
              <a:prstDash val="solid"/>
              <a:round/>
            </a:ln>
            <a:effectLst/>
          </c:spPr>
          <c:marker>
            <c:symbol val="circle"/>
            <c:size val="5"/>
            <c:spPr>
              <a:solidFill>
                <a:srgbClr val="0432FF"/>
              </a:solidFill>
              <a:ln w="9525">
                <a:solidFill>
                  <a:schemeClr val="tx1"/>
                </a:solidFill>
              </a:ln>
              <a:effectLst/>
            </c:spPr>
          </c:marker>
          <c:dPt>
            <c:idx val="16"/>
            <c:bubble3D val="0"/>
            <c:extLst>
              <c:ext xmlns:c16="http://schemas.microsoft.com/office/drawing/2014/chart" uri="{C3380CC4-5D6E-409C-BE32-E72D297353CC}">
                <c16:uniqueId val="{00000006-5419-C64F-9478-295A7EC4B7A7}"/>
              </c:ext>
            </c:extLst>
          </c:dPt>
          <c:dPt>
            <c:idx val="17"/>
            <c:bubble3D val="0"/>
            <c:extLst>
              <c:ext xmlns:c16="http://schemas.microsoft.com/office/drawing/2014/chart" uri="{C3380CC4-5D6E-409C-BE32-E72D297353CC}">
                <c16:uniqueId val="{00000007-5419-C64F-9478-295A7EC4B7A7}"/>
              </c:ext>
            </c:extLst>
          </c:dPt>
          <c:dPt>
            <c:idx val="18"/>
            <c:bubble3D val="0"/>
            <c:spPr>
              <a:ln w="28575" cap="rnd">
                <a:noFill/>
                <a:prstDash val="solid"/>
                <a:round/>
              </a:ln>
              <a:effectLst/>
            </c:spPr>
            <c:extLst>
              <c:ext xmlns:c16="http://schemas.microsoft.com/office/drawing/2014/chart" uri="{C3380CC4-5D6E-409C-BE32-E72D297353CC}">
                <c16:uniqueId val="{00000008-5419-C64F-9478-295A7EC4B7A7}"/>
              </c:ext>
            </c:extLst>
          </c:dPt>
          <c:dPt>
            <c:idx val="19"/>
            <c:bubble3D val="0"/>
            <c:extLst>
              <c:ext xmlns:c16="http://schemas.microsoft.com/office/drawing/2014/chart" uri="{C3380CC4-5D6E-409C-BE32-E72D297353CC}">
                <c16:uniqueId val="{00000009-5419-C64F-9478-295A7EC4B7A7}"/>
              </c:ext>
            </c:extLst>
          </c:dPt>
          <c:dPt>
            <c:idx val="20"/>
            <c:bubble3D val="0"/>
            <c:extLst>
              <c:ext xmlns:c16="http://schemas.microsoft.com/office/drawing/2014/chart" uri="{C3380CC4-5D6E-409C-BE32-E72D297353CC}">
                <c16:uniqueId val="{0000000A-5419-C64F-9478-295A7EC4B7A7}"/>
              </c:ext>
            </c:extLst>
          </c:dPt>
          <c:dPt>
            <c:idx val="21"/>
            <c:marker>
              <c:symbol val="none"/>
            </c:marker>
            <c:bubble3D val="0"/>
            <c:spPr>
              <a:ln w="28575" cap="rnd">
                <a:noFill/>
                <a:prstDash val="solid"/>
                <a:round/>
              </a:ln>
              <a:effectLst/>
            </c:spPr>
            <c:extLst>
              <c:ext xmlns:c16="http://schemas.microsoft.com/office/drawing/2014/chart" uri="{C3380CC4-5D6E-409C-BE32-E72D297353CC}">
                <c16:uniqueId val="{0000001C-6C47-FA4F-8183-B3146413382F}"/>
              </c:ext>
            </c:extLst>
          </c:dPt>
          <c:dPt>
            <c:idx val="25"/>
            <c:marker>
              <c:symbol val="none"/>
            </c:marker>
            <c:bubble3D val="0"/>
            <c:spPr>
              <a:ln w="28575" cap="rnd">
                <a:solidFill>
                  <a:srgbClr val="00B0F0"/>
                </a:solidFill>
                <a:prstDash val="sysDot"/>
                <a:round/>
                <a:tailEnd type="arrow" w="sm" len="sm"/>
              </a:ln>
              <a:effectLst/>
            </c:spPr>
            <c:extLst>
              <c:ext xmlns:c16="http://schemas.microsoft.com/office/drawing/2014/chart" uri="{C3380CC4-5D6E-409C-BE32-E72D297353CC}">
                <c16:uniqueId val="{0000000C-5419-C64F-9478-295A7EC4B7A7}"/>
              </c:ext>
            </c:extLst>
          </c:dPt>
          <c:dPt>
            <c:idx val="28"/>
            <c:bubble3D val="0"/>
            <c:spPr>
              <a:ln w="28575" cap="rnd">
                <a:solidFill>
                  <a:schemeClr val="bg1">
                    <a:lumMod val="50000"/>
                  </a:schemeClr>
                </a:solidFill>
                <a:prstDash val="solid"/>
                <a:round/>
              </a:ln>
              <a:effectLst/>
            </c:spPr>
            <c:extLst>
              <c:ext xmlns:c16="http://schemas.microsoft.com/office/drawing/2014/chart" uri="{C3380CC4-5D6E-409C-BE32-E72D297353CC}">
                <c16:uniqueId val="{0000000E-5419-C64F-9478-295A7EC4B7A7}"/>
              </c:ext>
            </c:extLst>
          </c:dPt>
          <c:dPt>
            <c:idx val="29"/>
            <c:bubble3D val="0"/>
            <c:spPr>
              <a:ln w="28575" cap="rnd">
                <a:solidFill>
                  <a:schemeClr val="bg1">
                    <a:lumMod val="50000"/>
                  </a:schemeClr>
                </a:solidFill>
                <a:prstDash val="solid"/>
                <a:round/>
              </a:ln>
              <a:effectLst/>
            </c:spPr>
            <c:extLst>
              <c:ext xmlns:c16="http://schemas.microsoft.com/office/drawing/2014/chart" uri="{C3380CC4-5D6E-409C-BE32-E72D297353CC}">
                <c16:uniqueId val="{00000010-5419-C64F-9478-295A7EC4B7A7}"/>
              </c:ext>
            </c:extLst>
          </c:dPt>
          <c:dPt>
            <c:idx val="30"/>
            <c:bubble3D val="0"/>
            <c:spPr>
              <a:ln w="28575" cap="rnd">
                <a:noFill/>
                <a:prstDash val="solid"/>
                <a:round/>
              </a:ln>
              <a:effectLst/>
            </c:spPr>
            <c:extLst>
              <c:ext xmlns:c16="http://schemas.microsoft.com/office/drawing/2014/chart" uri="{C3380CC4-5D6E-409C-BE32-E72D297353CC}">
                <c16:uniqueId val="{00000012-5419-C64F-9478-295A7EC4B7A7}"/>
              </c:ext>
            </c:extLst>
          </c:dPt>
          <c:dPt>
            <c:idx val="33"/>
            <c:bubble3D val="0"/>
            <c:spPr>
              <a:ln w="28575" cap="rnd">
                <a:noFill/>
                <a:prstDash val="solid"/>
                <a:round/>
              </a:ln>
              <a:effectLst/>
            </c:spPr>
            <c:extLst>
              <c:ext xmlns:c16="http://schemas.microsoft.com/office/drawing/2014/chart" uri="{C3380CC4-5D6E-409C-BE32-E72D297353CC}">
                <c16:uniqueId val="{00000014-5419-C64F-9478-295A7EC4B7A7}"/>
              </c:ext>
            </c:extLst>
          </c:dPt>
          <c:dPt>
            <c:idx val="34"/>
            <c:bubble3D val="0"/>
            <c:spPr>
              <a:ln w="28575" cap="rnd">
                <a:noFill/>
                <a:prstDash val="solid"/>
                <a:round/>
              </a:ln>
              <a:effectLst/>
            </c:spPr>
            <c:extLst>
              <c:ext xmlns:c16="http://schemas.microsoft.com/office/drawing/2014/chart" uri="{C3380CC4-5D6E-409C-BE32-E72D297353CC}">
                <c16:uniqueId val="{00000016-5419-C64F-9478-295A7EC4B7A7}"/>
              </c:ext>
            </c:extLst>
          </c:dPt>
          <c:dPt>
            <c:idx val="35"/>
            <c:bubble3D val="0"/>
            <c:spPr>
              <a:ln w="28575" cap="rnd">
                <a:solidFill>
                  <a:schemeClr val="bg1">
                    <a:lumMod val="65000"/>
                  </a:schemeClr>
                </a:solidFill>
                <a:prstDash val="solid"/>
                <a:round/>
              </a:ln>
              <a:effectLst/>
            </c:spPr>
            <c:extLst>
              <c:ext xmlns:c16="http://schemas.microsoft.com/office/drawing/2014/chart" uri="{C3380CC4-5D6E-409C-BE32-E72D297353CC}">
                <c16:uniqueId val="{00000018-5419-C64F-9478-295A7EC4B7A7}"/>
              </c:ext>
            </c:extLst>
          </c:dPt>
          <c:xVal>
            <c:numRef>
              <c:f>'Input Data'!$BC$48:$BC$88</c:f>
              <c:numCache>
                <c:formatCode>0.0</c:formatCode>
                <c:ptCount val="41"/>
                <c:pt idx="0">
                  <c:v>0</c:v>
                </c:pt>
                <c:pt idx="1">
                  <c:v>0</c:v>
                </c:pt>
                <c:pt idx="2">
                  <c:v>0</c:v>
                </c:pt>
                <c:pt idx="3">
                  <c:v>0</c:v>
                </c:pt>
                <c:pt idx="4">
                  <c:v>0</c:v>
                </c:pt>
                <c:pt idx="6">
                  <c:v>37.04</c:v>
                </c:pt>
                <c:pt idx="7">
                  <c:v>36.442924278579326</c:v>
                </c:pt>
                <c:pt idx="8">
                  <c:v>34.503439034506314</c:v>
                </c:pt>
                <c:pt idx="9">
                  <c:v>17.04</c:v>
                </c:pt>
                <c:pt idx="10">
                  <c:v>9.07</c:v>
                </c:pt>
                <c:pt idx="11">
                  <c:v>9.07</c:v>
                </c:pt>
                <c:pt idx="12">
                  <c:v>9.07</c:v>
                </c:pt>
                <c:pt idx="13">
                  <c:v>9.07</c:v>
                </c:pt>
                <c:pt idx="14">
                  <c:v>-32.04</c:v>
                </c:pt>
                <c:pt idx="15">
                  <c:v>-29.841435108680159</c:v>
                </c:pt>
                <c:pt idx="16">
                  <c:v>-22.69982138721458</c:v>
                </c:pt>
                <c:pt idx="17">
                  <c:v>-17.04</c:v>
                </c:pt>
                <c:pt idx="18">
                  <c:v>-9.07</c:v>
                </c:pt>
                <c:pt idx="19">
                  <c:v>-9.07</c:v>
                </c:pt>
                <c:pt idx="20">
                  <c:v>-9.07</c:v>
                </c:pt>
                <c:pt idx="21">
                  <c:v>-9.07</c:v>
                </c:pt>
                <c:pt idx="22">
                  <c:v>37.04</c:v>
                </c:pt>
                <c:pt idx="23">
                  <c:v>43.844138174397713</c:v>
                </c:pt>
                <c:pt idx="24">
                  <c:v>-32.04</c:v>
                </c:pt>
                <c:pt idx="25">
                  <c:v>-43.220339887498952</c:v>
                </c:pt>
                <c:pt idx="27">
                  <c:v>-17.04</c:v>
                </c:pt>
                <c:pt idx="28">
                  <c:v>0</c:v>
                </c:pt>
                <c:pt idx="29">
                  <c:v>17.04</c:v>
                </c:pt>
                <c:pt idx="30">
                  <c:v>-17.04</c:v>
                </c:pt>
                <c:pt idx="32">
                  <c:v>-9.07</c:v>
                </c:pt>
                <c:pt idx="33">
                  <c:v>0</c:v>
                </c:pt>
                <c:pt idx="34">
                  <c:v>9.07</c:v>
                </c:pt>
                <c:pt idx="35">
                  <c:v>-9.07</c:v>
                </c:pt>
                <c:pt idx="37">
                  <c:v>17.04</c:v>
                </c:pt>
                <c:pt idx="38">
                  <c:v>0</c:v>
                </c:pt>
                <c:pt idx="39">
                  <c:v>-17.04</c:v>
                </c:pt>
                <c:pt idx="40">
                  <c:v>0</c:v>
                </c:pt>
              </c:numCache>
            </c:numRef>
          </c:xVal>
          <c:yVal>
            <c:numRef>
              <c:f>'Input Data'!$BF$48:$BF$88</c:f>
              <c:numCache>
                <c:formatCode>0.0</c:formatCode>
                <c:ptCount val="41"/>
                <c:pt idx="14">
                  <c:v>43.12260788292528</c:v>
                </c:pt>
                <c:pt idx="15">
                  <c:v>38.543581939611769</c:v>
                </c:pt>
                <c:pt idx="16">
                  <c:v>23.66949992510132</c:v>
                </c:pt>
                <c:pt idx="17">
                  <c:v>23.122607882925283</c:v>
                </c:pt>
                <c:pt idx="18">
                  <c:v>0</c:v>
                </c:pt>
                <c:pt idx="19">
                  <c:v>0</c:v>
                </c:pt>
                <c:pt idx="20">
                  <c:v>0</c:v>
                </c:pt>
                <c:pt idx="21">
                  <c:v>15</c:v>
                </c:pt>
                <c:pt idx="24">
                  <c:v>43.12260788292528</c:v>
                </c:pt>
                <c:pt idx="25">
                  <c:v>43.12260788292528</c:v>
                </c:pt>
                <c:pt idx="27">
                  <c:v>23.122607882925283</c:v>
                </c:pt>
                <c:pt idx="28">
                  <c:v>23.459276246757785</c:v>
                </c:pt>
                <c:pt idx="29">
                  <c:v>23.122607882925283</c:v>
                </c:pt>
                <c:pt idx="30">
                  <c:v>23.122607882925283</c:v>
                </c:pt>
                <c:pt idx="32">
                  <c:v>0</c:v>
                </c:pt>
                <c:pt idx="33">
                  <c:v>0</c:v>
                </c:pt>
                <c:pt idx="34">
                  <c:v>0</c:v>
                </c:pt>
                <c:pt idx="35">
                  <c:v>0</c:v>
                </c:pt>
                <c:pt idx="39">
                  <c:v>23.122607882925283</c:v>
                </c:pt>
                <c:pt idx="40">
                  <c:v>0</c:v>
                </c:pt>
              </c:numCache>
            </c:numRef>
          </c:yVal>
          <c:smooth val="0"/>
          <c:extLst>
            <c:ext xmlns:c16="http://schemas.microsoft.com/office/drawing/2014/chart" uri="{C3380CC4-5D6E-409C-BE32-E72D297353CC}">
              <c16:uniqueId val="{00000019-5419-C64F-9478-295A7EC4B7A7}"/>
            </c:ext>
          </c:extLst>
        </c:ser>
        <c:dLbls>
          <c:showLegendKey val="0"/>
          <c:showVal val="0"/>
          <c:showCatName val="0"/>
          <c:showSerName val="0"/>
          <c:showPercent val="0"/>
          <c:showBubbleSize val="0"/>
        </c:dLbls>
        <c:axId val="2143882648"/>
        <c:axId val="2143886360"/>
      </c:scatterChart>
      <c:valAx>
        <c:axId val="2143882648"/>
        <c:scaling>
          <c:orientation val="minMax"/>
          <c:max val="100"/>
          <c:min val="-100"/>
        </c:scaling>
        <c:delete val="0"/>
        <c:axPos val="b"/>
        <c:numFmt formatCode="0"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3886360"/>
        <c:crosses val="autoZero"/>
        <c:crossBetween val="midCat"/>
      </c:valAx>
      <c:valAx>
        <c:axId val="2143886360"/>
        <c:scaling>
          <c:orientation val="minMax"/>
          <c:max val="100"/>
          <c:min val="-100"/>
        </c:scaling>
        <c:delete val="0"/>
        <c:axPos val="l"/>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3882648"/>
        <c:crosses val="autoZero"/>
        <c:crossBetween val="midCat"/>
      </c:valAx>
      <c:spPr>
        <a:noFill/>
        <a:ln>
          <a:noFill/>
        </a:ln>
        <a:effectLst/>
      </c:spPr>
    </c:plotArea>
    <c:legend>
      <c:legendPos val="b"/>
      <c:layout>
        <c:manualLayout>
          <c:xMode val="edge"/>
          <c:yMode val="edge"/>
          <c:x val="0.36336567944532538"/>
          <c:y val="0.78091278910751272"/>
          <c:w val="0.24050420355477015"/>
          <c:h val="0.135970880146351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solidFill>
                <a:schemeClr val="tx1"/>
              </a:solidFill>
            </a:ln>
            <a:effectLst/>
          </c:spPr>
          <c:marker>
            <c:symbol val="circle"/>
            <c:size val="9"/>
            <c:spPr>
              <a:solidFill>
                <a:srgbClr val="FF0000"/>
              </a:solidFill>
              <a:ln>
                <a:solidFill>
                  <a:schemeClr val="tx1"/>
                </a:solidFill>
              </a:ln>
              <a:effectLst/>
            </c:spPr>
          </c:marker>
          <c:dPt>
            <c:idx val="0"/>
            <c:marker>
              <c:spPr>
                <a:solidFill>
                  <a:srgbClr val="CCFFCC"/>
                </a:solidFill>
                <a:ln>
                  <a:solidFill>
                    <a:schemeClr val="tx1"/>
                  </a:solidFill>
                </a:ln>
                <a:effectLst/>
              </c:spPr>
            </c:marker>
            <c:bubble3D val="0"/>
            <c:extLst>
              <c:ext xmlns:c16="http://schemas.microsoft.com/office/drawing/2014/chart" uri="{C3380CC4-5D6E-409C-BE32-E72D297353CC}">
                <c16:uniqueId val="{00000000-9A61-754D-89B2-CCA3917AC905}"/>
              </c:ext>
            </c:extLst>
          </c:dPt>
          <c:dPt>
            <c:idx val="1"/>
            <c:marker>
              <c:symbol val="circle"/>
              <c:size val="13"/>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1-9A61-754D-89B2-CCA3917AC905}"/>
              </c:ext>
            </c:extLst>
          </c:dPt>
          <c:dPt>
            <c:idx val="2"/>
            <c:marker>
              <c:spPr>
                <a:solidFill>
                  <a:srgbClr val="00FFFF"/>
                </a:solidFill>
                <a:ln>
                  <a:solidFill>
                    <a:schemeClr val="tx1"/>
                  </a:solidFill>
                </a:ln>
                <a:effectLst/>
              </c:spPr>
            </c:marker>
            <c:bubble3D val="0"/>
            <c:extLst>
              <c:ext xmlns:c16="http://schemas.microsoft.com/office/drawing/2014/chart" uri="{C3380CC4-5D6E-409C-BE32-E72D297353CC}">
                <c16:uniqueId val="{00000002-9A61-754D-89B2-CCA3917AC905}"/>
              </c:ext>
            </c:extLst>
          </c:dPt>
          <c:dPt>
            <c:idx val="3"/>
            <c:marker>
              <c:symbol val="circle"/>
              <c:size val="12"/>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3-9A61-754D-89B2-CCA3917AC905}"/>
              </c:ext>
            </c:extLst>
          </c:dPt>
          <c:dPt>
            <c:idx val="4"/>
            <c:marker>
              <c:spPr>
                <a:solidFill>
                  <a:srgbClr val="FFFF00"/>
                </a:solidFill>
                <a:ln>
                  <a:solidFill>
                    <a:schemeClr val="tx1"/>
                  </a:solidFill>
                </a:ln>
                <a:effectLst/>
              </c:spPr>
            </c:marker>
            <c:bubble3D val="0"/>
            <c:extLst>
              <c:ext xmlns:c16="http://schemas.microsoft.com/office/drawing/2014/chart" uri="{C3380CC4-5D6E-409C-BE32-E72D297353CC}">
                <c16:uniqueId val="{00000004-9A61-754D-89B2-CCA3917AC905}"/>
              </c:ext>
            </c:extLst>
          </c:dPt>
          <c:dPt>
            <c:idx val="5"/>
            <c:marker>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5-9A61-754D-89B2-CCA3917AC905}"/>
              </c:ext>
            </c:extLst>
          </c:dPt>
          <c:dPt>
            <c:idx val="6"/>
            <c:marker>
              <c:spPr>
                <a:solidFill>
                  <a:schemeClr val="accent6"/>
                </a:solidFill>
                <a:ln>
                  <a:solidFill>
                    <a:schemeClr val="tx1"/>
                  </a:solidFill>
                </a:ln>
                <a:effectLst/>
              </c:spPr>
            </c:marker>
            <c:bubble3D val="0"/>
            <c:extLst>
              <c:ext xmlns:c16="http://schemas.microsoft.com/office/drawing/2014/chart" uri="{C3380CC4-5D6E-409C-BE32-E72D297353CC}">
                <c16:uniqueId val="{00000006-9A61-754D-89B2-CCA3917AC905}"/>
              </c:ext>
            </c:extLst>
          </c:dPt>
          <c:dPt>
            <c:idx val="7"/>
            <c:marker>
              <c:symbol val="none"/>
            </c:marker>
            <c:bubble3D val="0"/>
            <c:spPr>
              <a:ln w="76200" cap="flat" cmpd="sng">
                <a:solidFill>
                  <a:srgbClr val="FF0000"/>
                </a:solidFill>
                <a:headEnd type="none"/>
                <a:tailEnd type="none"/>
              </a:ln>
              <a:effectLst/>
            </c:spPr>
            <c:extLst>
              <c:ext xmlns:c16="http://schemas.microsoft.com/office/drawing/2014/chart" uri="{C3380CC4-5D6E-409C-BE32-E72D297353CC}">
                <c16:uniqueId val="{00000008-9A61-754D-89B2-CCA3917AC905}"/>
              </c:ext>
            </c:extLst>
          </c:dPt>
          <c:xVal>
            <c:numRef>
              <c:f>'Lft - Gravity correction'!$B$52:$B$59</c:f>
              <c:numCache>
                <c:formatCode>0.000</c:formatCode>
                <c:ptCount val="8"/>
                <c:pt idx="0">
                  <c:v>0</c:v>
                </c:pt>
                <c:pt idx="1">
                  <c:v>9.0488935049141211E-2</c:v>
                </c:pt>
                <c:pt idx="2">
                  <c:v>0.17002806285069749</c:v>
                </c:pt>
                <c:pt idx="3">
                  <c:v>0.26050082261576346</c:v>
                </c:pt>
                <c:pt idx="4">
                  <c:v>0.38457100751530737</c:v>
                </c:pt>
                <c:pt idx="5">
                  <c:v>0.43386396045896719</c:v>
                </c:pt>
                <c:pt idx="6">
                  <c:v>0.45061862703332134</c:v>
                </c:pt>
                <c:pt idx="7">
                  <c:v>0.43219461991007957</c:v>
                </c:pt>
              </c:numCache>
            </c:numRef>
          </c:xVal>
          <c:yVal>
            <c:numRef>
              <c:f>'Lft - Gravity correction'!$C$52:$C$59</c:f>
              <c:numCache>
                <c:formatCode>0.000</c:formatCode>
                <c:ptCount val="8"/>
                <c:pt idx="0">
                  <c:v>0</c:v>
                </c:pt>
                <c:pt idx="1">
                  <c:v>-0.12415718667876387</c:v>
                </c:pt>
                <c:pt idx="2">
                  <c:v>-0.23329046726562169</c:v>
                </c:pt>
                <c:pt idx="3">
                  <c:v>-0.25314299525870143</c:v>
                </c:pt>
                <c:pt idx="4">
                  <c:v>-0.28036783978893148</c:v>
                </c:pt>
                <c:pt idx="5">
                  <c:v>-0.29118424166190088</c:v>
                </c:pt>
                <c:pt idx="6">
                  <c:v>-0.29486073487428677</c:v>
                </c:pt>
                <c:pt idx="7">
                  <c:v>-0.358010577876958</c:v>
                </c:pt>
              </c:numCache>
            </c:numRef>
          </c:yVal>
          <c:smooth val="0"/>
          <c:extLst>
            <c:ext xmlns:c16="http://schemas.microsoft.com/office/drawing/2014/chart" uri="{C3380CC4-5D6E-409C-BE32-E72D297353CC}">
              <c16:uniqueId val="{00000009-9A61-754D-89B2-CCA3917AC905}"/>
            </c:ext>
          </c:extLst>
        </c:ser>
        <c:dLbls>
          <c:showLegendKey val="0"/>
          <c:showVal val="0"/>
          <c:showCatName val="0"/>
          <c:showSerName val="0"/>
          <c:showPercent val="0"/>
          <c:showBubbleSize val="0"/>
        </c:dLbls>
        <c:axId val="2146637032"/>
        <c:axId val="2146640104"/>
      </c:scatterChart>
      <c:valAx>
        <c:axId val="2146637032"/>
        <c:scaling>
          <c:orientation val="minMax"/>
          <c:max val="0.9"/>
          <c:min val="-0.4"/>
        </c:scaling>
        <c:delete val="0"/>
        <c:axPos val="b"/>
        <c:numFmt formatCode="0.000" sourceLinked="1"/>
        <c:majorTickMark val="out"/>
        <c:minorTickMark val="none"/>
        <c:tickLblPos val="low"/>
        <c:crossAx val="2146640104"/>
        <c:crosses val="autoZero"/>
        <c:crossBetween val="midCat"/>
        <c:majorUnit val="0.1"/>
      </c:valAx>
      <c:valAx>
        <c:axId val="2146640104"/>
        <c:scaling>
          <c:orientation val="minMax"/>
          <c:max val="0.7"/>
          <c:min val="-0.6"/>
        </c:scaling>
        <c:delete val="0"/>
        <c:axPos val="l"/>
        <c:numFmt formatCode="0.000" sourceLinked="1"/>
        <c:majorTickMark val="out"/>
        <c:minorTickMark val="none"/>
        <c:tickLblPos val="low"/>
        <c:crossAx val="2146637032"/>
        <c:crosses val="autoZero"/>
        <c:crossBetween val="midCat"/>
        <c:majorUnit val="0.1"/>
      </c:valAx>
    </c:plotArea>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solidFill>
                <a:schemeClr val="tx1"/>
              </a:solidFill>
            </a:ln>
            <a:effectLst/>
          </c:spPr>
          <c:marker>
            <c:symbol val="circle"/>
            <c:size val="9"/>
            <c:spPr>
              <a:solidFill>
                <a:srgbClr val="FF0000"/>
              </a:solidFill>
              <a:ln>
                <a:solidFill>
                  <a:schemeClr val="tx1"/>
                </a:solidFill>
              </a:ln>
              <a:effectLst/>
            </c:spPr>
          </c:marker>
          <c:dPt>
            <c:idx val="0"/>
            <c:marker>
              <c:spPr>
                <a:solidFill>
                  <a:srgbClr val="CCFFCC"/>
                </a:solidFill>
                <a:ln>
                  <a:solidFill>
                    <a:schemeClr val="tx1"/>
                  </a:solidFill>
                </a:ln>
                <a:effectLst/>
              </c:spPr>
            </c:marker>
            <c:bubble3D val="0"/>
            <c:extLst>
              <c:ext xmlns:c16="http://schemas.microsoft.com/office/drawing/2014/chart" uri="{C3380CC4-5D6E-409C-BE32-E72D297353CC}">
                <c16:uniqueId val="{00000000-DB2F-8F40-8603-E6E01CDDAFCD}"/>
              </c:ext>
            </c:extLst>
          </c:dPt>
          <c:dPt>
            <c:idx val="1"/>
            <c:marker>
              <c:symbol val="circle"/>
              <c:size val="13"/>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1-DB2F-8F40-8603-E6E01CDDAFCD}"/>
              </c:ext>
            </c:extLst>
          </c:dPt>
          <c:dPt>
            <c:idx val="2"/>
            <c:marker>
              <c:spPr>
                <a:solidFill>
                  <a:srgbClr val="00FFFF"/>
                </a:solidFill>
                <a:ln>
                  <a:solidFill>
                    <a:schemeClr val="tx1"/>
                  </a:solidFill>
                </a:ln>
                <a:effectLst/>
              </c:spPr>
            </c:marker>
            <c:bubble3D val="0"/>
            <c:extLst>
              <c:ext xmlns:c16="http://schemas.microsoft.com/office/drawing/2014/chart" uri="{C3380CC4-5D6E-409C-BE32-E72D297353CC}">
                <c16:uniqueId val="{00000002-DB2F-8F40-8603-E6E01CDDAFCD}"/>
              </c:ext>
            </c:extLst>
          </c:dPt>
          <c:dPt>
            <c:idx val="3"/>
            <c:marker>
              <c:symbol val="circle"/>
              <c:size val="12"/>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3-DB2F-8F40-8603-E6E01CDDAFCD}"/>
              </c:ext>
            </c:extLst>
          </c:dPt>
          <c:dPt>
            <c:idx val="4"/>
            <c:marker>
              <c:spPr>
                <a:solidFill>
                  <a:srgbClr val="FFFF00"/>
                </a:solidFill>
                <a:ln>
                  <a:solidFill>
                    <a:schemeClr val="tx1"/>
                  </a:solidFill>
                </a:ln>
                <a:effectLst/>
              </c:spPr>
            </c:marker>
            <c:bubble3D val="0"/>
            <c:extLst>
              <c:ext xmlns:c16="http://schemas.microsoft.com/office/drawing/2014/chart" uri="{C3380CC4-5D6E-409C-BE32-E72D297353CC}">
                <c16:uniqueId val="{00000004-DB2F-8F40-8603-E6E01CDDAFCD}"/>
              </c:ext>
            </c:extLst>
          </c:dPt>
          <c:dPt>
            <c:idx val="5"/>
            <c:marker>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5-DB2F-8F40-8603-E6E01CDDAFCD}"/>
              </c:ext>
            </c:extLst>
          </c:dPt>
          <c:dPt>
            <c:idx val="6"/>
            <c:marker>
              <c:spPr>
                <a:solidFill>
                  <a:schemeClr val="accent6"/>
                </a:solidFill>
                <a:ln>
                  <a:solidFill>
                    <a:schemeClr val="tx1"/>
                  </a:solidFill>
                </a:ln>
                <a:effectLst/>
              </c:spPr>
            </c:marker>
            <c:bubble3D val="0"/>
            <c:extLst>
              <c:ext xmlns:c16="http://schemas.microsoft.com/office/drawing/2014/chart" uri="{C3380CC4-5D6E-409C-BE32-E72D297353CC}">
                <c16:uniqueId val="{00000006-DB2F-8F40-8603-E6E01CDDAFCD}"/>
              </c:ext>
            </c:extLst>
          </c:dPt>
          <c:dPt>
            <c:idx val="7"/>
            <c:marker>
              <c:symbol val="none"/>
            </c:marker>
            <c:bubble3D val="0"/>
            <c:spPr>
              <a:ln w="76200" cmpd="sng">
                <a:solidFill>
                  <a:srgbClr val="FF0000"/>
                </a:solidFill>
                <a:headEnd type="none"/>
                <a:tailEnd type="none"/>
              </a:ln>
              <a:effectLst/>
            </c:spPr>
            <c:extLst>
              <c:ext xmlns:c16="http://schemas.microsoft.com/office/drawing/2014/chart" uri="{C3380CC4-5D6E-409C-BE32-E72D297353CC}">
                <c16:uniqueId val="{00000008-DB2F-8F40-8603-E6E01CDDAFCD}"/>
              </c:ext>
            </c:extLst>
          </c:dPt>
          <c:xVal>
            <c:numRef>
              <c:f>'Lft - Gravity correction'!$D$52:$D$59</c:f>
              <c:numCache>
                <c:formatCode>0.000</c:formatCode>
                <c:ptCount val="8"/>
                <c:pt idx="0">
                  <c:v>0</c:v>
                </c:pt>
                <c:pt idx="1">
                  <c:v>3.0121569422756001E-2</c:v>
                </c:pt>
                <c:pt idx="2">
                  <c:v>5.6598213872145808E-2</c:v>
                </c:pt>
                <c:pt idx="3">
                  <c:v>8.671439893556615E-2</c:v>
                </c:pt>
                <c:pt idx="4">
                  <c:v>0.12801435108680159</c:v>
                </c:pt>
                <c:pt idx="5">
                  <c:v>0.14442277829769501</c:v>
                </c:pt>
                <c:pt idx="6">
                  <c:v>0.15000000000000002</c:v>
                </c:pt>
                <c:pt idx="7">
                  <c:v>8.1211944529092389E-2</c:v>
                </c:pt>
              </c:numCache>
            </c:numRef>
          </c:xVal>
          <c:yVal>
            <c:numRef>
              <c:f>'Lft - Gravity correction'!$C$52:$C$59</c:f>
              <c:numCache>
                <c:formatCode>0.000</c:formatCode>
                <c:ptCount val="8"/>
                <c:pt idx="0">
                  <c:v>0</c:v>
                </c:pt>
                <c:pt idx="1">
                  <c:v>-0.12415718667876387</c:v>
                </c:pt>
                <c:pt idx="2">
                  <c:v>-0.23329046726562169</c:v>
                </c:pt>
                <c:pt idx="3">
                  <c:v>-0.25314299525870143</c:v>
                </c:pt>
                <c:pt idx="4">
                  <c:v>-0.28036783978893148</c:v>
                </c:pt>
                <c:pt idx="5">
                  <c:v>-0.29118424166190088</c:v>
                </c:pt>
                <c:pt idx="6">
                  <c:v>-0.29486073487428677</c:v>
                </c:pt>
                <c:pt idx="7">
                  <c:v>-0.358010577876958</c:v>
                </c:pt>
              </c:numCache>
            </c:numRef>
          </c:yVal>
          <c:smooth val="0"/>
          <c:extLst>
            <c:ext xmlns:c16="http://schemas.microsoft.com/office/drawing/2014/chart" uri="{C3380CC4-5D6E-409C-BE32-E72D297353CC}">
              <c16:uniqueId val="{00000009-DB2F-8F40-8603-E6E01CDDAFCD}"/>
            </c:ext>
          </c:extLst>
        </c:ser>
        <c:dLbls>
          <c:showLegendKey val="0"/>
          <c:showVal val="0"/>
          <c:showCatName val="0"/>
          <c:showSerName val="0"/>
          <c:showPercent val="0"/>
          <c:showBubbleSize val="0"/>
        </c:dLbls>
        <c:axId val="2146681240"/>
        <c:axId val="2146684312"/>
      </c:scatterChart>
      <c:valAx>
        <c:axId val="2146681240"/>
        <c:scaling>
          <c:orientation val="minMax"/>
          <c:max val="0.9"/>
          <c:min val="-0.4"/>
        </c:scaling>
        <c:delete val="0"/>
        <c:axPos val="b"/>
        <c:numFmt formatCode="0.000" sourceLinked="1"/>
        <c:majorTickMark val="out"/>
        <c:minorTickMark val="none"/>
        <c:tickLblPos val="low"/>
        <c:crossAx val="2146684312"/>
        <c:crosses val="autoZero"/>
        <c:crossBetween val="midCat"/>
        <c:majorUnit val="0.1"/>
      </c:valAx>
      <c:valAx>
        <c:axId val="2146684312"/>
        <c:scaling>
          <c:orientation val="minMax"/>
          <c:max val="0.65"/>
          <c:min val="-0.65"/>
        </c:scaling>
        <c:delete val="0"/>
        <c:axPos val="l"/>
        <c:numFmt formatCode="0.000" sourceLinked="1"/>
        <c:majorTickMark val="out"/>
        <c:minorTickMark val="none"/>
        <c:tickLblPos val="low"/>
        <c:crossAx val="2146681240"/>
        <c:crosses val="autoZero"/>
        <c:crossBetween val="midCat"/>
        <c:majorUnit val="0.1"/>
      </c:valAx>
    </c:plotArea>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solidFill>
                <a:schemeClr val="tx1"/>
              </a:solidFill>
            </a:ln>
            <a:effectLst/>
          </c:spPr>
          <c:marker>
            <c:symbol val="circle"/>
            <c:size val="9"/>
            <c:spPr>
              <a:solidFill>
                <a:srgbClr val="FF0000"/>
              </a:solidFill>
              <a:ln>
                <a:solidFill>
                  <a:schemeClr val="tx1"/>
                </a:solidFill>
              </a:ln>
              <a:effectLst/>
            </c:spPr>
          </c:marker>
          <c:dPt>
            <c:idx val="0"/>
            <c:marker>
              <c:spPr>
                <a:solidFill>
                  <a:srgbClr val="CCFFCC"/>
                </a:solidFill>
                <a:ln>
                  <a:solidFill>
                    <a:schemeClr val="tx1"/>
                  </a:solidFill>
                </a:ln>
                <a:effectLst/>
              </c:spPr>
            </c:marker>
            <c:bubble3D val="0"/>
            <c:extLst>
              <c:ext xmlns:c16="http://schemas.microsoft.com/office/drawing/2014/chart" uri="{C3380CC4-5D6E-409C-BE32-E72D297353CC}">
                <c16:uniqueId val="{00000000-276D-5A4E-8465-DBF5C170825F}"/>
              </c:ext>
            </c:extLst>
          </c:dPt>
          <c:dPt>
            <c:idx val="1"/>
            <c:marker>
              <c:symbol val="circle"/>
              <c:size val="13"/>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1-276D-5A4E-8465-DBF5C170825F}"/>
              </c:ext>
            </c:extLst>
          </c:dPt>
          <c:dPt>
            <c:idx val="2"/>
            <c:marker>
              <c:spPr>
                <a:solidFill>
                  <a:srgbClr val="00FFFF"/>
                </a:solidFill>
                <a:ln>
                  <a:solidFill>
                    <a:schemeClr val="tx1"/>
                  </a:solidFill>
                </a:ln>
                <a:effectLst/>
              </c:spPr>
            </c:marker>
            <c:bubble3D val="0"/>
            <c:extLst>
              <c:ext xmlns:c16="http://schemas.microsoft.com/office/drawing/2014/chart" uri="{C3380CC4-5D6E-409C-BE32-E72D297353CC}">
                <c16:uniqueId val="{00000002-276D-5A4E-8465-DBF5C170825F}"/>
              </c:ext>
            </c:extLst>
          </c:dPt>
          <c:dPt>
            <c:idx val="3"/>
            <c:marker>
              <c:symbol val="circle"/>
              <c:size val="12"/>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3-276D-5A4E-8465-DBF5C170825F}"/>
              </c:ext>
            </c:extLst>
          </c:dPt>
          <c:dPt>
            <c:idx val="4"/>
            <c:marker>
              <c:spPr>
                <a:solidFill>
                  <a:srgbClr val="FFFF00"/>
                </a:solidFill>
                <a:ln>
                  <a:solidFill>
                    <a:schemeClr val="tx1"/>
                  </a:solidFill>
                </a:ln>
                <a:effectLst/>
              </c:spPr>
            </c:marker>
            <c:bubble3D val="0"/>
            <c:extLst>
              <c:ext xmlns:c16="http://schemas.microsoft.com/office/drawing/2014/chart" uri="{C3380CC4-5D6E-409C-BE32-E72D297353CC}">
                <c16:uniqueId val="{00000004-276D-5A4E-8465-DBF5C170825F}"/>
              </c:ext>
            </c:extLst>
          </c:dPt>
          <c:dPt>
            <c:idx val="5"/>
            <c:marker>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5-276D-5A4E-8465-DBF5C170825F}"/>
              </c:ext>
            </c:extLst>
          </c:dPt>
          <c:dPt>
            <c:idx val="6"/>
            <c:marker>
              <c:spPr>
                <a:solidFill>
                  <a:schemeClr val="accent6"/>
                </a:solidFill>
                <a:ln>
                  <a:solidFill>
                    <a:schemeClr val="tx1"/>
                  </a:solidFill>
                </a:ln>
                <a:effectLst/>
              </c:spPr>
            </c:marker>
            <c:bubble3D val="0"/>
            <c:extLst>
              <c:ext xmlns:c16="http://schemas.microsoft.com/office/drawing/2014/chart" uri="{C3380CC4-5D6E-409C-BE32-E72D297353CC}">
                <c16:uniqueId val="{00000006-276D-5A4E-8465-DBF5C170825F}"/>
              </c:ext>
            </c:extLst>
          </c:dPt>
          <c:dPt>
            <c:idx val="7"/>
            <c:marker>
              <c:symbol val="none"/>
            </c:marker>
            <c:bubble3D val="0"/>
            <c:spPr>
              <a:ln w="76200" cmpd="sng">
                <a:solidFill>
                  <a:srgbClr val="FF0000"/>
                </a:solidFill>
                <a:tailEnd type="none"/>
              </a:ln>
              <a:effectLst/>
            </c:spPr>
            <c:extLst>
              <c:ext xmlns:c16="http://schemas.microsoft.com/office/drawing/2014/chart" uri="{C3380CC4-5D6E-409C-BE32-E72D297353CC}">
                <c16:uniqueId val="{00000008-276D-5A4E-8465-DBF5C170825F}"/>
              </c:ext>
            </c:extLst>
          </c:dPt>
          <c:xVal>
            <c:numRef>
              <c:f>'Lft - Gravity correction'!$D$52:$D$59</c:f>
              <c:numCache>
                <c:formatCode>0.000</c:formatCode>
                <c:ptCount val="8"/>
                <c:pt idx="0">
                  <c:v>0</c:v>
                </c:pt>
                <c:pt idx="1">
                  <c:v>3.0121569422756001E-2</c:v>
                </c:pt>
                <c:pt idx="2">
                  <c:v>5.6598213872145808E-2</c:v>
                </c:pt>
                <c:pt idx="3">
                  <c:v>8.671439893556615E-2</c:v>
                </c:pt>
                <c:pt idx="4">
                  <c:v>0.12801435108680159</c:v>
                </c:pt>
                <c:pt idx="5">
                  <c:v>0.14442277829769501</c:v>
                </c:pt>
                <c:pt idx="6">
                  <c:v>0.15000000000000002</c:v>
                </c:pt>
                <c:pt idx="7">
                  <c:v>8.1211944529092389E-2</c:v>
                </c:pt>
              </c:numCache>
            </c:numRef>
          </c:xVal>
          <c:yVal>
            <c:numRef>
              <c:f>'Lft - Gravity correction'!$B$52:$B$59</c:f>
              <c:numCache>
                <c:formatCode>0.000</c:formatCode>
                <c:ptCount val="8"/>
                <c:pt idx="0">
                  <c:v>0</c:v>
                </c:pt>
                <c:pt idx="1">
                  <c:v>9.0488935049141211E-2</c:v>
                </c:pt>
                <c:pt idx="2">
                  <c:v>0.17002806285069749</c:v>
                </c:pt>
                <c:pt idx="3">
                  <c:v>0.26050082261576346</c:v>
                </c:pt>
                <c:pt idx="4">
                  <c:v>0.38457100751530737</c:v>
                </c:pt>
                <c:pt idx="5">
                  <c:v>0.43386396045896719</c:v>
                </c:pt>
                <c:pt idx="6">
                  <c:v>0.45061862703332134</c:v>
                </c:pt>
                <c:pt idx="7">
                  <c:v>0.43219461991007957</c:v>
                </c:pt>
              </c:numCache>
            </c:numRef>
          </c:yVal>
          <c:smooth val="0"/>
          <c:extLst>
            <c:ext xmlns:c16="http://schemas.microsoft.com/office/drawing/2014/chart" uri="{C3380CC4-5D6E-409C-BE32-E72D297353CC}">
              <c16:uniqueId val="{00000009-276D-5A4E-8465-DBF5C170825F}"/>
            </c:ext>
          </c:extLst>
        </c:ser>
        <c:dLbls>
          <c:showLegendKey val="0"/>
          <c:showVal val="0"/>
          <c:showCatName val="0"/>
          <c:showSerName val="0"/>
          <c:showPercent val="0"/>
          <c:showBubbleSize val="0"/>
        </c:dLbls>
        <c:axId val="2143964072"/>
        <c:axId val="2143967144"/>
      </c:scatterChart>
      <c:valAx>
        <c:axId val="2143964072"/>
        <c:scaling>
          <c:orientation val="minMax"/>
          <c:max val="0.9"/>
          <c:min val="-0.4"/>
        </c:scaling>
        <c:delete val="0"/>
        <c:axPos val="b"/>
        <c:numFmt formatCode="0.000" sourceLinked="1"/>
        <c:majorTickMark val="out"/>
        <c:minorTickMark val="none"/>
        <c:tickLblPos val="low"/>
        <c:crossAx val="2143967144"/>
        <c:crosses val="autoZero"/>
        <c:crossBetween val="midCat"/>
        <c:majorUnit val="0.1"/>
      </c:valAx>
      <c:valAx>
        <c:axId val="2143967144"/>
        <c:scaling>
          <c:orientation val="minMax"/>
          <c:max val="0.65"/>
          <c:min val="-0.65"/>
        </c:scaling>
        <c:delete val="0"/>
        <c:axPos val="l"/>
        <c:numFmt formatCode="0.000" sourceLinked="1"/>
        <c:majorTickMark val="out"/>
        <c:minorTickMark val="none"/>
        <c:tickLblPos val="low"/>
        <c:crossAx val="2143964072"/>
        <c:crosses val="autoZero"/>
        <c:crossBetween val="midCat"/>
        <c:majorUnit val="0.1"/>
      </c:valAx>
    </c:plotArea>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solidFill>
                <a:schemeClr val="tx1"/>
              </a:solidFill>
            </a:ln>
            <a:effectLst/>
          </c:spPr>
          <c:marker>
            <c:symbol val="circle"/>
            <c:size val="9"/>
            <c:spPr>
              <a:solidFill>
                <a:srgbClr val="FF0000"/>
              </a:solidFill>
              <a:ln>
                <a:solidFill>
                  <a:schemeClr val="tx1"/>
                </a:solidFill>
              </a:ln>
              <a:effectLst/>
            </c:spPr>
          </c:marker>
          <c:dPt>
            <c:idx val="0"/>
            <c:marker>
              <c:spPr>
                <a:solidFill>
                  <a:srgbClr val="CCFFCC"/>
                </a:solidFill>
                <a:ln>
                  <a:solidFill>
                    <a:schemeClr val="tx1"/>
                  </a:solidFill>
                </a:ln>
                <a:effectLst/>
              </c:spPr>
            </c:marker>
            <c:bubble3D val="0"/>
            <c:extLst>
              <c:ext xmlns:c16="http://schemas.microsoft.com/office/drawing/2014/chart" uri="{C3380CC4-5D6E-409C-BE32-E72D297353CC}">
                <c16:uniqueId val="{00000000-9B1D-9841-8783-AB5F6FCE51B7}"/>
              </c:ext>
            </c:extLst>
          </c:dPt>
          <c:dPt>
            <c:idx val="1"/>
            <c:marker>
              <c:symbol val="circle"/>
              <c:size val="13"/>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1-9B1D-9841-8783-AB5F6FCE51B7}"/>
              </c:ext>
            </c:extLst>
          </c:dPt>
          <c:dPt>
            <c:idx val="2"/>
            <c:marker>
              <c:spPr>
                <a:solidFill>
                  <a:srgbClr val="00FFFF"/>
                </a:solidFill>
                <a:ln>
                  <a:solidFill>
                    <a:schemeClr val="tx1"/>
                  </a:solidFill>
                </a:ln>
                <a:effectLst/>
              </c:spPr>
            </c:marker>
            <c:bubble3D val="0"/>
            <c:extLst>
              <c:ext xmlns:c16="http://schemas.microsoft.com/office/drawing/2014/chart" uri="{C3380CC4-5D6E-409C-BE32-E72D297353CC}">
                <c16:uniqueId val="{00000002-9B1D-9841-8783-AB5F6FCE51B7}"/>
              </c:ext>
            </c:extLst>
          </c:dPt>
          <c:dPt>
            <c:idx val="3"/>
            <c:marker>
              <c:symbol val="circle"/>
              <c:size val="12"/>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3-9B1D-9841-8783-AB5F6FCE51B7}"/>
              </c:ext>
            </c:extLst>
          </c:dPt>
          <c:dPt>
            <c:idx val="4"/>
            <c:marker>
              <c:spPr>
                <a:solidFill>
                  <a:srgbClr val="FFFF00"/>
                </a:solidFill>
                <a:ln>
                  <a:solidFill>
                    <a:schemeClr val="tx1"/>
                  </a:solidFill>
                </a:ln>
                <a:effectLst/>
              </c:spPr>
            </c:marker>
            <c:bubble3D val="0"/>
            <c:extLst>
              <c:ext xmlns:c16="http://schemas.microsoft.com/office/drawing/2014/chart" uri="{C3380CC4-5D6E-409C-BE32-E72D297353CC}">
                <c16:uniqueId val="{00000004-9B1D-9841-8783-AB5F6FCE51B7}"/>
              </c:ext>
            </c:extLst>
          </c:dPt>
          <c:dPt>
            <c:idx val="5"/>
            <c:marker>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5-9B1D-9841-8783-AB5F6FCE51B7}"/>
              </c:ext>
            </c:extLst>
          </c:dPt>
          <c:dPt>
            <c:idx val="6"/>
            <c:marker>
              <c:spPr>
                <a:solidFill>
                  <a:schemeClr val="accent6"/>
                </a:solidFill>
                <a:ln>
                  <a:solidFill>
                    <a:schemeClr val="tx1"/>
                  </a:solidFill>
                </a:ln>
                <a:effectLst/>
              </c:spPr>
            </c:marker>
            <c:bubble3D val="0"/>
            <c:extLst>
              <c:ext xmlns:c16="http://schemas.microsoft.com/office/drawing/2014/chart" uri="{C3380CC4-5D6E-409C-BE32-E72D297353CC}">
                <c16:uniqueId val="{00000006-9B1D-9841-8783-AB5F6FCE51B7}"/>
              </c:ext>
            </c:extLst>
          </c:dPt>
          <c:dPt>
            <c:idx val="7"/>
            <c:marker>
              <c:symbol val="none"/>
            </c:marker>
            <c:bubble3D val="0"/>
            <c:spPr>
              <a:ln w="76200" cap="flat" cmpd="sng">
                <a:solidFill>
                  <a:srgbClr val="FF0000"/>
                </a:solidFill>
                <a:headEnd type="none"/>
                <a:tailEnd type="none"/>
              </a:ln>
              <a:effectLst/>
            </c:spPr>
            <c:extLst>
              <c:ext xmlns:c16="http://schemas.microsoft.com/office/drawing/2014/chart" uri="{C3380CC4-5D6E-409C-BE32-E72D297353CC}">
                <c16:uniqueId val="{00000008-9B1D-9841-8783-AB5F6FCE51B7}"/>
              </c:ext>
            </c:extLst>
          </c:dPt>
          <c:xVal>
            <c:numRef>
              <c:f>'Rt - Gravity correction'!$B$52:$B$59</c:f>
              <c:numCache>
                <c:formatCode>0.000</c:formatCode>
                <c:ptCount val="8"/>
                <c:pt idx="0">
                  <c:v>0</c:v>
                </c:pt>
                <c:pt idx="1">
                  <c:v>0.12561045606694063</c:v>
                </c:pt>
                <c:pt idx="2">
                  <c:v>0.23602115006941116</c:v>
                </c:pt>
                <c:pt idx="3">
                  <c:v>0.24707494060456281</c:v>
                </c:pt>
                <c:pt idx="4">
                  <c:v>0.2622336009471718</c:v>
                </c:pt>
                <c:pt idx="5">
                  <c:v>0.26825612063280091</c:v>
                </c:pt>
                <c:pt idx="6">
                  <c:v>0.27030317408049215</c:v>
                </c:pt>
                <c:pt idx="7">
                  <c:v>0.51990999752023681</c:v>
                </c:pt>
              </c:numCache>
            </c:numRef>
          </c:xVal>
          <c:yVal>
            <c:numRef>
              <c:f>'Rt - Gravity correction'!$C$52:$C$59</c:f>
              <c:numCache>
                <c:formatCode>0.000</c:formatCode>
                <c:ptCount val="8"/>
                <c:pt idx="0">
                  <c:v>0</c:v>
                </c:pt>
                <c:pt idx="1">
                  <c:v>9.7290543856601765E-3</c:v>
                </c:pt>
                <c:pt idx="2">
                  <c:v>1.8280823723525321E-2</c:v>
                </c:pt>
                <c:pt idx="3">
                  <c:v>0.11277578783163884</c:v>
                </c:pt>
                <c:pt idx="4">
                  <c:v>0.24236183891943122</c:v>
                </c:pt>
                <c:pt idx="5">
                  <c:v>0.29384623965275142</c:v>
                </c:pt>
                <c:pt idx="6">
                  <c:v>0.31134577896931742</c:v>
                </c:pt>
                <c:pt idx="7">
                  <c:v>6.6108923885819681E-2</c:v>
                </c:pt>
              </c:numCache>
            </c:numRef>
          </c:yVal>
          <c:smooth val="0"/>
          <c:extLst>
            <c:ext xmlns:c16="http://schemas.microsoft.com/office/drawing/2014/chart" uri="{C3380CC4-5D6E-409C-BE32-E72D297353CC}">
              <c16:uniqueId val="{00000009-9B1D-9841-8783-AB5F6FCE51B7}"/>
            </c:ext>
          </c:extLst>
        </c:ser>
        <c:dLbls>
          <c:showLegendKey val="0"/>
          <c:showVal val="0"/>
          <c:showCatName val="0"/>
          <c:showSerName val="0"/>
          <c:showPercent val="0"/>
          <c:showBubbleSize val="0"/>
        </c:dLbls>
        <c:axId val="2129487032"/>
        <c:axId val="2129490104"/>
      </c:scatterChart>
      <c:valAx>
        <c:axId val="2129487032"/>
        <c:scaling>
          <c:orientation val="minMax"/>
          <c:max val="0.9"/>
          <c:min val="-0.4"/>
        </c:scaling>
        <c:delete val="0"/>
        <c:axPos val="b"/>
        <c:numFmt formatCode="0.000" sourceLinked="1"/>
        <c:majorTickMark val="out"/>
        <c:minorTickMark val="none"/>
        <c:tickLblPos val="low"/>
        <c:crossAx val="2129490104"/>
        <c:crosses val="autoZero"/>
        <c:crossBetween val="midCat"/>
        <c:majorUnit val="0.1"/>
      </c:valAx>
      <c:valAx>
        <c:axId val="2129490104"/>
        <c:scaling>
          <c:orientation val="minMax"/>
          <c:max val="0.7"/>
          <c:min val="-0.6"/>
        </c:scaling>
        <c:delete val="0"/>
        <c:axPos val="l"/>
        <c:numFmt formatCode="0.000" sourceLinked="1"/>
        <c:majorTickMark val="out"/>
        <c:minorTickMark val="none"/>
        <c:tickLblPos val="low"/>
        <c:crossAx val="2129487032"/>
        <c:crosses val="autoZero"/>
        <c:crossBetween val="midCat"/>
        <c:majorUnit val="0.1"/>
      </c:valAx>
    </c:plotArea>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solidFill>
                <a:schemeClr val="tx1"/>
              </a:solidFill>
            </a:ln>
            <a:effectLst/>
          </c:spPr>
          <c:marker>
            <c:symbol val="circle"/>
            <c:size val="9"/>
            <c:spPr>
              <a:solidFill>
                <a:srgbClr val="FF0000"/>
              </a:solidFill>
              <a:ln>
                <a:solidFill>
                  <a:schemeClr val="tx1"/>
                </a:solidFill>
              </a:ln>
              <a:effectLst/>
            </c:spPr>
          </c:marker>
          <c:dPt>
            <c:idx val="0"/>
            <c:marker>
              <c:spPr>
                <a:solidFill>
                  <a:srgbClr val="CCFFCC"/>
                </a:solidFill>
                <a:ln>
                  <a:solidFill>
                    <a:schemeClr val="tx1"/>
                  </a:solidFill>
                </a:ln>
                <a:effectLst/>
              </c:spPr>
            </c:marker>
            <c:bubble3D val="0"/>
            <c:extLst>
              <c:ext xmlns:c16="http://schemas.microsoft.com/office/drawing/2014/chart" uri="{C3380CC4-5D6E-409C-BE32-E72D297353CC}">
                <c16:uniqueId val="{00000000-7415-6945-821D-915A672A46CF}"/>
              </c:ext>
            </c:extLst>
          </c:dPt>
          <c:dPt>
            <c:idx val="1"/>
            <c:marker>
              <c:symbol val="circle"/>
              <c:size val="13"/>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1-7415-6945-821D-915A672A46CF}"/>
              </c:ext>
            </c:extLst>
          </c:dPt>
          <c:dPt>
            <c:idx val="2"/>
            <c:marker>
              <c:spPr>
                <a:solidFill>
                  <a:srgbClr val="00FFFF"/>
                </a:solidFill>
                <a:ln>
                  <a:solidFill>
                    <a:schemeClr val="tx1"/>
                  </a:solidFill>
                </a:ln>
                <a:effectLst/>
              </c:spPr>
            </c:marker>
            <c:bubble3D val="0"/>
            <c:extLst>
              <c:ext xmlns:c16="http://schemas.microsoft.com/office/drawing/2014/chart" uri="{C3380CC4-5D6E-409C-BE32-E72D297353CC}">
                <c16:uniqueId val="{00000002-7415-6945-821D-915A672A46CF}"/>
              </c:ext>
            </c:extLst>
          </c:dPt>
          <c:dPt>
            <c:idx val="3"/>
            <c:marker>
              <c:symbol val="circle"/>
              <c:size val="12"/>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3-7415-6945-821D-915A672A46CF}"/>
              </c:ext>
            </c:extLst>
          </c:dPt>
          <c:dPt>
            <c:idx val="4"/>
            <c:marker>
              <c:spPr>
                <a:solidFill>
                  <a:srgbClr val="FFFF00"/>
                </a:solidFill>
                <a:ln>
                  <a:solidFill>
                    <a:schemeClr val="tx1"/>
                  </a:solidFill>
                </a:ln>
                <a:effectLst/>
              </c:spPr>
            </c:marker>
            <c:bubble3D val="0"/>
            <c:extLst>
              <c:ext xmlns:c16="http://schemas.microsoft.com/office/drawing/2014/chart" uri="{C3380CC4-5D6E-409C-BE32-E72D297353CC}">
                <c16:uniqueId val="{00000004-7415-6945-821D-915A672A46CF}"/>
              </c:ext>
            </c:extLst>
          </c:dPt>
          <c:dPt>
            <c:idx val="5"/>
            <c:marker>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5-7415-6945-821D-915A672A46CF}"/>
              </c:ext>
            </c:extLst>
          </c:dPt>
          <c:dPt>
            <c:idx val="6"/>
            <c:marker>
              <c:spPr>
                <a:solidFill>
                  <a:schemeClr val="accent6"/>
                </a:solidFill>
                <a:ln>
                  <a:solidFill>
                    <a:schemeClr val="tx1"/>
                  </a:solidFill>
                </a:ln>
                <a:effectLst/>
              </c:spPr>
            </c:marker>
            <c:bubble3D val="0"/>
            <c:extLst>
              <c:ext xmlns:c16="http://schemas.microsoft.com/office/drawing/2014/chart" uri="{C3380CC4-5D6E-409C-BE32-E72D297353CC}">
                <c16:uniqueId val="{00000006-7415-6945-821D-915A672A46CF}"/>
              </c:ext>
            </c:extLst>
          </c:dPt>
          <c:dPt>
            <c:idx val="7"/>
            <c:marker>
              <c:symbol val="none"/>
            </c:marker>
            <c:bubble3D val="0"/>
            <c:spPr>
              <a:ln w="76200" cmpd="sng">
                <a:solidFill>
                  <a:srgbClr val="FF0000"/>
                </a:solidFill>
                <a:headEnd type="none"/>
                <a:tailEnd type="none"/>
              </a:ln>
              <a:effectLst/>
            </c:spPr>
            <c:extLst>
              <c:ext xmlns:c16="http://schemas.microsoft.com/office/drawing/2014/chart" uri="{C3380CC4-5D6E-409C-BE32-E72D297353CC}">
                <c16:uniqueId val="{00000008-7415-6945-821D-915A672A46CF}"/>
              </c:ext>
            </c:extLst>
          </c:dPt>
          <c:xVal>
            <c:numRef>
              <c:f>'Rt - Gravity correction'!$D$52:$D$59</c:f>
              <c:numCache>
                <c:formatCode>0.000</c:formatCode>
                <c:ptCount val="8"/>
                <c:pt idx="0">
                  <c:v>0</c:v>
                </c:pt>
                <c:pt idx="1">
                  <c:v>9.2940422541642628E-2</c:v>
                </c:pt>
                <c:pt idx="2">
                  <c:v>0.17463439034506317</c:v>
                </c:pt>
                <c:pt idx="3">
                  <c:v>0.18281319961931908</c:v>
                </c:pt>
                <c:pt idx="4">
                  <c:v>0.19402924278579331</c:v>
                </c:pt>
                <c:pt idx="5">
                  <c:v>0.19848536484659879</c:v>
                </c:pt>
                <c:pt idx="6">
                  <c:v>0.2</c:v>
                </c:pt>
                <c:pt idx="7">
                  <c:v>0.24441971515022617</c:v>
                </c:pt>
              </c:numCache>
            </c:numRef>
          </c:xVal>
          <c:yVal>
            <c:numRef>
              <c:f>'Rt - Gravity correction'!$C$52:$C$59</c:f>
              <c:numCache>
                <c:formatCode>0.000</c:formatCode>
                <c:ptCount val="8"/>
                <c:pt idx="0">
                  <c:v>0</c:v>
                </c:pt>
                <c:pt idx="1">
                  <c:v>9.7290543856601765E-3</c:v>
                </c:pt>
                <c:pt idx="2">
                  <c:v>1.8280823723525321E-2</c:v>
                </c:pt>
                <c:pt idx="3">
                  <c:v>0.11277578783163884</c:v>
                </c:pt>
                <c:pt idx="4">
                  <c:v>0.24236183891943122</c:v>
                </c:pt>
                <c:pt idx="5">
                  <c:v>0.29384623965275142</c:v>
                </c:pt>
                <c:pt idx="6">
                  <c:v>0.31134577896931742</c:v>
                </c:pt>
                <c:pt idx="7">
                  <c:v>6.6108923885819681E-2</c:v>
                </c:pt>
              </c:numCache>
            </c:numRef>
          </c:yVal>
          <c:smooth val="0"/>
          <c:extLst>
            <c:ext xmlns:c16="http://schemas.microsoft.com/office/drawing/2014/chart" uri="{C3380CC4-5D6E-409C-BE32-E72D297353CC}">
              <c16:uniqueId val="{00000009-7415-6945-821D-915A672A46CF}"/>
            </c:ext>
          </c:extLst>
        </c:ser>
        <c:dLbls>
          <c:showLegendKey val="0"/>
          <c:showVal val="0"/>
          <c:showCatName val="0"/>
          <c:showSerName val="0"/>
          <c:showPercent val="0"/>
          <c:showBubbleSize val="0"/>
        </c:dLbls>
        <c:axId val="2144890504"/>
        <c:axId val="2144893576"/>
      </c:scatterChart>
      <c:valAx>
        <c:axId val="2144890504"/>
        <c:scaling>
          <c:orientation val="minMax"/>
          <c:max val="0.9"/>
          <c:min val="-0.4"/>
        </c:scaling>
        <c:delete val="0"/>
        <c:axPos val="b"/>
        <c:numFmt formatCode="0.000" sourceLinked="1"/>
        <c:majorTickMark val="out"/>
        <c:minorTickMark val="none"/>
        <c:tickLblPos val="low"/>
        <c:crossAx val="2144893576"/>
        <c:crosses val="autoZero"/>
        <c:crossBetween val="midCat"/>
        <c:majorUnit val="0.1"/>
      </c:valAx>
      <c:valAx>
        <c:axId val="2144893576"/>
        <c:scaling>
          <c:orientation val="minMax"/>
          <c:max val="0.65"/>
          <c:min val="-0.65"/>
        </c:scaling>
        <c:delete val="0"/>
        <c:axPos val="l"/>
        <c:numFmt formatCode="0.000" sourceLinked="1"/>
        <c:majorTickMark val="out"/>
        <c:minorTickMark val="none"/>
        <c:tickLblPos val="low"/>
        <c:crossAx val="2144890504"/>
        <c:crosses val="autoZero"/>
        <c:crossBetween val="midCat"/>
        <c:majorUnit val="0.1"/>
      </c:valAx>
    </c:plotArea>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solidFill>
                <a:schemeClr val="tx1"/>
              </a:solidFill>
            </a:ln>
            <a:effectLst/>
          </c:spPr>
          <c:marker>
            <c:symbol val="circle"/>
            <c:size val="9"/>
            <c:spPr>
              <a:solidFill>
                <a:srgbClr val="FF0000"/>
              </a:solidFill>
              <a:ln>
                <a:solidFill>
                  <a:schemeClr val="tx1"/>
                </a:solidFill>
              </a:ln>
              <a:effectLst/>
            </c:spPr>
          </c:marker>
          <c:dPt>
            <c:idx val="0"/>
            <c:marker>
              <c:spPr>
                <a:solidFill>
                  <a:srgbClr val="CCFFCC"/>
                </a:solidFill>
                <a:ln>
                  <a:solidFill>
                    <a:schemeClr val="tx1"/>
                  </a:solidFill>
                </a:ln>
                <a:effectLst/>
              </c:spPr>
            </c:marker>
            <c:bubble3D val="0"/>
            <c:extLst>
              <c:ext xmlns:c16="http://schemas.microsoft.com/office/drawing/2014/chart" uri="{C3380CC4-5D6E-409C-BE32-E72D297353CC}">
                <c16:uniqueId val="{00000000-FFAE-0449-A3DE-6249DAAA74DB}"/>
              </c:ext>
            </c:extLst>
          </c:dPt>
          <c:dPt>
            <c:idx val="1"/>
            <c:marker>
              <c:symbol val="circle"/>
              <c:size val="13"/>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1-FFAE-0449-A3DE-6249DAAA74DB}"/>
              </c:ext>
            </c:extLst>
          </c:dPt>
          <c:dPt>
            <c:idx val="2"/>
            <c:marker>
              <c:spPr>
                <a:solidFill>
                  <a:srgbClr val="00FFFF"/>
                </a:solidFill>
                <a:ln>
                  <a:solidFill>
                    <a:schemeClr val="tx1"/>
                  </a:solidFill>
                </a:ln>
                <a:effectLst/>
              </c:spPr>
            </c:marker>
            <c:bubble3D val="0"/>
            <c:extLst>
              <c:ext xmlns:c16="http://schemas.microsoft.com/office/drawing/2014/chart" uri="{C3380CC4-5D6E-409C-BE32-E72D297353CC}">
                <c16:uniqueId val="{00000002-FFAE-0449-A3DE-6249DAAA74DB}"/>
              </c:ext>
            </c:extLst>
          </c:dPt>
          <c:dPt>
            <c:idx val="3"/>
            <c:marker>
              <c:symbol val="circle"/>
              <c:size val="12"/>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3-FFAE-0449-A3DE-6249DAAA74DB}"/>
              </c:ext>
            </c:extLst>
          </c:dPt>
          <c:dPt>
            <c:idx val="4"/>
            <c:marker>
              <c:spPr>
                <a:solidFill>
                  <a:srgbClr val="FFFF00"/>
                </a:solidFill>
                <a:ln>
                  <a:solidFill>
                    <a:schemeClr val="tx1"/>
                  </a:solidFill>
                </a:ln>
                <a:effectLst/>
              </c:spPr>
            </c:marker>
            <c:bubble3D val="0"/>
            <c:extLst>
              <c:ext xmlns:c16="http://schemas.microsoft.com/office/drawing/2014/chart" uri="{C3380CC4-5D6E-409C-BE32-E72D297353CC}">
                <c16:uniqueId val="{00000004-FFAE-0449-A3DE-6249DAAA74DB}"/>
              </c:ext>
            </c:extLst>
          </c:dPt>
          <c:dPt>
            <c:idx val="5"/>
            <c:marker>
              <c:spPr>
                <a:solidFill>
                  <a:schemeClr val="bg1">
                    <a:lumMod val="85000"/>
                  </a:schemeClr>
                </a:solidFill>
                <a:ln>
                  <a:solidFill>
                    <a:schemeClr val="tx1"/>
                  </a:solidFill>
                </a:ln>
                <a:effectLst/>
              </c:spPr>
            </c:marker>
            <c:bubble3D val="0"/>
            <c:extLst>
              <c:ext xmlns:c16="http://schemas.microsoft.com/office/drawing/2014/chart" uri="{C3380CC4-5D6E-409C-BE32-E72D297353CC}">
                <c16:uniqueId val="{00000005-FFAE-0449-A3DE-6249DAAA74DB}"/>
              </c:ext>
            </c:extLst>
          </c:dPt>
          <c:dPt>
            <c:idx val="6"/>
            <c:marker>
              <c:spPr>
                <a:solidFill>
                  <a:schemeClr val="accent6"/>
                </a:solidFill>
                <a:ln>
                  <a:solidFill>
                    <a:schemeClr val="tx1"/>
                  </a:solidFill>
                </a:ln>
                <a:effectLst/>
              </c:spPr>
            </c:marker>
            <c:bubble3D val="0"/>
            <c:extLst>
              <c:ext xmlns:c16="http://schemas.microsoft.com/office/drawing/2014/chart" uri="{C3380CC4-5D6E-409C-BE32-E72D297353CC}">
                <c16:uniqueId val="{00000006-FFAE-0449-A3DE-6249DAAA74DB}"/>
              </c:ext>
            </c:extLst>
          </c:dPt>
          <c:dPt>
            <c:idx val="7"/>
            <c:marker>
              <c:symbol val="none"/>
            </c:marker>
            <c:bubble3D val="0"/>
            <c:spPr>
              <a:ln w="76200" cmpd="sng">
                <a:solidFill>
                  <a:srgbClr val="FF0000"/>
                </a:solidFill>
                <a:tailEnd type="none"/>
              </a:ln>
              <a:effectLst/>
            </c:spPr>
            <c:extLst>
              <c:ext xmlns:c16="http://schemas.microsoft.com/office/drawing/2014/chart" uri="{C3380CC4-5D6E-409C-BE32-E72D297353CC}">
                <c16:uniqueId val="{00000008-FFAE-0449-A3DE-6249DAAA74DB}"/>
              </c:ext>
            </c:extLst>
          </c:dPt>
          <c:xVal>
            <c:numRef>
              <c:f>'Rt - Gravity correction'!$D$52:$D$59</c:f>
              <c:numCache>
                <c:formatCode>0.000</c:formatCode>
                <c:ptCount val="8"/>
                <c:pt idx="0">
                  <c:v>0</c:v>
                </c:pt>
                <c:pt idx="1">
                  <c:v>9.2940422541642628E-2</c:v>
                </c:pt>
                <c:pt idx="2">
                  <c:v>0.17463439034506317</c:v>
                </c:pt>
                <c:pt idx="3">
                  <c:v>0.18281319961931908</c:v>
                </c:pt>
                <c:pt idx="4">
                  <c:v>0.19402924278579331</c:v>
                </c:pt>
                <c:pt idx="5">
                  <c:v>0.19848536484659879</c:v>
                </c:pt>
                <c:pt idx="6">
                  <c:v>0.2</c:v>
                </c:pt>
                <c:pt idx="7">
                  <c:v>0.24441971515022617</c:v>
                </c:pt>
              </c:numCache>
            </c:numRef>
          </c:xVal>
          <c:yVal>
            <c:numRef>
              <c:f>'Rt - Gravity correction'!$B$52:$B$59</c:f>
              <c:numCache>
                <c:formatCode>0.000</c:formatCode>
                <c:ptCount val="8"/>
                <c:pt idx="0">
                  <c:v>0</c:v>
                </c:pt>
                <c:pt idx="1">
                  <c:v>0.12561045606694063</c:v>
                </c:pt>
                <c:pt idx="2">
                  <c:v>0.23602115006941116</c:v>
                </c:pt>
                <c:pt idx="3">
                  <c:v>0.24707494060456281</c:v>
                </c:pt>
                <c:pt idx="4">
                  <c:v>0.2622336009471718</c:v>
                </c:pt>
                <c:pt idx="5">
                  <c:v>0.26825612063280091</c:v>
                </c:pt>
                <c:pt idx="6">
                  <c:v>0.27030317408049215</c:v>
                </c:pt>
                <c:pt idx="7">
                  <c:v>0.51990999752023681</c:v>
                </c:pt>
              </c:numCache>
            </c:numRef>
          </c:yVal>
          <c:smooth val="0"/>
          <c:extLst>
            <c:ext xmlns:c16="http://schemas.microsoft.com/office/drawing/2014/chart" uri="{C3380CC4-5D6E-409C-BE32-E72D297353CC}">
              <c16:uniqueId val="{00000009-FFAE-0449-A3DE-6249DAAA74DB}"/>
            </c:ext>
          </c:extLst>
        </c:ser>
        <c:dLbls>
          <c:showLegendKey val="0"/>
          <c:showVal val="0"/>
          <c:showCatName val="0"/>
          <c:showSerName val="0"/>
          <c:showPercent val="0"/>
          <c:showBubbleSize val="0"/>
        </c:dLbls>
        <c:axId val="2144934456"/>
        <c:axId val="2144937528"/>
      </c:scatterChart>
      <c:valAx>
        <c:axId val="2144934456"/>
        <c:scaling>
          <c:orientation val="minMax"/>
          <c:max val="0.9"/>
          <c:min val="-0.4"/>
        </c:scaling>
        <c:delete val="0"/>
        <c:axPos val="b"/>
        <c:numFmt formatCode="0.000" sourceLinked="1"/>
        <c:majorTickMark val="out"/>
        <c:minorTickMark val="none"/>
        <c:tickLblPos val="low"/>
        <c:crossAx val="2144937528"/>
        <c:crosses val="autoZero"/>
        <c:crossBetween val="midCat"/>
        <c:majorUnit val="0.1"/>
      </c:valAx>
      <c:valAx>
        <c:axId val="2144937528"/>
        <c:scaling>
          <c:orientation val="minMax"/>
          <c:max val="0.65"/>
          <c:min val="-0.65"/>
        </c:scaling>
        <c:delete val="0"/>
        <c:axPos val="l"/>
        <c:numFmt formatCode="0.000" sourceLinked="1"/>
        <c:majorTickMark val="out"/>
        <c:minorTickMark val="none"/>
        <c:tickLblPos val="low"/>
        <c:crossAx val="2144934456"/>
        <c:crosses val="autoZero"/>
        <c:crossBetween val="midCat"/>
        <c:majorUnit val="0.1"/>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4.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3.emf"/><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444959</xdr:colOff>
      <xdr:row>1</xdr:row>
      <xdr:rowOff>150219</xdr:rowOff>
    </xdr:from>
    <xdr:to>
      <xdr:col>17</xdr:col>
      <xdr:colOff>1265574</xdr:colOff>
      <xdr:row>27</xdr:row>
      <xdr:rowOff>138823</xdr:rowOff>
    </xdr:to>
    <xdr:graphicFrame macro="">
      <xdr:nvGraphicFramePr>
        <xdr:cNvPr id="4" name="Chart 3">
          <a:extLst>
            <a:ext uri="{FF2B5EF4-FFF2-40B4-BE49-F238E27FC236}">
              <a16:creationId xmlns:a16="http://schemas.microsoft.com/office/drawing/2014/main" id="{05553DE2-E266-1E47-ACE0-E35CE6A34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1382241</xdr:colOff>
      <xdr:row>1</xdr:row>
      <xdr:rowOff>112536</xdr:rowOff>
    </xdr:from>
    <xdr:to>
      <xdr:col>17</xdr:col>
      <xdr:colOff>5954241</xdr:colOff>
      <xdr:row>27</xdr:row>
      <xdr:rowOff>98474</xdr:rowOff>
    </xdr:to>
    <xdr:graphicFrame macro="">
      <xdr:nvGraphicFramePr>
        <xdr:cNvPr id="6" name="Chart 5">
          <a:extLst>
            <a:ext uri="{FF2B5EF4-FFF2-40B4-BE49-F238E27FC236}">
              <a16:creationId xmlns:a16="http://schemas.microsoft.com/office/drawing/2014/main" id="{DFD51615-7D6C-934D-B105-517A41342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219673</xdr:colOff>
      <xdr:row>3</xdr:row>
      <xdr:rowOff>6791</xdr:rowOff>
    </xdr:from>
    <xdr:to>
      <xdr:col>4</xdr:col>
      <xdr:colOff>372663</xdr:colOff>
      <xdr:row>3</xdr:row>
      <xdr:rowOff>166390</xdr:rowOff>
    </xdr:to>
    <xdr:pic>
      <xdr:nvPicPr>
        <xdr:cNvPr id="5" name="Picture 4" descr="Related image">
          <a:extLst>
            <a:ext uri="{FF2B5EF4-FFF2-40B4-BE49-F238E27FC236}">
              <a16:creationId xmlns:a16="http://schemas.microsoft.com/office/drawing/2014/main" id="{BED40BC3-0929-1248-9027-2B578B6A914A}"/>
            </a:ext>
          </a:extLst>
        </xdr:cNvPr>
        <xdr:cNvPicPr>
          <a:picLocks noChangeAspect="1" noChangeArrowheads="1"/>
        </xdr:cNvPicPr>
      </xdr:nvPicPr>
      <xdr:blipFill rotWithShape="1">
        <a:blip xmlns:r="http://schemas.openxmlformats.org/officeDocument/2006/relationships" r:embed="rId3" cstate="hqprint">
          <a:extLst>
            <a:ext uri="{28A0092B-C50C-407E-A947-70E740481C1C}">
              <a14:useLocalDpi xmlns:a14="http://schemas.microsoft.com/office/drawing/2010/main"/>
            </a:ext>
          </a:extLst>
        </a:blip>
        <a:srcRect/>
        <a:stretch/>
      </xdr:blipFill>
      <xdr:spPr bwMode="auto">
        <a:xfrm>
          <a:off x="4989229" y="585347"/>
          <a:ext cx="152990" cy="159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1782996</xdr:colOff>
      <xdr:row>17</xdr:row>
      <xdr:rowOff>147929</xdr:rowOff>
    </xdr:from>
    <xdr:to>
      <xdr:col>17</xdr:col>
      <xdr:colOff>2619941</xdr:colOff>
      <xdr:row>23</xdr:row>
      <xdr:rowOff>28193</xdr:rowOff>
    </xdr:to>
    <xdr:pic>
      <xdr:nvPicPr>
        <xdr:cNvPr id="3" name="Picture 2">
          <a:extLst>
            <a:ext uri="{FF2B5EF4-FFF2-40B4-BE49-F238E27FC236}">
              <a16:creationId xmlns:a16="http://schemas.microsoft.com/office/drawing/2014/main" id="{8A49A9E1-A91F-BE43-94AD-97F3B09F6329}"/>
            </a:ext>
          </a:extLst>
        </xdr:cNvPr>
        <xdr:cNvPicPr>
          <a:picLocks noChangeAspect="1"/>
        </xdr:cNvPicPr>
      </xdr:nvPicPr>
      <xdr:blipFill>
        <a:blip xmlns:r="http://schemas.openxmlformats.org/officeDocument/2006/relationships" r:embed="rId4"/>
        <a:stretch>
          <a:fillRect/>
        </a:stretch>
      </xdr:blipFill>
      <xdr:spPr>
        <a:xfrm>
          <a:off x="14631613" y="3160801"/>
          <a:ext cx="836945" cy="934094"/>
        </a:xfrm>
        <a:prstGeom prst="rect">
          <a:avLst/>
        </a:prstGeom>
      </xdr:spPr>
    </xdr:pic>
    <xdr:clientData/>
  </xdr:twoCellAnchor>
  <xdr:twoCellAnchor editAs="oneCell">
    <xdr:from>
      <xdr:col>11</xdr:col>
      <xdr:colOff>198526</xdr:colOff>
      <xdr:row>18</xdr:row>
      <xdr:rowOff>14582</xdr:rowOff>
    </xdr:from>
    <xdr:to>
      <xdr:col>13</xdr:col>
      <xdr:colOff>37902</xdr:colOff>
      <xdr:row>23</xdr:row>
      <xdr:rowOff>70485</xdr:rowOff>
    </xdr:to>
    <xdr:pic>
      <xdr:nvPicPr>
        <xdr:cNvPr id="7" name="Picture 6">
          <a:extLst>
            <a:ext uri="{FF2B5EF4-FFF2-40B4-BE49-F238E27FC236}">
              <a16:creationId xmlns:a16="http://schemas.microsoft.com/office/drawing/2014/main" id="{CCA77FBD-5587-C441-A0D5-F3D0DAFC0E68}"/>
            </a:ext>
          </a:extLst>
        </xdr:cNvPr>
        <xdr:cNvPicPr>
          <a:picLocks noChangeAspect="1"/>
        </xdr:cNvPicPr>
      </xdr:nvPicPr>
      <xdr:blipFill>
        <a:blip xmlns:r="http://schemas.openxmlformats.org/officeDocument/2006/relationships" r:embed="rId5"/>
        <a:stretch>
          <a:fillRect/>
        </a:stretch>
      </xdr:blipFill>
      <xdr:spPr>
        <a:xfrm>
          <a:off x="10053726" y="3240382"/>
          <a:ext cx="829976" cy="944903"/>
        </a:xfrm>
        <a:prstGeom prst="rect">
          <a:avLst/>
        </a:prstGeom>
      </xdr:spPr>
    </xdr:pic>
    <xdr:clientData/>
  </xdr:twoCellAnchor>
  <xdr:twoCellAnchor>
    <xdr:from>
      <xdr:col>15</xdr:col>
      <xdr:colOff>197828</xdr:colOff>
      <xdr:row>29</xdr:row>
      <xdr:rowOff>134327</xdr:rowOff>
    </xdr:from>
    <xdr:to>
      <xdr:col>17</xdr:col>
      <xdr:colOff>3774995</xdr:colOff>
      <xdr:row>55</xdr:row>
      <xdr:rowOff>134328</xdr:rowOff>
    </xdr:to>
    <xdr:graphicFrame macro="">
      <xdr:nvGraphicFramePr>
        <xdr:cNvPr id="8" name="Chart 7">
          <a:extLst>
            <a:ext uri="{FF2B5EF4-FFF2-40B4-BE49-F238E27FC236}">
              <a16:creationId xmlns:a16="http://schemas.microsoft.com/office/drawing/2014/main" id="{D300066C-B5D4-B545-8131-C14E88B63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80725</xdr:colOff>
      <xdr:row>45</xdr:row>
      <xdr:rowOff>145898</xdr:rowOff>
    </xdr:from>
    <xdr:to>
      <xdr:col>17</xdr:col>
      <xdr:colOff>420695</xdr:colOff>
      <xdr:row>51</xdr:row>
      <xdr:rowOff>17919</xdr:rowOff>
    </xdr:to>
    <xdr:pic>
      <xdr:nvPicPr>
        <xdr:cNvPr id="10" name="Picture 9">
          <a:extLst>
            <a:ext uri="{FF2B5EF4-FFF2-40B4-BE49-F238E27FC236}">
              <a16:creationId xmlns:a16="http://schemas.microsoft.com/office/drawing/2014/main" id="{82B07E25-AE59-3742-858C-7C29D58DDDA1}"/>
            </a:ext>
          </a:extLst>
        </xdr:cNvPr>
        <xdr:cNvPicPr>
          <a:picLocks noChangeAspect="1"/>
        </xdr:cNvPicPr>
      </xdr:nvPicPr>
      <xdr:blipFill>
        <a:blip xmlns:r="http://schemas.openxmlformats.org/officeDocument/2006/relationships" r:embed="rId7"/>
        <a:stretch>
          <a:fillRect/>
        </a:stretch>
      </xdr:blipFill>
      <xdr:spPr>
        <a:xfrm>
          <a:off x="12412425" y="8172298"/>
          <a:ext cx="835270" cy="9388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66706</xdr:colOff>
      <xdr:row>62</xdr:row>
      <xdr:rowOff>50029</xdr:rowOff>
    </xdr:from>
    <xdr:to>
      <xdr:col>13</xdr:col>
      <xdr:colOff>700554</xdr:colOff>
      <xdr:row>86</xdr:row>
      <xdr:rowOff>96671</xdr:rowOff>
    </xdr:to>
    <xdr:pic>
      <xdr:nvPicPr>
        <xdr:cNvPr id="6" name="Picture 5">
          <a:extLst>
            <a:ext uri="{FF2B5EF4-FFF2-40B4-BE49-F238E27FC236}">
              <a16:creationId xmlns:a16="http://schemas.microsoft.com/office/drawing/2014/main" id="{27D57D14-F28F-1B49-A641-3797EE55B2F2}"/>
            </a:ext>
          </a:extLst>
        </xdr:cNvPr>
        <xdr:cNvPicPr>
          <a:picLocks noChangeAspect="1"/>
        </xdr:cNvPicPr>
      </xdr:nvPicPr>
      <xdr:blipFill rotWithShape="1">
        <a:blip xmlns:r="http://schemas.openxmlformats.org/officeDocument/2006/relationships" r:embed="rId1" cstate="hqprint">
          <a:extLst>
            <a:ext uri="{28A0092B-C50C-407E-A947-70E740481C1C}">
              <a14:useLocalDpi xmlns:a14="http://schemas.microsoft.com/office/drawing/2010/main"/>
            </a:ext>
          </a:extLst>
        </a:blip>
        <a:srcRect/>
        <a:stretch/>
      </xdr:blipFill>
      <xdr:spPr>
        <a:xfrm>
          <a:off x="66706" y="10787302"/>
          <a:ext cx="10897757" cy="4203005"/>
        </a:xfrm>
        <a:prstGeom prst="rect">
          <a:avLst/>
        </a:prstGeom>
      </xdr:spPr>
    </xdr:pic>
    <xdr:clientData/>
  </xdr:twoCellAnchor>
  <xdr:twoCellAnchor editAs="oneCell">
    <xdr:from>
      <xdr:col>23</xdr:col>
      <xdr:colOff>519546</xdr:colOff>
      <xdr:row>12</xdr:row>
      <xdr:rowOff>127001</xdr:rowOff>
    </xdr:from>
    <xdr:to>
      <xdr:col>42</xdr:col>
      <xdr:colOff>225544</xdr:colOff>
      <xdr:row>55</xdr:row>
      <xdr:rowOff>92365</xdr:rowOff>
    </xdr:to>
    <xdr:pic>
      <xdr:nvPicPr>
        <xdr:cNvPr id="7" name="Picture 6">
          <a:extLst>
            <a:ext uri="{FF2B5EF4-FFF2-40B4-BE49-F238E27FC236}">
              <a16:creationId xmlns:a16="http://schemas.microsoft.com/office/drawing/2014/main" id="{3664D735-15F1-0642-8E46-707CE1B73323}"/>
            </a:ext>
          </a:extLst>
        </xdr:cNvPr>
        <xdr:cNvPicPr>
          <a:picLocks noChangeAspect="1"/>
        </xdr:cNvPicPr>
      </xdr:nvPicPr>
      <xdr:blipFill>
        <a:blip xmlns:r="http://schemas.openxmlformats.org/officeDocument/2006/relationships" r:embed="rId2"/>
        <a:stretch>
          <a:fillRect/>
        </a:stretch>
      </xdr:blipFill>
      <xdr:spPr>
        <a:xfrm>
          <a:off x="19096182" y="2205183"/>
          <a:ext cx="15500180" cy="7412182"/>
        </a:xfrm>
        <a:prstGeom prst="rect">
          <a:avLst/>
        </a:prstGeom>
      </xdr:spPr>
    </xdr:pic>
    <xdr:clientData/>
  </xdr:twoCellAnchor>
  <xdr:twoCellAnchor editAs="oneCell">
    <xdr:from>
      <xdr:col>0</xdr:col>
      <xdr:colOff>0</xdr:colOff>
      <xdr:row>0</xdr:row>
      <xdr:rowOff>0</xdr:rowOff>
    </xdr:from>
    <xdr:to>
      <xdr:col>23</xdr:col>
      <xdr:colOff>11546</xdr:colOff>
      <xdr:row>62</xdr:row>
      <xdr:rowOff>35695</xdr:rowOff>
    </xdr:to>
    <xdr:pic>
      <xdr:nvPicPr>
        <xdr:cNvPr id="142" name="Picture 141">
          <a:extLst>
            <a:ext uri="{FF2B5EF4-FFF2-40B4-BE49-F238E27FC236}">
              <a16:creationId xmlns:a16="http://schemas.microsoft.com/office/drawing/2014/main" id="{CD5DF89E-4522-1909-FB90-2D45DEF75DCF}"/>
            </a:ext>
          </a:extLst>
        </xdr:cNvPr>
        <xdr:cNvPicPr>
          <a:picLocks noChangeAspect="1"/>
        </xdr:cNvPicPr>
      </xdr:nvPicPr>
      <xdr:blipFill>
        <a:blip xmlns:r="http://schemas.openxmlformats.org/officeDocument/2006/relationships" r:embed="rId3"/>
        <a:stretch>
          <a:fillRect/>
        </a:stretch>
      </xdr:blipFill>
      <xdr:spPr>
        <a:xfrm>
          <a:off x="0" y="0"/>
          <a:ext cx="18588182" cy="10772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5</xdr:row>
      <xdr:rowOff>101600</xdr:rowOff>
    </xdr:from>
    <xdr:to>
      <xdr:col>9</xdr:col>
      <xdr:colOff>755650</xdr:colOff>
      <xdr:row>15</xdr:row>
      <xdr:rowOff>19050</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4127500" y="1587500"/>
          <a:ext cx="3790950" cy="1568450"/>
        </a:xfrm>
        <a:prstGeom prst="line">
          <a:avLst/>
        </a:prstGeom>
        <a:ln>
          <a:solidFill>
            <a:srgbClr val="0000FF"/>
          </a:solidFill>
          <a:tailEnd type="triangle" w="lg"/>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457200</xdr:colOff>
      <xdr:row>9</xdr:row>
      <xdr:rowOff>107950</xdr:rowOff>
    </xdr:from>
    <xdr:to>
      <xdr:col>0</xdr:col>
      <xdr:colOff>863600</xdr:colOff>
      <xdr:row>16</xdr:row>
      <xdr:rowOff>38100</xdr:rowOff>
    </xdr:to>
    <xdr:cxnSp macro="">
      <xdr:nvCxnSpPr>
        <xdr:cNvPr id="7" name="Straight Connector 6">
          <a:extLst>
            <a:ext uri="{FF2B5EF4-FFF2-40B4-BE49-F238E27FC236}">
              <a16:creationId xmlns:a16="http://schemas.microsoft.com/office/drawing/2014/main" id="{00000000-0008-0000-0400-000007000000}"/>
            </a:ext>
          </a:extLst>
        </xdr:cNvPr>
        <xdr:cNvCxnSpPr/>
      </xdr:nvCxnSpPr>
      <xdr:spPr>
        <a:xfrm>
          <a:off x="457200" y="2254250"/>
          <a:ext cx="406400" cy="1085850"/>
        </a:xfrm>
        <a:prstGeom prst="line">
          <a:avLst/>
        </a:prstGeom>
        <a:ln>
          <a:solidFill>
            <a:srgbClr val="800000"/>
          </a:solidFill>
          <a:tailEnd type="triangle" w="lg"/>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160865</xdr:colOff>
      <xdr:row>27</xdr:row>
      <xdr:rowOff>120227</xdr:rowOff>
    </xdr:from>
    <xdr:to>
      <xdr:col>15</xdr:col>
      <xdr:colOff>233680</xdr:colOff>
      <xdr:row>56</xdr:row>
      <xdr:rowOff>30480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477520</xdr:colOff>
      <xdr:row>27</xdr:row>
      <xdr:rowOff>40640</xdr:rowOff>
    </xdr:from>
    <xdr:to>
      <xdr:col>22</xdr:col>
      <xdr:colOff>294640</xdr:colOff>
      <xdr:row>56</xdr:row>
      <xdr:rowOff>10160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325120</xdr:colOff>
      <xdr:row>27</xdr:row>
      <xdr:rowOff>40641</xdr:rowOff>
    </xdr:from>
    <xdr:to>
      <xdr:col>27</xdr:col>
      <xdr:colOff>487679</xdr:colOff>
      <xdr:row>56</xdr:row>
      <xdr:rowOff>30481</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568960</xdr:colOff>
      <xdr:row>27</xdr:row>
      <xdr:rowOff>121920</xdr:rowOff>
    </xdr:from>
    <xdr:ext cx="723275" cy="261610"/>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0383520" y="4399280"/>
          <a:ext cx="72327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UP Trunk</a:t>
          </a:r>
        </a:p>
      </xdr:txBody>
    </xdr:sp>
    <xdr:clientData/>
  </xdr:oneCellAnchor>
  <xdr:oneCellAnchor>
    <xdr:from>
      <xdr:col>14</xdr:col>
      <xdr:colOff>243840</xdr:colOff>
      <xdr:row>42</xdr:row>
      <xdr:rowOff>50800</xdr:rowOff>
    </xdr:from>
    <xdr:ext cx="675980" cy="261610"/>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829540" y="6654800"/>
          <a:ext cx="67598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Forward</a:t>
          </a:r>
        </a:p>
      </xdr:txBody>
    </xdr:sp>
    <xdr:clientData/>
  </xdr:oneCellAnchor>
  <xdr:oneCellAnchor>
    <xdr:from>
      <xdr:col>18</xdr:col>
      <xdr:colOff>223520</xdr:colOff>
      <xdr:row>27</xdr:row>
      <xdr:rowOff>60960</xdr:rowOff>
    </xdr:from>
    <xdr:ext cx="723275" cy="261610"/>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5646400" y="4338320"/>
          <a:ext cx="72327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UP Trunk</a:t>
          </a:r>
        </a:p>
      </xdr:txBody>
    </xdr:sp>
    <xdr:clientData/>
  </xdr:oneCellAnchor>
  <xdr:oneCellAnchor>
    <xdr:from>
      <xdr:col>21</xdr:col>
      <xdr:colOff>416560</xdr:colOff>
      <xdr:row>39</xdr:row>
      <xdr:rowOff>50800</xdr:rowOff>
    </xdr:from>
    <xdr:ext cx="595035" cy="261610"/>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7942560" y="6065520"/>
          <a:ext cx="59503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Lateral</a:t>
          </a:r>
        </a:p>
      </xdr:txBody>
    </xdr:sp>
    <xdr:clientData/>
  </xdr:oneCellAnchor>
  <xdr:oneCellAnchor>
    <xdr:from>
      <xdr:col>27</xdr:col>
      <xdr:colOff>40640</xdr:colOff>
      <xdr:row>39</xdr:row>
      <xdr:rowOff>132080</xdr:rowOff>
    </xdr:from>
    <xdr:ext cx="595035" cy="261610"/>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23296880" y="6146800"/>
          <a:ext cx="59503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Lateral</a:t>
          </a:r>
        </a:p>
      </xdr:txBody>
    </xdr:sp>
    <xdr:clientData/>
  </xdr:oneCellAnchor>
  <xdr:oneCellAnchor>
    <xdr:from>
      <xdr:col>24</xdr:col>
      <xdr:colOff>213360</xdr:colOff>
      <xdr:row>27</xdr:row>
      <xdr:rowOff>50800</xdr:rowOff>
    </xdr:from>
    <xdr:ext cx="675980" cy="261610"/>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20546060" y="4178300"/>
          <a:ext cx="67598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Forward</a:t>
          </a:r>
        </a:p>
      </xdr:txBody>
    </xdr:sp>
    <xdr:clientData/>
  </xdr:oneCellAnchor>
  <xdr:twoCellAnchor editAs="oneCell">
    <xdr:from>
      <xdr:col>0</xdr:col>
      <xdr:colOff>2032000</xdr:colOff>
      <xdr:row>75</xdr:row>
      <xdr:rowOff>0</xdr:rowOff>
    </xdr:from>
    <xdr:to>
      <xdr:col>5</xdr:col>
      <xdr:colOff>283790</xdr:colOff>
      <xdr:row>84</xdr:row>
      <xdr:rowOff>31815</xdr:rowOff>
    </xdr:to>
    <xdr:pic>
      <xdr:nvPicPr>
        <xdr:cNvPr id="13" name="Picture 12">
          <a:extLst>
            <a:ext uri="{FF2B5EF4-FFF2-40B4-BE49-F238E27FC236}">
              <a16:creationId xmlns:a16="http://schemas.microsoft.com/office/drawing/2014/main" id="{A3F99F6C-ADF4-414C-B7D0-81138666D8B6}"/>
            </a:ext>
          </a:extLst>
        </xdr:cNvPr>
        <xdr:cNvPicPr>
          <a:picLocks noChangeAspect="1"/>
        </xdr:cNvPicPr>
      </xdr:nvPicPr>
      <xdr:blipFill>
        <a:blip xmlns:r="http://schemas.openxmlformats.org/officeDocument/2006/relationships" r:embed="rId4"/>
        <a:stretch>
          <a:fillRect/>
        </a:stretch>
      </xdr:blipFill>
      <xdr:spPr>
        <a:xfrm>
          <a:off x="2032000" y="13233400"/>
          <a:ext cx="4792290" cy="16320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160865</xdr:colOff>
      <xdr:row>27</xdr:row>
      <xdr:rowOff>120227</xdr:rowOff>
    </xdr:from>
    <xdr:to>
      <xdr:col>15</xdr:col>
      <xdr:colOff>233680</xdr:colOff>
      <xdr:row>56</xdr:row>
      <xdr:rowOff>30480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477520</xdr:colOff>
      <xdr:row>27</xdr:row>
      <xdr:rowOff>40640</xdr:rowOff>
    </xdr:from>
    <xdr:to>
      <xdr:col>22</xdr:col>
      <xdr:colOff>294640</xdr:colOff>
      <xdr:row>56</xdr:row>
      <xdr:rowOff>10160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325120</xdr:colOff>
      <xdr:row>27</xdr:row>
      <xdr:rowOff>40641</xdr:rowOff>
    </xdr:from>
    <xdr:to>
      <xdr:col>27</xdr:col>
      <xdr:colOff>487679</xdr:colOff>
      <xdr:row>56</xdr:row>
      <xdr:rowOff>30481</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568960</xdr:colOff>
      <xdr:row>27</xdr:row>
      <xdr:rowOff>121920</xdr:rowOff>
    </xdr:from>
    <xdr:ext cx="723275" cy="261610"/>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10383520" y="4399280"/>
          <a:ext cx="72327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UP Trunk</a:t>
          </a:r>
        </a:p>
      </xdr:txBody>
    </xdr:sp>
    <xdr:clientData/>
  </xdr:oneCellAnchor>
  <xdr:oneCellAnchor>
    <xdr:from>
      <xdr:col>14</xdr:col>
      <xdr:colOff>243840</xdr:colOff>
      <xdr:row>42</xdr:row>
      <xdr:rowOff>50800</xdr:rowOff>
    </xdr:from>
    <xdr:ext cx="675980" cy="261610"/>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12702540" y="6654800"/>
          <a:ext cx="67598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Forward</a:t>
          </a:r>
        </a:p>
      </xdr:txBody>
    </xdr:sp>
    <xdr:clientData/>
  </xdr:oneCellAnchor>
  <xdr:oneCellAnchor>
    <xdr:from>
      <xdr:col>18</xdr:col>
      <xdr:colOff>223520</xdr:colOff>
      <xdr:row>27</xdr:row>
      <xdr:rowOff>60960</xdr:rowOff>
    </xdr:from>
    <xdr:ext cx="723275" cy="261610"/>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5646400" y="4338320"/>
          <a:ext cx="72327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UP Trunk</a:t>
          </a:r>
        </a:p>
      </xdr:txBody>
    </xdr:sp>
    <xdr:clientData/>
  </xdr:oneCellAnchor>
  <xdr:oneCellAnchor>
    <xdr:from>
      <xdr:col>21</xdr:col>
      <xdr:colOff>670560</xdr:colOff>
      <xdr:row>39</xdr:row>
      <xdr:rowOff>142240</xdr:rowOff>
    </xdr:from>
    <xdr:ext cx="595035" cy="261610"/>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8196560" y="6156960"/>
          <a:ext cx="59503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Lateral</a:t>
          </a:r>
        </a:p>
      </xdr:txBody>
    </xdr:sp>
    <xdr:clientData/>
  </xdr:oneCellAnchor>
  <xdr:oneCellAnchor>
    <xdr:from>
      <xdr:col>26</xdr:col>
      <xdr:colOff>863600</xdr:colOff>
      <xdr:row>39</xdr:row>
      <xdr:rowOff>121920</xdr:rowOff>
    </xdr:from>
    <xdr:ext cx="595035" cy="261610"/>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3164800" y="6136640"/>
          <a:ext cx="59503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Lateral</a:t>
          </a:r>
        </a:p>
      </xdr:txBody>
    </xdr:sp>
    <xdr:clientData/>
  </xdr:oneCellAnchor>
  <xdr:oneCellAnchor>
    <xdr:from>
      <xdr:col>24</xdr:col>
      <xdr:colOff>213360</xdr:colOff>
      <xdr:row>27</xdr:row>
      <xdr:rowOff>50800</xdr:rowOff>
    </xdr:from>
    <xdr:ext cx="675980" cy="261610"/>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20419060" y="4178300"/>
          <a:ext cx="67598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Forward</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VA422"/>
  <sheetViews>
    <sheetView showGridLines="0" tabSelected="1" zoomScaleNormal="100" zoomScalePageLayoutView="150" workbookViewId="0">
      <selection activeCell="C2" sqref="C2:E2"/>
    </sheetView>
  </sheetViews>
  <sheetFormatPr baseColWidth="10" defaultColWidth="10.6640625" defaultRowHeight="14"/>
  <cols>
    <col min="1" max="1" width="3.83203125" style="274" customWidth="1"/>
    <col min="2" max="2" width="17.5" style="274" customWidth="1"/>
    <col min="3" max="3" width="33.6640625" style="2" customWidth="1"/>
    <col min="4" max="4" width="10.33203125" style="322" customWidth="1"/>
    <col min="5" max="6" width="10.33203125" style="2" customWidth="1"/>
    <col min="7" max="7" width="6.83203125" style="2" customWidth="1"/>
    <col min="8" max="10" width="10.33203125" style="2" customWidth="1"/>
    <col min="11" max="11" width="10" style="2" customWidth="1"/>
    <col min="12" max="16" width="6.5" style="2" customWidth="1"/>
    <col min="17" max="17" width="6.5" style="1" customWidth="1"/>
    <col min="18" max="18" width="79.5" style="311" customWidth="1"/>
    <col min="19" max="19" width="4.33203125" style="311" hidden="1" customWidth="1"/>
    <col min="20" max="20" width="8.6640625" style="274" hidden="1" customWidth="1"/>
    <col min="21" max="21" width="14.33203125" style="274" hidden="1" customWidth="1"/>
    <col min="22" max="25" width="8.6640625" style="274" hidden="1" customWidth="1"/>
    <col min="26" max="26" width="5" style="274" hidden="1" customWidth="1"/>
    <col min="27" max="27" width="9.6640625" style="274" hidden="1" customWidth="1"/>
    <col min="28" max="28" width="10.1640625" style="274" hidden="1" customWidth="1"/>
    <col min="29" max="29" width="10.83203125" style="274" hidden="1" customWidth="1"/>
    <col min="30" max="30" width="11.1640625" style="274" hidden="1" customWidth="1"/>
    <col min="31" max="38" width="8.5" style="274" hidden="1" customWidth="1"/>
    <col min="39" max="39" width="8.6640625" style="274" hidden="1" customWidth="1"/>
    <col min="40" max="40" width="13" style="274" hidden="1" customWidth="1"/>
    <col min="41" max="41" width="14.33203125" style="274" hidden="1" customWidth="1"/>
    <col min="42" max="51" width="8.83203125" style="274" hidden="1" customWidth="1"/>
    <col min="52" max="53" width="5" style="274" hidden="1" customWidth="1"/>
    <col min="54" max="58" width="8.83203125" style="274" hidden="1" customWidth="1"/>
    <col min="59" max="59" width="5" style="274" hidden="1" customWidth="1"/>
    <col min="60" max="64" width="5" style="274" customWidth="1"/>
    <col min="65" max="65" width="9.6640625" style="274" customWidth="1"/>
    <col min="66" max="67" width="10.1640625" style="274" customWidth="1"/>
    <col min="68" max="68" width="11.1640625" style="274" customWidth="1"/>
    <col min="69" max="76" width="8.5" style="274" customWidth="1"/>
    <col min="77" max="77" width="6.83203125" style="274" customWidth="1"/>
    <col min="78" max="87" width="6.33203125" style="274" customWidth="1"/>
    <col min="88" max="90" width="6.33203125" style="2" customWidth="1"/>
    <col min="91" max="131" width="6.5" style="2" customWidth="1"/>
    <col min="132" max="378" width="4.83203125" style="2" customWidth="1"/>
    <col min="379" max="441" width="6.5" style="2" customWidth="1"/>
    <col min="442" max="444" width="6.1640625" style="2" customWidth="1"/>
    <col min="445" max="445" width="20.6640625" bestFit="1" customWidth="1"/>
    <col min="446" max="446" width="6.1640625" customWidth="1"/>
    <col min="447" max="447" width="7.1640625" customWidth="1"/>
    <col min="448" max="453" width="6.1640625" customWidth="1"/>
    <col min="454" max="460" width="5.5" customWidth="1"/>
    <col min="461" max="461" width="6.33203125" customWidth="1"/>
    <col min="462" max="497" width="5.5" customWidth="1"/>
    <col min="498" max="573" width="6.5" customWidth="1"/>
    <col min="574" max="590" width="6.5" style="2" customWidth="1"/>
    <col min="591" max="699" width="5.6640625" style="2" customWidth="1"/>
    <col min="700" max="799" width="6.83203125" style="2" customWidth="1"/>
    <col min="800" max="920" width="6.1640625" style="2" customWidth="1"/>
    <col min="921" max="3697" width="6.5" style="2" customWidth="1"/>
    <col min="3698" max="16384" width="10.6640625" style="2"/>
  </cols>
  <sheetData>
    <row r="1" spans="2:573" s="274" customFormat="1">
      <c r="D1" s="309"/>
      <c r="E1" s="2"/>
      <c r="Q1" s="310"/>
      <c r="R1" s="311"/>
      <c r="S1" s="520"/>
      <c r="T1" s="34"/>
      <c r="U1" s="525" t="s">
        <v>410</v>
      </c>
      <c r="V1" s="34"/>
      <c r="W1" s="34"/>
      <c r="X1" s="34"/>
      <c r="Y1" s="34"/>
      <c r="Z1" s="34"/>
      <c r="AA1" s="525" t="s">
        <v>409</v>
      </c>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row>
    <row r="2" spans="2:573" ht="15" customHeight="1">
      <c r="B2" s="323" t="s">
        <v>435</v>
      </c>
      <c r="C2" s="545" t="s">
        <v>349</v>
      </c>
      <c r="D2" s="545"/>
      <c r="E2" s="545"/>
      <c r="F2" s="550" t="s">
        <v>330</v>
      </c>
      <c r="G2" s="550"/>
      <c r="H2" s="550"/>
      <c r="I2" s="550"/>
      <c r="J2" s="550"/>
      <c r="K2" s="274"/>
      <c r="L2" s="324"/>
      <c r="M2" s="274"/>
      <c r="N2" s="274"/>
      <c r="O2" s="274"/>
      <c r="P2" s="274"/>
      <c r="Q2" s="310"/>
    </row>
    <row r="3" spans="2:573" ht="15" customHeight="1">
      <c r="B3" s="445"/>
      <c r="C3" s="388" t="s">
        <v>480</v>
      </c>
      <c r="D3" s="497">
        <v>75</v>
      </c>
      <c r="E3" s="282">
        <f>100-D3</f>
        <v>25</v>
      </c>
      <c r="F3" s="550"/>
      <c r="G3" s="550"/>
      <c r="H3" s="550"/>
      <c r="I3" s="550"/>
      <c r="J3" s="550"/>
      <c r="K3" s="274"/>
      <c r="L3" s="274"/>
      <c r="M3" s="274"/>
      <c r="N3" s="274"/>
      <c r="O3" s="274"/>
      <c r="P3" s="274"/>
      <c r="Q3" s="310"/>
      <c r="U3" s="321" t="s">
        <v>362</v>
      </c>
    </row>
    <row r="4" spans="2:573">
      <c r="B4" s="445"/>
      <c r="C4" s="378" t="s">
        <v>481</v>
      </c>
      <c r="D4" s="498" t="s">
        <v>280</v>
      </c>
      <c r="E4" s="312"/>
      <c r="F4" s="551" t="s">
        <v>518</v>
      </c>
      <c r="G4" s="552"/>
      <c r="H4" s="552"/>
      <c r="I4" s="552"/>
      <c r="J4" s="552"/>
      <c r="K4" s="274"/>
      <c r="L4" s="274"/>
      <c r="M4" s="274"/>
      <c r="N4" s="274"/>
      <c r="O4" s="274"/>
      <c r="P4" s="274"/>
      <c r="Q4" s="310"/>
      <c r="U4" s="321" t="s">
        <v>412</v>
      </c>
      <c r="AD4" s="272" t="s">
        <v>379</v>
      </c>
      <c r="AE4" s="272">
        <f>RADIANS(D8)</f>
        <v>0.6108652381980153</v>
      </c>
    </row>
    <row r="5" spans="2:573">
      <c r="B5" s="530" t="s">
        <v>348</v>
      </c>
      <c r="C5" s="380" t="s">
        <v>482</v>
      </c>
      <c r="D5" s="261">
        <f>IF(D4="Female",73.5,88.1)</f>
        <v>73.5</v>
      </c>
      <c r="E5" s="283">
        <f>D5*2.2</f>
        <v>161.70000000000002</v>
      </c>
      <c r="F5" s="552"/>
      <c r="G5" s="552"/>
      <c r="H5" s="552"/>
      <c r="I5" s="552"/>
      <c r="J5" s="552"/>
      <c r="K5" s="274"/>
      <c r="L5" s="274"/>
      <c r="M5" s="274"/>
      <c r="N5" s="274"/>
      <c r="O5" s="274"/>
      <c r="P5" s="274"/>
      <c r="Q5" s="310"/>
      <c r="U5" s="526" t="s">
        <v>72</v>
      </c>
      <c r="V5" s="526"/>
      <c r="W5" s="526"/>
      <c r="X5" s="526"/>
      <c r="AD5" s="272" t="s">
        <v>408</v>
      </c>
      <c r="AE5" s="272">
        <f>D6*100</f>
        <v>161.9</v>
      </c>
      <c r="AF5" s="273" t="s">
        <v>413</v>
      </c>
    </row>
    <row r="6" spans="2:573">
      <c r="B6" s="531"/>
      <c r="C6" s="380" t="s">
        <v>483</v>
      </c>
      <c r="D6" s="335">
        <f>IF(D4="Female",1.619,1.758)</f>
        <v>1.619</v>
      </c>
      <c r="E6" s="284">
        <f>D6*100/2.54</f>
        <v>63.740157480314963</v>
      </c>
      <c r="F6" s="553" t="s">
        <v>331</v>
      </c>
      <c r="G6" s="553"/>
      <c r="H6" s="553"/>
      <c r="I6" s="553"/>
      <c r="J6" s="553"/>
      <c r="K6" s="274"/>
      <c r="L6" s="274"/>
      <c r="M6" s="274"/>
      <c r="N6" s="274"/>
      <c r="O6" s="274"/>
      <c r="P6" s="274"/>
      <c r="Q6" s="310"/>
      <c r="V6" s="275" t="s">
        <v>53</v>
      </c>
      <c r="W6" s="275" t="s">
        <v>54</v>
      </c>
      <c r="X6" s="275" t="s">
        <v>55</v>
      </c>
      <c r="Z6"/>
      <c r="AA6"/>
      <c r="AB6"/>
      <c r="AC6"/>
      <c r="AD6" s="272" t="s">
        <v>393</v>
      </c>
      <c r="AE6" s="375">
        <f>D5*9.81</f>
        <v>721.03500000000008</v>
      </c>
      <c r="AF6" s="412">
        <f>SUM(AD12:AD14)*2+AD15+AD16</f>
        <v>319.20219450000002</v>
      </c>
      <c r="AG6" s="411">
        <f>AF6/AE6</f>
        <v>0.44269999999999998</v>
      </c>
      <c r="AH6"/>
      <c r="AI6"/>
      <c r="AJ6"/>
      <c r="AK6"/>
      <c r="AL6"/>
    </row>
    <row r="7" spans="2:573">
      <c r="B7" s="372"/>
      <c r="C7" s="274"/>
      <c r="D7" s="10"/>
      <c r="E7" s="284"/>
      <c r="F7" s="554" t="s">
        <v>519</v>
      </c>
      <c r="G7" s="555"/>
      <c r="H7" s="555"/>
      <c r="I7" s="555"/>
      <c r="J7" s="555"/>
      <c r="K7" s="274"/>
      <c r="L7" s="274"/>
      <c r="M7" s="274"/>
      <c r="N7" s="274"/>
      <c r="O7" s="274"/>
      <c r="P7" s="274"/>
      <c r="Q7" s="310"/>
      <c r="U7" s="272" t="s">
        <v>89</v>
      </c>
      <c r="V7" s="352">
        <f>V10+D12</f>
        <v>-32.04</v>
      </c>
      <c r="W7" s="352">
        <f>W10+D13</f>
        <v>43.12260788292528</v>
      </c>
      <c r="X7" s="352">
        <f>X10+D14</f>
        <v>71.439338311597012</v>
      </c>
      <c r="AB7"/>
    </row>
    <row r="8" spans="2:573">
      <c r="B8" s="372"/>
      <c r="C8" s="378" t="s">
        <v>484</v>
      </c>
      <c r="D8" s="498">
        <v>35</v>
      </c>
      <c r="E8" s="284"/>
      <c r="F8" s="554"/>
      <c r="G8" s="555"/>
      <c r="H8" s="555"/>
      <c r="I8" s="555"/>
      <c r="J8" s="555"/>
      <c r="K8" s="274"/>
      <c r="L8" s="274"/>
      <c r="M8" s="274"/>
      <c r="N8" s="274"/>
      <c r="O8" s="274"/>
      <c r="P8" s="274"/>
      <c r="Q8" s="310"/>
      <c r="U8" s="272" t="s">
        <v>63</v>
      </c>
      <c r="V8" s="273"/>
      <c r="W8" s="273"/>
      <c r="X8" s="273"/>
      <c r="AB8"/>
    </row>
    <row r="9" spans="2:573" ht="14" customHeight="1">
      <c r="B9" s="499" t="s">
        <v>142</v>
      </c>
      <c r="C9" s="274"/>
      <c r="D9" s="309"/>
      <c r="E9" s="274"/>
      <c r="H9" s="546" t="s">
        <v>424</v>
      </c>
      <c r="I9" s="546"/>
      <c r="J9" s="431"/>
      <c r="K9" s="274"/>
      <c r="L9" s="274"/>
      <c r="M9" s="274"/>
      <c r="N9" s="274"/>
      <c r="O9" s="274"/>
      <c r="P9" s="274"/>
      <c r="Q9" s="310"/>
      <c r="U9" s="272" t="s">
        <v>61</v>
      </c>
      <c r="V9" s="273"/>
      <c r="W9" s="273"/>
      <c r="X9" s="273"/>
      <c r="AB9" s="577" t="s">
        <v>280</v>
      </c>
      <c r="AC9" s="577"/>
      <c r="AE9" s="560" t="s">
        <v>390</v>
      </c>
      <c r="AF9" s="560"/>
      <c r="AG9" s="560"/>
      <c r="AH9" s="560"/>
      <c r="AI9" s="560"/>
      <c r="AJ9" s="560"/>
      <c r="AK9" s="560"/>
      <c r="AL9" s="560"/>
    </row>
    <row r="10" spans="2:573">
      <c r="C10" s="543" t="s">
        <v>422</v>
      </c>
      <c r="D10" s="543"/>
      <c r="E10" s="543"/>
      <c r="F10" s="274"/>
      <c r="G10" s="313"/>
      <c r="H10" s="546"/>
      <c r="I10" s="546"/>
      <c r="J10" s="431"/>
      <c r="K10" s="274"/>
      <c r="L10" s="274"/>
      <c r="M10" s="274"/>
      <c r="N10" s="274"/>
      <c r="O10" s="274"/>
      <c r="P10" s="274"/>
      <c r="Q10" s="310"/>
      <c r="U10" s="314" t="s">
        <v>59</v>
      </c>
      <c r="V10" s="352">
        <f>W45</f>
        <v>-17.04</v>
      </c>
      <c r="W10" s="352">
        <f>X45</f>
        <v>23.122607882925283</v>
      </c>
      <c r="X10" s="352">
        <f>Y45</f>
        <v>121.43933831159701</v>
      </c>
      <c r="AA10"/>
      <c r="AB10" s="577"/>
      <c r="AC10" s="577"/>
      <c r="AE10" s="564" t="s">
        <v>72</v>
      </c>
      <c r="AF10" s="564"/>
      <c r="AG10" s="564"/>
      <c r="AH10" s="564"/>
      <c r="AI10" s="565" t="s">
        <v>71</v>
      </c>
      <c r="AJ10" s="565"/>
      <c r="AK10" s="565"/>
      <c r="AL10" s="565"/>
    </row>
    <row r="11" spans="2:573">
      <c r="B11"/>
      <c r="C11" s="323" t="s">
        <v>485</v>
      </c>
      <c r="D11" s="377" t="s">
        <v>72</v>
      </c>
      <c r="E11" s="377" t="s">
        <v>71</v>
      </c>
      <c r="F11" s="274"/>
      <c r="G11" s="274"/>
      <c r="H11" s="273" t="s">
        <v>72</v>
      </c>
      <c r="I11" s="273" t="s">
        <v>71</v>
      </c>
      <c r="J11" s="549" t="s">
        <v>385</v>
      </c>
      <c r="K11" s="549"/>
      <c r="L11" s="274"/>
      <c r="M11" s="274"/>
      <c r="N11" s="274"/>
      <c r="O11" s="274"/>
      <c r="P11" s="274"/>
      <c r="Q11" s="310"/>
      <c r="V11" s="353">
        <f>V7-V10</f>
        <v>-15</v>
      </c>
      <c r="W11" s="353">
        <f>W7-W10</f>
        <v>19.999999999999996</v>
      </c>
      <c r="X11" s="353">
        <f>X7-X10</f>
        <v>-50</v>
      </c>
      <c r="AA11"/>
      <c r="AB11" s="394" t="s">
        <v>386</v>
      </c>
      <c r="AC11" s="395" t="s">
        <v>387</v>
      </c>
      <c r="AD11" s="396" t="s">
        <v>391</v>
      </c>
      <c r="AE11" s="377" t="s">
        <v>316</v>
      </c>
      <c r="AF11" s="377" t="s">
        <v>53</v>
      </c>
      <c r="AG11" s="377" t="s">
        <v>54</v>
      </c>
      <c r="AH11" s="377" t="s">
        <v>55</v>
      </c>
      <c r="AI11" s="397" t="s">
        <v>316</v>
      </c>
      <c r="AJ11" s="397" t="s">
        <v>53</v>
      </c>
      <c r="AK11" s="397" t="s">
        <v>54</v>
      </c>
      <c r="AL11" s="397" t="s">
        <v>55</v>
      </c>
    </row>
    <row r="12" spans="2:573" ht="14" customHeight="1">
      <c r="B12"/>
      <c r="C12" s="386" t="s">
        <v>499</v>
      </c>
      <c r="D12" s="500">
        <v>-15</v>
      </c>
      <c r="E12" s="500">
        <v>20</v>
      </c>
      <c r="F12" s="443">
        <f>D12/2.54</f>
        <v>-5.9055118110236222</v>
      </c>
      <c r="G12" s="444">
        <f>E12/2.54</f>
        <v>7.8740157480314963</v>
      </c>
      <c r="H12" s="415">
        <f>'Hands wrt Shoulder Axis System'!E46*100</f>
        <v>15.000000000000002</v>
      </c>
      <c r="I12" s="415">
        <f>'Hands wrt Shoulder Axis System'!M46*100</f>
        <v>20</v>
      </c>
      <c r="J12" s="589" t="s">
        <v>478</v>
      </c>
      <c r="K12" s="589"/>
      <c r="L12" s="274"/>
      <c r="M12" s="274"/>
      <c r="N12" s="274"/>
      <c r="O12" s="274"/>
      <c r="P12" s="274"/>
      <c r="Q12" s="310"/>
      <c r="U12" s="314" t="s">
        <v>67</v>
      </c>
      <c r="V12" s="352">
        <f>W41</f>
        <v>0</v>
      </c>
      <c r="W12" s="352">
        <f>X41</f>
        <v>23.459276246757785</v>
      </c>
      <c r="X12" s="352">
        <f>Y41</f>
        <v>127.06331861141977</v>
      </c>
      <c r="AA12" s="198" t="s">
        <v>9</v>
      </c>
      <c r="AB12" s="373">
        <v>0.74632444444444457</v>
      </c>
      <c r="AC12" s="374">
        <v>5.8999999999999999E-3</v>
      </c>
      <c r="AD12" s="375">
        <f>AC12*AE$6</f>
        <v>4.2541065000000007</v>
      </c>
      <c r="AE12" s="389">
        <f>((W47-W60)^2 + (X47-X60)^2 + (Y47-Y60)^2)^0.5</f>
        <v>7.1103451463947147</v>
      </c>
      <c r="AF12" s="390">
        <f>(W60 - W47)*$AB12+W47</f>
        <v>-31.482277829769501</v>
      </c>
      <c r="AG12" s="390">
        <f>(X60 - X47)*$AB12+X47</f>
        <v>41.961020932851923</v>
      </c>
      <c r="AH12" s="390">
        <f>(Y60 - Y47)*$AB12+Y47</f>
        <v>72.701507199267866</v>
      </c>
      <c r="AI12" s="419">
        <f>((W59-W44)^2 + (X59-X44)^2 + (Y59-Y44)^2)^0.5</f>
        <v>6.9710486564585894</v>
      </c>
      <c r="AJ12" s="420">
        <f>(W59 - W44)*$AB12+W44</f>
        <v>36.888536484659873</v>
      </c>
      <c r="AK12" s="420">
        <f>(X59 - X44)*$AB12+X44</f>
        <v>61.951190741382675</v>
      </c>
      <c r="AL12" s="420">
        <f>(Y59 - Y44)*$AB12+Y44</f>
        <v>130.12327413322362</v>
      </c>
    </row>
    <row r="13" spans="2:573">
      <c r="B13"/>
      <c r="C13" s="386" t="s">
        <v>500</v>
      </c>
      <c r="D13" s="500">
        <v>20</v>
      </c>
      <c r="E13" s="500">
        <v>40</v>
      </c>
      <c r="F13" s="443">
        <f t="shared" ref="F13:F14" si="0">D13/2.54</f>
        <v>7.8740157480314963</v>
      </c>
      <c r="G13" s="444">
        <f t="shared" ref="G13:G14" si="1">E13/2.54</f>
        <v>15.748031496062993</v>
      </c>
      <c r="H13" s="415">
        <f>'Hands wrt Shoulder Axis System'!C46*100</f>
        <v>45.061862703332132</v>
      </c>
      <c r="I13" s="415">
        <f>'Hands wrt Shoulder Axis System'!K46*100</f>
        <v>27.030317408049214</v>
      </c>
      <c r="J13" s="589" t="s">
        <v>479</v>
      </c>
      <c r="K13" s="589"/>
      <c r="L13" s="274"/>
      <c r="M13" s="274"/>
      <c r="N13" s="274"/>
      <c r="O13" s="274"/>
      <c r="P13" s="274"/>
      <c r="Q13" s="310"/>
      <c r="V13" s="285"/>
      <c r="W13" s="285"/>
      <c r="X13" s="285"/>
      <c r="Z13"/>
      <c r="AA13" s="198" t="s">
        <v>8</v>
      </c>
      <c r="AB13" s="373">
        <v>0.42170000000000002</v>
      </c>
      <c r="AC13" s="374">
        <v>1.49E-2</v>
      </c>
      <c r="AD13" s="375">
        <f>AC13*AE$6</f>
        <v>10.743421500000002</v>
      </c>
      <c r="AE13" s="389">
        <f>((W46-W47)^2 + (X46-X47)^2 + (Y46-Y47)^2)^0.5</f>
        <v>23.096583895399526</v>
      </c>
      <c r="AF13" s="390">
        <f>(W47 - W46)*$AB13+W46</f>
        <v>-25.711439893556616</v>
      </c>
      <c r="AG13" s="390">
        <f>(X47 - X46)*$AB13+X46</f>
        <v>29.941900310620376</v>
      </c>
      <c r="AH13" s="390">
        <f>(Y47 - Y46)*$AB13+Y46</f>
        <v>85.761364754990069</v>
      </c>
      <c r="AI13" s="419">
        <f>((W44-W43)^2 + (X44-X43)^2 + (Y44-Y43)^2)^0.5</f>
        <v>22.644106132379012</v>
      </c>
      <c r="AJ13" s="420">
        <f>(W44 - W43)*$AB13+W43</f>
        <v>35.321319961931906</v>
      </c>
      <c r="AK13" s="420">
        <f>(X44 - X43)*$AB13+X43</f>
        <v>49.830355600921479</v>
      </c>
      <c r="AL13" s="420">
        <f>(Y44 - Y43)*$AB13+Y43</f>
        <v>116.50575363209472</v>
      </c>
      <c r="AO13" s="274" t="s">
        <v>457</v>
      </c>
      <c r="AU13" s="285">
        <f>IF(H12&lt;AZ13,1,0)</f>
        <v>0</v>
      </c>
      <c r="AV13" s="285">
        <f>IF(H12&gt;BA13,1,0)</f>
        <v>0</v>
      </c>
      <c r="AW13" s="285">
        <f>IF(I12&lt;AZ13,1,0)</f>
        <v>0</v>
      </c>
      <c r="AX13" s="285">
        <f>IF(I12&gt;BA13,1,0)</f>
        <v>0</v>
      </c>
      <c r="AY13" s="275">
        <f>SUM(AU13:AX13)</f>
        <v>0</v>
      </c>
      <c r="AZ13" s="285">
        <v>-20</v>
      </c>
      <c r="BA13" s="285">
        <v>50</v>
      </c>
    </row>
    <row r="14" spans="2:573">
      <c r="B14"/>
      <c r="C14" s="386" t="s">
        <v>501</v>
      </c>
      <c r="D14" s="500">
        <v>-50</v>
      </c>
      <c r="E14" s="500">
        <v>10</v>
      </c>
      <c r="F14" s="443">
        <f t="shared" si="0"/>
        <v>-19.685039370078741</v>
      </c>
      <c r="G14" s="444">
        <f t="shared" si="1"/>
        <v>3.9370078740157481</v>
      </c>
      <c r="H14" s="415">
        <f>'Hands wrt Shoulder Axis System'!D46*100</f>
        <v>-29.486073487428676</v>
      </c>
      <c r="I14" s="415">
        <f>'Hands wrt Shoulder Axis System'!L46*100</f>
        <v>31.134577896931741</v>
      </c>
      <c r="J14" s="589" t="s">
        <v>477</v>
      </c>
      <c r="K14" s="589"/>
      <c r="L14" s="274"/>
      <c r="M14" s="274"/>
      <c r="N14" s="274"/>
      <c r="O14" s="274"/>
      <c r="P14" s="274"/>
      <c r="Q14" s="310"/>
      <c r="U14" s="314" t="s">
        <v>68</v>
      </c>
      <c r="V14" s="352">
        <f>W61</f>
        <v>0</v>
      </c>
      <c r="W14" s="352">
        <f>X61</f>
        <v>0</v>
      </c>
      <c r="X14" s="352">
        <f>Y61</f>
        <v>93.56</v>
      </c>
      <c r="AA14" s="198" t="s">
        <v>388</v>
      </c>
      <c r="AB14" s="373">
        <v>0.53220000000000001</v>
      </c>
      <c r="AC14" s="374">
        <v>2.7E-2</v>
      </c>
      <c r="AD14" s="375">
        <f>AC14*AE$6</f>
        <v>19.467945</v>
      </c>
      <c r="AE14" s="389">
        <f>((W45-W46)^2 + (X45-X46)^2 + (Y45-Y46)^2)^0.5</f>
        <v>29.417229999999996</v>
      </c>
      <c r="AF14" s="390">
        <f>(W46 - W45)*$AB14+W45</f>
        <v>-20.052156942275598</v>
      </c>
      <c r="AG14" s="390">
        <f>(X46 - X45)*$AB14+X45</f>
        <v>23.413663827771369</v>
      </c>
      <c r="AH14" s="390">
        <f>(Y46 - Y45)*$AB14+Y45</f>
        <v>106.0787448940203</v>
      </c>
      <c r="AI14" s="419">
        <f>((W42-W43)^2 + (X42-X43)^2 + (Y42-Y43)^2)^0.5</f>
        <v>29.41723</v>
      </c>
      <c r="AJ14" s="420">
        <f>(W43 - W42)*$AB14+W42</f>
        <v>26.33404225416426</v>
      </c>
      <c r="AK14" s="420">
        <f>(X43 - X42)*$AB14+X42</f>
        <v>33.970049704415231</v>
      </c>
      <c r="AL14" s="420">
        <f>(Y43 - Y42)*$AB14+Y42</f>
        <v>115.0315760145677</v>
      </c>
      <c r="AU14" s="285">
        <f>IF(H13&lt;AZ14,1,0)</f>
        <v>0</v>
      </c>
      <c r="AV14" s="285">
        <f>IF(H13&gt;BA14,1,0)</f>
        <v>0</v>
      </c>
      <c r="AW14" s="285">
        <f>IF(I13&lt;AZ14,1,0)</f>
        <v>0</v>
      </c>
      <c r="AX14" s="285">
        <f>IF(I13&gt;BA14,1,0)</f>
        <v>0</v>
      </c>
      <c r="AY14" s="275">
        <f>SUM(AU14:AX14)</f>
        <v>0</v>
      </c>
      <c r="AZ14" s="285">
        <v>0</v>
      </c>
      <c r="BA14" s="285">
        <v>52</v>
      </c>
    </row>
    <row r="15" spans="2:573">
      <c r="C15" s="323" t="s">
        <v>486</v>
      </c>
      <c r="D15" s="315">
        <f>(D12^2+D13^2+D14^2)^0.5</f>
        <v>55.901699437494742</v>
      </c>
      <c r="E15" s="315">
        <f>(E12^2+E13^2+E14^2)^0.5</f>
        <v>45.825756949558397</v>
      </c>
      <c r="F15" s="274"/>
      <c r="G15" s="274"/>
      <c r="H15" s="556" t="s">
        <v>423</v>
      </c>
      <c r="I15" s="557"/>
      <c r="J15" s="274"/>
      <c r="K15" s="274"/>
      <c r="L15" s="274"/>
      <c r="M15" s="274"/>
      <c r="N15" s="274"/>
      <c r="O15" s="274"/>
      <c r="P15" s="274"/>
      <c r="Q15" s="310"/>
      <c r="AA15" s="424" t="s">
        <v>389</v>
      </c>
      <c r="AB15" s="373">
        <v>1</v>
      </c>
      <c r="AC15" s="374">
        <v>7.9000000000000001E-2</v>
      </c>
      <c r="AD15" s="425">
        <f>AC15*AE$6</f>
        <v>56.961765000000007</v>
      </c>
      <c r="AE15" s="362">
        <f>((W41-W63)^2 + (X41-X63)^2 + (Y41-Y63)^2)^0.5</f>
        <v>16.018504923993351</v>
      </c>
      <c r="AF15" s="426">
        <f>(W63 - W41)*$AB15+W41</f>
        <v>0</v>
      </c>
      <c r="AG15" s="426">
        <f>(X63 - X41)*$AB15+X41</f>
        <v>33.534286468808276</v>
      </c>
      <c r="AH15" s="426">
        <f>(Y63 - Y41)*$AB15+Y41</f>
        <v>139.51669843480818</v>
      </c>
      <c r="AI15" s="25"/>
      <c r="AJ15" s="393"/>
      <c r="AK15" s="393"/>
      <c r="AL15" s="393"/>
      <c r="AO15" s="272" t="s">
        <v>352</v>
      </c>
      <c r="AP15" s="375">
        <f>W61-W41</f>
        <v>0</v>
      </c>
      <c r="AQ15" s="375">
        <f t="shared" ref="AQ15:AR15" si="2">X61-X41</f>
        <v>-23.459276246757785</v>
      </c>
      <c r="AR15" s="375">
        <f t="shared" si="2"/>
        <v>-33.503318611419772</v>
      </c>
      <c r="AS15" s="375">
        <f>(AP15^2+AQ15^2+AR15^2)^0.5</f>
        <v>40.900000000000006</v>
      </c>
      <c r="AT15" s="320"/>
      <c r="AU15" s="285">
        <f>IF(H14&lt;AZ15,1,0)</f>
        <v>0</v>
      </c>
      <c r="AV15" s="285">
        <f>IF(H14&gt;BA15,1,0)</f>
        <v>0</v>
      </c>
      <c r="AW15" s="285">
        <f>IF(I14&lt;AZ15,1,0)</f>
        <v>0</v>
      </c>
      <c r="AX15" s="285">
        <f>IF(I14&gt;BA15,1,0)</f>
        <v>0</v>
      </c>
      <c r="AY15" s="275">
        <f>SUM(AU15:AX15)</f>
        <v>0</v>
      </c>
      <c r="AZ15" s="285">
        <v>-42</v>
      </c>
      <c r="BA15" s="285">
        <v>50</v>
      </c>
    </row>
    <row r="16" spans="2:573">
      <c r="C16" s="542" t="s">
        <v>351</v>
      </c>
      <c r="D16" s="542"/>
      <c r="E16" s="542"/>
      <c r="F16" s="274"/>
      <c r="G16" s="274"/>
      <c r="H16" s="516">
        <f>AQ25</f>
        <v>36.704310924697701</v>
      </c>
      <c r="I16" s="517">
        <f>AR25</f>
        <v>91.814061097534179</v>
      </c>
      <c r="J16" s="274"/>
      <c r="K16" s="274"/>
      <c r="L16" s="274"/>
      <c r="M16" s="274"/>
      <c r="N16" s="274"/>
      <c r="O16" s="274"/>
      <c r="P16" s="274"/>
      <c r="Q16" s="310"/>
      <c r="AA16" s="424" t="s">
        <v>352</v>
      </c>
      <c r="AB16" s="373">
        <v>0.67300000000000004</v>
      </c>
      <c r="AC16" s="374">
        <v>0.2681</v>
      </c>
      <c r="AD16" s="425">
        <f>AC16*AE$6</f>
        <v>193.30948350000003</v>
      </c>
      <c r="AE16" s="362">
        <f>((W41-W61)^2 + (X41-X61)^2 + (Y41-Y61)^2)^0.5</f>
        <v>40.900000000000006</v>
      </c>
      <c r="AF16" s="426">
        <f>(W41 - W61)*$AB16+W61</f>
        <v>0</v>
      </c>
      <c r="AG16" s="426">
        <f>(X41 - X61)*$AB16+X61</f>
        <v>15.78809291406799</v>
      </c>
      <c r="AH16" s="426">
        <f>(Y41 - Y61)*$AB16+Y61</f>
        <v>116.10773342548551</v>
      </c>
      <c r="AI16" s="393"/>
      <c r="AJ16" s="393"/>
      <c r="AK16" s="393"/>
      <c r="AL16" s="393"/>
      <c r="AO16" s="272" t="s">
        <v>353</v>
      </c>
      <c r="AP16" s="375">
        <f>W43-W42</f>
        <v>17.463439034506315</v>
      </c>
      <c r="AQ16" s="375">
        <f t="shared" ref="AQ16:AR16" si="3">X43-X42</f>
        <v>20.382265729969841</v>
      </c>
      <c r="AR16" s="375">
        <f t="shared" si="3"/>
        <v>-12.040139603587576</v>
      </c>
      <c r="AS16" s="375">
        <f t="shared" ref="AS16:AS17" si="4">(AP16^2+AQ16^2+AR16^2)^0.5</f>
        <v>29.41723</v>
      </c>
    </row>
    <row r="17" spans="2:77">
      <c r="D17" s="309"/>
      <c r="E17" s="274"/>
      <c r="F17" s="274"/>
      <c r="G17" s="274"/>
      <c r="H17" s="274"/>
      <c r="I17" s="274"/>
      <c r="J17" s="274"/>
      <c r="K17" s="274"/>
      <c r="L17" s="274"/>
      <c r="M17" s="274"/>
      <c r="N17" s="274"/>
      <c r="O17" s="274"/>
      <c r="P17" s="274"/>
      <c r="Q17" s="310"/>
      <c r="U17" s="274" t="s">
        <v>437</v>
      </c>
      <c r="V17" s="309"/>
      <c r="AD17" s="558" t="s">
        <v>399</v>
      </c>
      <c r="AE17" s="558"/>
      <c r="AF17" s="407">
        <f>D20</f>
        <v>-0.5</v>
      </c>
      <c r="AG17" s="407">
        <f>E20</f>
        <v>0</v>
      </c>
      <c r="AH17" s="408">
        <v>-1</v>
      </c>
      <c r="AJ17" s="407">
        <f>H20</f>
        <v>13.6</v>
      </c>
      <c r="AK17" s="407">
        <f>I20</f>
        <v>34</v>
      </c>
      <c r="AL17" s="408">
        <v>-1</v>
      </c>
      <c r="AO17" s="272" t="s">
        <v>354</v>
      </c>
      <c r="AP17" s="375">
        <f>W46-W45</f>
        <v>-5.6598213872145813</v>
      </c>
      <c r="AQ17" s="375">
        <f t="shared" ref="AQ17:AR17" si="5">X46-X45</f>
        <v>0.5468920421760366</v>
      </c>
      <c r="AR17" s="375">
        <f t="shared" si="5"/>
        <v>-28.862445354334284</v>
      </c>
      <c r="AS17" s="375">
        <f t="shared" si="4"/>
        <v>29.417229999999996</v>
      </c>
    </row>
    <row r="18" spans="2:77">
      <c r="C18" s="536" t="s">
        <v>411</v>
      </c>
      <c r="D18" s="543" t="s">
        <v>444</v>
      </c>
      <c r="E18" s="543"/>
      <c r="F18" s="543"/>
      <c r="G18" s="274"/>
      <c r="H18" s="543" t="s">
        <v>443</v>
      </c>
      <c r="I18" s="543"/>
      <c r="J18" s="543"/>
      <c r="K18" s="274"/>
      <c r="L18" s="274"/>
      <c r="M18" s="274"/>
      <c r="N18" s="274"/>
      <c r="O18" s="274"/>
      <c r="P18" s="274"/>
      <c r="Q18" s="310"/>
      <c r="V18" s="446">
        <v>1</v>
      </c>
      <c r="W18" s="277" t="s">
        <v>438</v>
      </c>
      <c r="X18" s="277"/>
      <c r="Y18" s="277"/>
      <c r="AB18" s="376" t="s">
        <v>316</v>
      </c>
      <c r="AD18" s="558" t="s">
        <v>407</v>
      </c>
      <c r="AE18" s="558"/>
      <c r="AF18" s="398">
        <f>-D21*$D25</f>
        <v>22.360679774997898</v>
      </c>
      <c r="AG18" s="398">
        <f>-E21*$D25</f>
        <v>0</v>
      </c>
      <c r="AH18" s="398">
        <f>-F21*$D25</f>
        <v>-44.721359549995796</v>
      </c>
      <c r="AJ18" s="398">
        <f>-H21*$H25</f>
        <v>-13.608276348795433</v>
      </c>
      <c r="AK18" s="398">
        <f>-I21*$H25</f>
        <v>-34.020690871988585</v>
      </c>
      <c r="AL18" s="398">
        <f>-J21*$H25</f>
        <v>34.020690871988585</v>
      </c>
    </row>
    <row r="19" spans="2:77">
      <c r="C19" s="537"/>
      <c r="D19" s="332" t="s">
        <v>53</v>
      </c>
      <c r="E19" s="332" t="s">
        <v>54</v>
      </c>
      <c r="F19" s="332" t="s">
        <v>55</v>
      </c>
      <c r="G19" s="274"/>
      <c r="H19" s="332" t="s">
        <v>53</v>
      </c>
      <c r="I19" s="332" t="s">
        <v>54</v>
      </c>
      <c r="J19" s="332" t="s">
        <v>55</v>
      </c>
      <c r="K19" s="274"/>
      <c r="L19" s="274"/>
      <c r="M19" s="274"/>
      <c r="N19" s="274"/>
      <c r="O19" s="274"/>
      <c r="P19" s="274"/>
      <c r="Q19" s="310"/>
      <c r="V19" s="309"/>
      <c r="W19" s="277" t="s">
        <v>439</v>
      </c>
      <c r="X19" s="277"/>
      <c r="Y19" s="277"/>
      <c r="AA19" s="198" t="s">
        <v>9</v>
      </c>
      <c r="AB19" s="416">
        <v>4.4999999999999998E-2</v>
      </c>
      <c r="AC19" s="321"/>
      <c r="AD19" s="321"/>
      <c r="AE19" s="391">
        <f>AE$5*AB19-AE12</f>
        <v>0.17515485360528515</v>
      </c>
      <c r="AF19" s="392">
        <f>AVERAGE(W60,W47)-AF12</f>
        <v>0.54156027542942198</v>
      </c>
      <c r="AG19" s="392">
        <f>AVERAGE(X60,X47)-AG12</f>
        <v>-1.1279260215833986</v>
      </c>
      <c r="AH19" s="392">
        <f>AVERAGE(Y60,Y47)-AH12</f>
        <v>1.225593255801499</v>
      </c>
      <c r="AI19" s="391">
        <f>AE$5*AB19-AI12</f>
        <v>0.31445134354141047</v>
      </c>
      <c r="AJ19" s="392">
        <f>AVERAGE(W44,W59)-AJ12</f>
        <v>-0.14707434537020703</v>
      </c>
      <c r="AK19" s="392">
        <f>AVERAGE(X44,X59)-AK12</f>
        <v>-1.1374713498557369</v>
      </c>
      <c r="AL19" s="392">
        <f>AVERAGE(Y44,Y59)-AL12</f>
        <v>-1.2779267473410982</v>
      </c>
      <c r="AO19" s="272" t="s">
        <v>352</v>
      </c>
      <c r="AP19" s="470">
        <f>AP15/$AS15</f>
        <v>0</v>
      </c>
      <c r="AQ19" s="470">
        <f t="shared" ref="AQ19:AS19" si="6">AQ15/$AS15</f>
        <v>-0.57357643635104605</v>
      </c>
      <c r="AR19" s="470">
        <f t="shared" si="6"/>
        <v>-0.81915204428899191</v>
      </c>
      <c r="AS19" s="272">
        <f t="shared" si="6"/>
        <v>1</v>
      </c>
    </row>
    <row r="20" spans="2:77">
      <c r="C20" s="538"/>
      <c r="D20" s="498">
        <v>-0.5</v>
      </c>
      <c r="E20" s="498">
        <v>0</v>
      </c>
      <c r="F20" s="498">
        <v>1</v>
      </c>
      <c r="G20" s="461">
        <f>(D20^2+E20^2+F20^2)^0.5</f>
        <v>1.1180339887498949</v>
      </c>
      <c r="H20" s="498">
        <v>13.6</v>
      </c>
      <c r="I20" s="498">
        <v>34</v>
      </c>
      <c r="J20" s="498">
        <v>-34</v>
      </c>
      <c r="K20" s="462">
        <f>(H20^2+I20^2+J20^2)^0.5</f>
        <v>49.969590752776831</v>
      </c>
      <c r="L20" s="274"/>
      <c r="M20" s="274"/>
      <c r="N20" s="274"/>
      <c r="O20" s="274"/>
      <c r="P20" s="274"/>
      <c r="Q20" s="310"/>
      <c r="U20" s="526" t="s">
        <v>71</v>
      </c>
      <c r="V20" s="526"/>
      <c r="W20" s="526"/>
      <c r="X20" s="526"/>
      <c r="AA20" s="198" t="s">
        <v>8</v>
      </c>
      <c r="AB20" s="416">
        <v>0.14599999999999999</v>
      </c>
      <c r="AC20" s="321"/>
      <c r="AD20" s="321"/>
      <c r="AE20" s="391">
        <f>AE$5*AB20-AE13</f>
        <v>0.54081610460047358</v>
      </c>
      <c r="AF20" s="392">
        <f>AVERAGE(W46,W47)-AF13</f>
        <v>-0.55918835439075565</v>
      </c>
      <c r="AG20" s="392">
        <f>AVERAGE(X46,X47)-AG13</f>
        <v>1.1646406217361687</v>
      </c>
      <c r="AH20" s="392">
        <f>AVERAGE(Y46,Y47)-AH13</f>
        <v>-1.2654869770878463</v>
      </c>
      <c r="AI20" s="391">
        <f t="shared" ref="AI20:AI21" si="7">AE$5*AB20-AI13</f>
        <v>0.99329386762098792</v>
      </c>
      <c r="AJ20" s="392">
        <f>AVERAGE(W43,W44)-AJ13</f>
        <v>0.15186169461091481</v>
      </c>
      <c r="AK20" s="392">
        <f>AVERAGE(X43,X44)-AK13</f>
        <v>1.1744966555903815</v>
      </c>
      <c r="AL20" s="392">
        <f>AVERAGE(Y43,Y44)-AL13</f>
        <v>1.3195239519940145</v>
      </c>
      <c r="AO20" s="272" t="s">
        <v>353</v>
      </c>
      <c r="AP20" s="470">
        <f t="shared" ref="AP20:AS20" si="8">AP16/$AS16</f>
        <v>0.5936466157590744</v>
      </c>
      <c r="AQ20" s="470">
        <f t="shared" si="8"/>
        <v>0.69286828603406381</v>
      </c>
      <c r="AR20" s="470">
        <f t="shared" si="8"/>
        <v>-0.40928869249713778</v>
      </c>
      <c r="AS20" s="272">
        <f t="shared" si="8"/>
        <v>1</v>
      </c>
    </row>
    <row r="21" spans="2:77">
      <c r="C21" s="387" t="s">
        <v>487</v>
      </c>
      <c r="D21" s="399">
        <f>IF(SUM(D20^2,E20^2,F20^2)=0,0,D20/(D20^2+E20^2+F20^2)^0.5)</f>
        <v>-0.44721359549995793</v>
      </c>
      <c r="E21" s="279">
        <f>IF(SUM(D20^2,E20^2,F20^2)=0,0,E20/(D20^2+E20^2+F20^2)^0.5)</f>
        <v>0</v>
      </c>
      <c r="F21" s="279">
        <f>IF(SUM(D20^2,E20^2,F20^2)=0,0,F20/(D20^2+E20^2+F20^2)^0.5)</f>
        <v>0.89442719099991586</v>
      </c>
      <c r="G21" s="274"/>
      <c r="H21" s="279">
        <f>IF(SUM(H20^2,I20^2,J20^2)=0,0,H20/(H20^2+I20^2+J20^2)^0.5)</f>
        <v>0.27216552697590868</v>
      </c>
      <c r="I21" s="279">
        <f>IF(SUM(H20^2,I20^2,J20^2)=0,0,I20/(H20^2+I20^2+J20^2)^0.5)</f>
        <v>0.6804138174397717</v>
      </c>
      <c r="J21" s="279">
        <f>IF(SUM(H20^2,I20^2,J20^2)=0,0,J20/(H20^2+I20^2+J20^2)^0.5)</f>
        <v>-0.6804138174397717</v>
      </c>
      <c r="K21" s="274"/>
      <c r="L21" s="274"/>
      <c r="M21" s="274"/>
      <c r="N21" s="274"/>
      <c r="O21" s="274"/>
      <c r="P21" s="274"/>
      <c r="Q21" s="310"/>
      <c r="V21" s="275" t="s">
        <v>53</v>
      </c>
      <c r="W21" s="275" t="s">
        <v>54</v>
      </c>
      <c r="X21" s="275" t="s">
        <v>55</v>
      </c>
      <c r="AA21" s="198" t="s">
        <v>388</v>
      </c>
      <c r="AB21" s="416">
        <v>0.18429999999999999</v>
      </c>
      <c r="AC21" s="321"/>
      <c r="AD21" s="321"/>
      <c r="AE21" s="391">
        <f>AE$5*AB21-AE14</f>
        <v>0.42094000000000165</v>
      </c>
      <c r="AF21" s="392">
        <f>AVERAGE(W46,W45)-AF14</f>
        <v>0.18224624866831007</v>
      </c>
      <c r="AG21" s="392">
        <f>AVERAGE(X46,X45)-AG14</f>
        <v>-1.7609923758069357E-2</v>
      </c>
      <c r="AH21" s="392">
        <f>AVERAGE(Y46,Y45)-AH14</f>
        <v>0.92937074040956702</v>
      </c>
      <c r="AI21" s="391">
        <f t="shared" si="7"/>
        <v>0.42093999999999809</v>
      </c>
      <c r="AJ21" s="392">
        <f>AVERAGE(W42,W43)-AJ14</f>
        <v>-0.56232273691110279</v>
      </c>
      <c r="AK21" s="392">
        <f>AVERAGE(X42,X43)-AK14</f>
        <v>-0.65630895650502907</v>
      </c>
      <c r="AL21" s="392">
        <f>AVERAGE(Y42,Y43)-AL14</f>
        <v>0.38769249523552674</v>
      </c>
      <c r="AO21" s="272" t="s">
        <v>354</v>
      </c>
      <c r="AP21" s="470">
        <f t="shared" ref="AP21:AS21" si="9">AP17/$AS17</f>
        <v>-0.19239817573628046</v>
      </c>
      <c r="AQ21" s="470">
        <f t="shared" si="9"/>
        <v>1.8590874877615488E-2</v>
      </c>
      <c r="AR21" s="470">
        <f t="shared" si="9"/>
        <v>-0.98114082645899314</v>
      </c>
      <c r="AS21" s="272">
        <f t="shared" si="9"/>
        <v>1</v>
      </c>
    </row>
    <row r="22" spans="2:77">
      <c r="C22" s="387" t="s">
        <v>488</v>
      </c>
      <c r="D22" s="280" t="s">
        <v>440</v>
      </c>
      <c r="E22" s="281" t="s">
        <v>80</v>
      </c>
      <c r="F22" s="281" t="s">
        <v>81</v>
      </c>
      <c r="G22" s="277"/>
      <c r="H22" s="280" t="s">
        <v>440</v>
      </c>
      <c r="I22" s="281" t="s">
        <v>80</v>
      </c>
      <c r="J22" s="281" t="s">
        <v>81</v>
      </c>
      <c r="K22" s="274"/>
      <c r="L22" s="274"/>
      <c r="M22" s="274"/>
      <c r="N22" s="274"/>
      <c r="O22" s="274"/>
      <c r="P22" s="274"/>
      <c r="Q22" s="310"/>
      <c r="U22" s="272" t="s">
        <v>89</v>
      </c>
      <c r="V22" s="352">
        <f>V25+E12</f>
        <v>37.04</v>
      </c>
      <c r="W22" s="352">
        <f>W25+E13</f>
        <v>63.12260788292528</v>
      </c>
      <c r="X22" s="352">
        <f>X25+E14</f>
        <v>131.439338311597</v>
      </c>
      <c r="AA22" s="198" t="s">
        <v>389</v>
      </c>
      <c r="AB22" s="416">
        <v>9.9500000000000005E-2</v>
      </c>
      <c r="AC22" s="321"/>
      <c r="AD22" s="321"/>
      <c r="AE22" s="391">
        <f>AE$5*AB22-AE15</f>
        <v>9.0545076006648628E-2</v>
      </c>
      <c r="AF22" s="392">
        <f>AVERAGE(W63,W41)-AF15</f>
        <v>0</v>
      </c>
      <c r="AG22" s="392">
        <f>AVERAGE(X63,X41)-AG15</f>
        <v>-5.0375051110252471</v>
      </c>
      <c r="AH22" s="392">
        <f>AVERAGE(Y63,Y41)-AH15</f>
        <v>-6.2266899116941943</v>
      </c>
      <c r="AI22" s="391"/>
      <c r="AJ22" s="392"/>
      <c r="AK22" s="392"/>
      <c r="AL22" s="392"/>
    </row>
    <row r="23" spans="2:77">
      <c r="C23" s="380" t="s">
        <v>489</v>
      </c>
      <c r="D23" s="273" t="str">
        <f>IF(D20&gt;0.01,"Right",IF(D20&lt;-0.01,"Left",""))</f>
        <v>Left</v>
      </c>
      <c r="E23" s="273" t="str">
        <f>IF(E20&gt;0.01,"Forward",IF(E20&lt;-0.01,"Backward",""))</f>
        <v/>
      </c>
      <c r="F23" s="273" t="str">
        <f>IF(F20&gt;0.01,"Up",IF(F20&lt;-0.01,"Down",""))</f>
        <v>Up</v>
      </c>
      <c r="G23" s="274"/>
      <c r="H23" s="273" t="str">
        <f>IF(H20&gt;0.01,"Right",IF(H20&lt;-0.01,"Left",""))</f>
        <v>Right</v>
      </c>
      <c r="I23" s="273" t="str">
        <f>IF(I20&gt;0.01,"Forward",IF(I20&lt;-0.01,"Backward",""))</f>
        <v>Forward</v>
      </c>
      <c r="J23" s="273" t="str">
        <f>IF(J20&gt;0.01,"Up",IF(J20&lt;-0.01,"Down",""))</f>
        <v>Down</v>
      </c>
      <c r="K23" s="274"/>
      <c r="L23" s="274"/>
      <c r="M23" s="274"/>
      <c r="N23" s="274"/>
      <c r="O23" s="274"/>
      <c r="P23" s="274"/>
      <c r="Q23" s="310"/>
      <c r="U23" s="272" t="s">
        <v>63</v>
      </c>
      <c r="V23" s="352"/>
      <c r="W23" s="352"/>
      <c r="X23" s="352"/>
      <c r="AA23" s="198" t="s">
        <v>352</v>
      </c>
      <c r="AB23" s="416">
        <v>0.25259999999999999</v>
      </c>
      <c r="AC23" s="321"/>
      <c r="AD23" s="321"/>
      <c r="AE23" s="391">
        <f>AE$5*AB23-AE16</f>
        <v>-4.0600000000026171E-3</v>
      </c>
      <c r="AF23" s="392">
        <f>AVERAGE(W61,W41)-AF16</f>
        <v>0</v>
      </c>
      <c r="AG23" s="392">
        <f>AVERAGE(X61,X41)-AG16</f>
        <v>-4.0584547906890975</v>
      </c>
      <c r="AH23" s="392">
        <f>AVERAGE(Y61,Y41)-AH16</f>
        <v>-5.7960741197756107</v>
      </c>
      <c r="AI23" s="391"/>
      <c r="AJ23" s="392"/>
      <c r="AK23" s="392"/>
      <c r="AL23" s="392"/>
      <c r="AP23" s="471"/>
      <c r="AQ23" s="579" t="s">
        <v>458</v>
      </c>
      <c r="AR23" s="579"/>
    </row>
    <row r="24" spans="2:77">
      <c r="C24" s="274"/>
      <c r="D24" s="309"/>
      <c r="E24" s="274"/>
      <c r="F24" s="274"/>
      <c r="G24" s="274"/>
      <c r="H24" s="274"/>
      <c r="I24" s="274"/>
      <c r="J24" s="274"/>
      <c r="K24" s="274"/>
      <c r="L24" s="274"/>
      <c r="M24" s="274"/>
      <c r="N24" s="274"/>
      <c r="O24" s="274"/>
      <c r="P24" s="274"/>
      <c r="Q24" s="310"/>
      <c r="U24" s="272" t="s">
        <v>61</v>
      </c>
      <c r="V24" s="352"/>
      <c r="W24" s="352"/>
      <c r="X24" s="352"/>
      <c r="AP24" s="472"/>
      <c r="AQ24" s="473" t="s">
        <v>72</v>
      </c>
      <c r="AR24" s="474" t="s">
        <v>71</v>
      </c>
    </row>
    <row r="25" spans="2:77">
      <c r="B25" s="286" t="s">
        <v>336</v>
      </c>
      <c r="C25" s="378" t="s">
        <v>490</v>
      </c>
      <c r="D25" s="544">
        <v>50</v>
      </c>
      <c r="E25" s="544"/>
      <c r="F25" s="283">
        <f>D25/9.81*2.2</f>
        <v>11.213047910295616</v>
      </c>
      <c r="G25" s="274"/>
      <c r="H25" s="544">
        <v>50</v>
      </c>
      <c r="I25" s="544"/>
      <c r="J25" s="510">
        <f>H25/9.81*2.2</f>
        <v>11.213047910295616</v>
      </c>
      <c r="R25" s="511"/>
      <c r="U25" s="272" t="s">
        <v>59</v>
      </c>
      <c r="V25" s="352">
        <f>W42</f>
        <v>17.04</v>
      </c>
      <c r="W25" s="352">
        <f>X42</f>
        <v>23.122607882925283</v>
      </c>
      <c r="X25" s="352">
        <f>Y42</f>
        <v>121.43933831159701</v>
      </c>
      <c r="AF25" s="377" t="s">
        <v>53</v>
      </c>
      <c r="AG25" s="377" t="s">
        <v>54</v>
      </c>
      <c r="AH25" s="377" t="s">
        <v>55</v>
      </c>
      <c r="AJ25" s="397" t="s">
        <v>53</v>
      </c>
      <c r="AK25" s="397" t="s">
        <v>54</v>
      </c>
      <c r="AL25" s="397" t="s">
        <v>55</v>
      </c>
      <c r="AP25" s="473" t="s">
        <v>455</v>
      </c>
      <c r="AQ25" s="509">
        <f>'Lft - Gravity correction'!U19</f>
        <v>36.704310924697701</v>
      </c>
      <c r="AR25" s="509">
        <f>'Rt - Gravity correction'!U19</f>
        <v>91.814061097534179</v>
      </c>
      <c r="BY25" s="285"/>
    </row>
    <row r="26" spans="2:77">
      <c r="C26" s="379"/>
      <c r="D26" s="333"/>
      <c r="E26" s="333"/>
      <c r="F26" s="317"/>
      <c r="G26" s="274"/>
      <c r="H26" s="334"/>
      <c r="I26" s="334"/>
      <c r="J26" s="322"/>
      <c r="R26" s="511"/>
      <c r="V26" s="353">
        <f>V22-V25</f>
        <v>20</v>
      </c>
      <c r="W26" s="353">
        <f t="shared" ref="W26:X26" si="10">W22-W25</f>
        <v>40</v>
      </c>
      <c r="X26" s="353">
        <f t="shared" si="10"/>
        <v>9.9999999999999858</v>
      </c>
      <c r="AC26" s="559" t="s">
        <v>418</v>
      </c>
      <c r="AD26" s="198" t="s">
        <v>9</v>
      </c>
      <c r="AF26" s="421">
        <f t="shared" ref="AF26:AH30" si="11">AF12/100-AF$32</f>
        <v>-0.31482277829769501</v>
      </c>
      <c r="AG26" s="421">
        <f t="shared" si="11"/>
        <v>0.41961020932851922</v>
      </c>
      <c r="AH26" s="421">
        <f t="shared" si="11"/>
        <v>-0.20858492800732131</v>
      </c>
      <c r="AJ26" s="402">
        <f t="shared" ref="AJ26:AL28" si="12">AJ12/100-AF$32</f>
        <v>0.36888536484659873</v>
      </c>
      <c r="AK26" s="402">
        <f t="shared" si="12"/>
        <v>0.61951190741382678</v>
      </c>
      <c r="AL26" s="402">
        <f t="shared" si="12"/>
        <v>0.36563274133223622</v>
      </c>
      <c r="AP26" s="473" t="s">
        <v>456</v>
      </c>
      <c r="AQ26" s="475">
        <f xml:space="preserve"> 0.655 * AQ25 + 0.0002717 * AQ25^2</f>
        <v>24.407359645549128</v>
      </c>
      <c r="AR26" s="475">
        <f xml:space="preserve"> 0.655 * AR25 + 0.0002717 * AR25^2</f>
        <v>62.428592606080635</v>
      </c>
      <c r="BY26" s="285"/>
    </row>
    <row r="27" spans="2:77" ht="14" customHeight="1">
      <c r="B27" s="533" t="s">
        <v>337</v>
      </c>
      <c r="C27" s="378" t="s">
        <v>491</v>
      </c>
      <c r="D27" s="540">
        <v>420</v>
      </c>
      <c r="E27" s="540"/>
      <c r="F27" s="547"/>
      <c r="G27" s="548"/>
      <c r="H27" s="540">
        <v>100</v>
      </c>
      <c r="I27" s="540"/>
      <c r="J27" s="322"/>
      <c r="R27" s="511"/>
      <c r="U27" s="274" t="s">
        <v>320</v>
      </c>
      <c r="W27" s="285" t="s">
        <v>318</v>
      </c>
      <c r="X27" s="285" t="s">
        <v>317</v>
      </c>
      <c r="AC27" s="559"/>
      <c r="AD27" s="198" t="s">
        <v>8</v>
      </c>
      <c r="AF27" s="421">
        <f t="shared" si="11"/>
        <v>-0.25711439893556615</v>
      </c>
      <c r="AG27" s="421">
        <f t="shared" si="11"/>
        <v>0.29941900310620378</v>
      </c>
      <c r="AH27" s="421">
        <f t="shared" si="11"/>
        <v>-7.7986352450099328E-2</v>
      </c>
      <c r="AJ27" s="402">
        <f t="shared" si="12"/>
        <v>0.35321319961931907</v>
      </c>
      <c r="AK27" s="402">
        <f t="shared" si="12"/>
        <v>0.49830355600921478</v>
      </c>
      <c r="AL27" s="402">
        <f t="shared" si="12"/>
        <v>0.22945753632094723</v>
      </c>
      <c r="AP27" s="473" t="s">
        <v>459</v>
      </c>
      <c r="AQ27" s="476">
        <f>IF(AQ26&lt;60,1, IF(AQ26&gt;90,0, IF(AND(AQ26&gt;6, AQ26&lt;=90), 1 - (AQ26-60)/30)))</f>
        <v>1</v>
      </c>
      <c r="AR27" s="476">
        <f>IF(AR26&lt;60,1, IF(AR26&gt;90,0, IF(AND(AR26&gt;6, AR26&lt;=90), 1 - (AR26-60)/30)))</f>
        <v>0.91904691313064557</v>
      </c>
      <c r="BY27" s="285"/>
    </row>
    <row r="28" spans="2:77">
      <c r="B28" s="534"/>
      <c r="C28" s="378" t="s">
        <v>492</v>
      </c>
      <c r="D28" s="541">
        <v>1</v>
      </c>
      <c r="E28" s="541"/>
      <c r="F28" s="547" t="str">
        <f>IF(D28&lt;&gt;H28,"&lt; Not the same &gt;", "")</f>
        <v/>
      </c>
      <c r="G28" s="548"/>
      <c r="H28" s="541">
        <v>1</v>
      </c>
      <c r="I28" s="541"/>
      <c r="J28" s="322"/>
      <c r="R28" s="511"/>
      <c r="U28" s="316" t="s">
        <v>316</v>
      </c>
      <c r="V28" s="318">
        <v>0.8</v>
      </c>
      <c r="W28" s="285">
        <f>+V28*X28*100</f>
        <v>47.909448000000005</v>
      </c>
      <c r="X28" s="285">
        <f>'Rt - Gravity correction'!O6</f>
        <v>0.59886810000000001</v>
      </c>
      <c r="AC28" s="559"/>
      <c r="AD28" s="198" t="s">
        <v>388</v>
      </c>
      <c r="AF28" s="421">
        <f t="shared" si="11"/>
        <v>-0.20052156942275598</v>
      </c>
      <c r="AG28" s="421">
        <f t="shared" si="11"/>
        <v>0.23413663827771369</v>
      </c>
      <c r="AH28" s="421">
        <f t="shared" si="11"/>
        <v>0.12518744894020295</v>
      </c>
      <c r="AJ28" s="402">
        <f t="shared" si="12"/>
        <v>0.26334042254164258</v>
      </c>
      <c r="AK28" s="402">
        <f t="shared" si="12"/>
        <v>0.33970049704415234</v>
      </c>
      <c r="AL28" s="402">
        <f t="shared" si="12"/>
        <v>0.21471576014567706</v>
      </c>
      <c r="AP28" s="274" t="s">
        <v>509</v>
      </c>
      <c r="BY28" s="285"/>
    </row>
    <row r="29" spans="2:77">
      <c r="B29" s="535"/>
      <c r="C29" s="380" t="s">
        <v>493</v>
      </c>
      <c r="D29" s="532">
        <f>(D27*D28)/25200</f>
        <v>1.6666666666666666E-2</v>
      </c>
      <c r="E29" s="532"/>
      <c r="F29" s="317"/>
      <c r="G29" s="274"/>
      <c r="H29" s="532">
        <f>(H27*H28)/25200</f>
        <v>3.968253968253968E-3</v>
      </c>
      <c r="I29" s="532"/>
      <c r="J29" s="322"/>
      <c r="K29" s="586" t="s">
        <v>442</v>
      </c>
      <c r="L29" s="586"/>
      <c r="M29" s="586"/>
      <c r="N29" s="586"/>
      <c r="O29" s="586"/>
      <c r="P29" s="586"/>
      <c r="Q29" s="586"/>
      <c r="R29" s="586"/>
      <c r="U29" s="316"/>
      <c r="V29" s="318"/>
      <c r="W29" s="285"/>
      <c r="X29" s="285"/>
      <c r="AC29" s="559"/>
      <c r="AD29" s="424" t="s">
        <v>389</v>
      </c>
      <c r="AE29" s="277"/>
      <c r="AF29" s="427">
        <f t="shared" si="11"/>
        <v>0</v>
      </c>
      <c r="AG29" s="427">
        <f t="shared" si="11"/>
        <v>0.33534286468808278</v>
      </c>
      <c r="AH29" s="427">
        <f t="shared" si="11"/>
        <v>0.45956698434808185</v>
      </c>
      <c r="AJ29" s="422"/>
      <c r="AK29" s="422"/>
      <c r="AL29" s="422"/>
      <c r="AP29" s="274" t="s">
        <v>510</v>
      </c>
      <c r="BY29" s="285"/>
    </row>
    <row r="30" spans="2:77">
      <c r="C30" s="381"/>
      <c r="D30" s="274"/>
      <c r="E30" s="274"/>
      <c r="F30" s="309"/>
      <c r="G30" s="274"/>
      <c r="H30" s="274"/>
      <c r="I30" s="274"/>
      <c r="J30" s="322"/>
      <c r="R30" s="511"/>
      <c r="U30" s="316" t="s">
        <v>319</v>
      </c>
      <c r="V30" s="275">
        <v>-40</v>
      </c>
      <c r="W30" s="285">
        <f>((W34-W25)^2+(X34-X25)^2)^0.5</f>
        <v>161.47197253396254</v>
      </c>
      <c r="X30" s="285"/>
      <c r="AC30" s="559"/>
      <c r="AD30" s="424" t="s">
        <v>352</v>
      </c>
      <c r="AE30" s="277"/>
      <c r="AF30" s="427">
        <f t="shared" si="11"/>
        <v>0</v>
      </c>
      <c r="AG30" s="427">
        <f t="shared" si="11"/>
        <v>0.15788092914067989</v>
      </c>
      <c r="AH30" s="427">
        <f t="shared" si="11"/>
        <v>0.22547733425485506</v>
      </c>
      <c r="AJ30" s="422"/>
      <c r="AK30" s="422"/>
      <c r="AL30" s="422"/>
      <c r="AQ30" s="518">
        <f>DEGREES(ACOS((AP19*AP21+AQ19*AQ21+AR19*AR21)))</f>
        <v>37.529460015781517</v>
      </c>
      <c r="AR30" s="518">
        <f>DEGREES(ACOS((AP19*AP20+AQ19*AQ20+AR19*AR20)))</f>
        <v>93.562841801905407</v>
      </c>
      <c r="BY30" s="285"/>
    </row>
    <row r="31" spans="2:77">
      <c r="B31" s="584" t="s">
        <v>158</v>
      </c>
      <c r="C31" s="384" t="s">
        <v>494</v>
      </c>
      <c r="D31" s="572">
        <f>IF(D$4="Female",'Lft - ANN 13 nodes'!T66,IF(D$4="Male",'Lft - ANN 13 nodes'!W66,"Sex?"))</f>
        <v>79.776299594539381</v>
      </c>
      <c r="E31" s="572"/>
      <c r="F31" s="283">
        <f>D31/9.81*2.2</f>
        <v>17.890709389193336</v>
      </c>
      <c r="G31" s="310"/>
      <c r="H31" s="572">
        <f>IF(D$4="Female",'Rt - ANN 13 nodes'!T66,IF(D$4="Male",'Rt - ANN 13 nodes'!W66,"Sex?"))</f>
        <v>65.30399533622807</v>
      </c>
      <c r="I31" s="572"/>
      <c r="J31" s="510">
        <f>H31/9.81*2.2</f>
        <v>14.645136568776937</v>
      </c>
      <c r="R31" s="511"/>
      <c r="S31" s="285"/>
    </row>
    <row r="32" spans="2:77">
      <c r="B32" s="584"/>
      <c r="C32" s="382" t="s">
        <v>495</v>
      </c>
      <c r="D32" s="527">
        <f>'Lft - ANN 13 nodes'!T84</f>
        <v>0.64191921435715538</v>
      </c>
      <c r="E32" s="528"/>
      <c r="F32" s="283"/>
      <c r="G32" s="310"/>
      <c r="H32" s="527">
        <f>'Rt - ANN 13 nodes'!T84</f>
        <v>0.69888182275584787</v>
      </c>
      <c r="I32" s="528"/>
      <c r="J32" s="510"/>
      <c r="K32" s="80"/>
      <c r="L32" s="80"/>
      <c r="M32" s="80"/>
      <c r="N32" s="80"/>
      <c r="O32" s="80"/>
      <c r="P32" s="80"/>
      <c r="Q32" s="80"/>
      <c r="R32" s="80"/>
      <c r="S32" s="285"/>
      <c r="AC32" s="381" t="s">
        <v>416</v>
      </c>
      <c r="AD32" s="401" t="s">
        <v>68</v>
      </c>
      <c r="AF32" s="403">
        <f>W61/100</f>
        <v>0</v>
      </c>
      <c r="AG32" s="403">
        <f>X61/100</f>
        <v>0</v>
      </c>
      <c r="AH32" s="403">
        <f>Y61/100</f>
        <v>0.93559999999999999</v>
      </c>
    </row>
    <row r="33" spans="2:58">
      <c r="B33" s="584"/>
      <c r="C33" s="383" t="s">
        <v>496</v>
      </c>
      <c r="D33" s="539">
        <f>IF(D27*D28&lt;1,1,(1-((D29-1/25200)^0.24)))</f>
        <v>0.62589351575474783</v>
      </c>
      <c r="E33" s="539"/>
      <c r="F33" s="278"/>
      <c r="G33" s="310"/>
      <c r="H33" s="539">
        <f>IF(H27*H28&lt;1,1,(1-((H29-1/25200)^0.24)))</f>
        <v>0.73538386798570232</v>
      </c>
      <c r="I33" s="539"/>
      <c r="J33" s="512"/>
      <c r="L33" s="573" t="s">
        <v>436</v>
      </c>
      <c r="M33" s="573"/>
      <c r="N33" s="513"/>
      <c r="R33" s="511"/>
      <c r="U33" s="575" t="s">
        <v>89</v>
      </c>
      <c r="V33" s="575"/>
      <c r="W33" s="275" t="s">
        <v>321</v>
      </c>
      <c r="X33" s="275" t="s">
        <v>322</v>
      </c>
    </row>
    <row r="34" spans="2:58">
      <c r="B34" s="584"/>
      <c r="C34" s="495" t="s">
        <v>497</v>
      </c>
      <c r="D34" s="529">
        <f>IF(D4="Female",'Lft - ANN 13 nodes'!T77,'Lft - ANN 13 nodes'!W77)</f>
        <v>48.66737892137828</v>
      </c>
      <c r="E34" s="529"/>
      <c r="F34" s="283">
        <f>D34/9.81*2.2</f>
        <v>10.914193030278513</v>
      </c>
      <c r="G34" s="319"/>
      <c r="H34" s="529">
        <f>IF(D4="Female",'Rt - ANN 13 nodes'!T77,'Rt - ANN 13 nodes'!W77)</f>
        <v>51.855175715637827</v>
      </c>
      <c r="I34" s="529"/>
      <c r="J34" s="510">
        <f>H34/9.81*2.2</f>
        <v>11.629091393924895</v>
      </c>
      <c r="L34" s="573"/>
      <c r="M34" s="573"/>
      <c r="N34" s="514">
        <v>0.5</v>
      </c>
      <c r="R34" s="511"/>
      <c r="U34" s="574" t="s">
        <v>323</v>
      </c>
      <c r="V34" s="574"/>
      <c r="W34" s="285">
        <f>(W28^2-V30^2)^0.5</f>
        <v>26.368830229358</v>
      </c>
      <c r="X34" s="285">
        <f>V30</f>
        <v>-40</v>
      </c>
      <c r="AF34" s="560" t="s">
        <v>398</v>
      </c>
      <c r="AG34" s="560"/>
      <c r="AH34" s="560"/>
      <c r="AI34" s="560"/>
      <c r="AJ34" s="560"/>
      <c r="AK34" s="560"/>
      <c r="AL34" s="560"/>
    </row>
    <row r="35" spans="2:58">
      <c r="B35" s="584"/>
      <c r="C35" s="385" t="s">
        <v>498</v>
      </c>
      <c r="D35" s="590">
        <f>IF(D4="Female",'Lft - ANN 13 nodes'!T78*100,'Lft - ANN 13 nodes'!W78*100)</f>
        <v>72.541014257518924</v>
      </c>
      <c r="E35" s="590"/>
      <c r="F35" s="310"/>
      <c r="G35" s="310"/>
      <c r="H35" s="571">
        <f>IF(D4="Female",'Rt - ANN 13 nodes'!T78*100,'Rt - ANN 13 nodes'!W78*100)</f>
        <v>79.413513640880524</v>
      </c>
      <c r="I35" s="571"/>
      <c r="L35" s="573"/>
      <c r="M35" s="573"/>
      <c r="R35" s="511"/>
      <c r="U35" s="574" t="s">
        <v>324</v>
      </c>
      <c r="V35" s="574"/>
      <c r="W35" s="285">
        <v>10</v>
      </c>
      <c r="X35" s="285">
        <v>47.3</v>
      </c>
      <c r="AF35" s="561" t="s">
        <v>72</v>
      </c>
      <c r="AG35" s="561"/>
      <c r="AH35" s="561"/>
      <c r="AJ35" s="561" t="s">
        <v>71</v>
      </c>
      <c r="AK35" s="561"/>
      <c r="AL35" s="561"/>
    </row>
    <row r="36" spans="2:58" ht="14" customHeight="1">
      <c r="B36" s="584"/>
      <c r="C36" s="519" t="s">
        <v>513</v>
      </c>
      <c r="D36" s="580">
        <f>AQ27</f>
        <v>1</v>
      </c>
      <c r="E36" s="581"/>
      <c r="F36" s="515">
        <f>ABS(AQ26)</f>
        <v>24.407359645549128</v>
      </c>
      <c r="H36" s="582">
        <f>AR27</f>
        <v>0.91904691313064557</v>
      </c>
      <c r="I36" s="583"/>
      <c r="J36" s="515">
        <f>ABS(AR26)</f>
        <v>62.428592606080635</v>
      </c>
      <c r="R36" s="511"/>
      <c r="AF36" s="273" t="s">
        <v>395</v>
      </c>
      <c r="AG36" s="273" t="s">
        <v>396</v>
      </c>
      <c r="AH36" s="273" t="s">
        <v>397</v>
      </c>
      <c r="AJ36" s="273" t="str">
        <f>AF36</f>
        <v>Ext +</v>
      </c>
      <c r="AK36" s="273" t="str">
        <f t="shared" ref="AK36:AL36" si="13">AG36</f>
        <v>RtLat +</v>
      </c>
      <c r="AL36" s="273" t="str">
        <f t="shared" si="13"/>
        <v>LtTwst +</v>
      </c>
      <c r="AP36" s="329"/>
      <c r="AQ36" s="329"/>
    </row>
    <row r="37" spans="2:58" ht="15" customHeight="1">
      <c r="B37" s="584"/>
      <c r="C37" s="496" t="s">
        <v>512</v>
      </c>
      <c r="D37" s="588">
        <f>D34*D36</f>
        <v>48.66737892137828</v>
      </c>
      <c r="E37" s="588"/>
      <c r="F37" s="283">
        <f>D37/9.81*2.2</f>
        <v>10.914193030278513</v>
      </c>
      <c r="H37" s="588">
        <f>H34*H36</f>
        <v>47.657339171304159</v>
      </c>
      <c r="I37" s="588"/>
      <c r="J37" s="510">
        <f>H37/9.81*2.2</f>
        <v>10.687680548100831</v>
      </c>
      <c r="R37" s="511"/>
      <c r="V37" s="272" t="s">
        <v>295</v>
      </c>
      <c r="W37" s="352">
        <v>9.07</v>
      </c>
      <c r="X37" s="352">
        <v>0</v>
      </c>
      <c r="Y37" s="352">
        <v>6.23</v>
      </c>
      <c r="AC37" s="559" t="s">
        <v>417</v>
      </c>
      <c r="AD37" s="198" t="s">
        <v>9</v>
      </c>
      <c r="AF37" s="405">
        <f>AG26*-$AD12</f>
        <v>-1.7850665189708146</v>
      </c>
      <c r="AG37" s="405">
        <f>0 - (-AF26*$AD12)</f>
        <v>-1.3392896275042834</v>
      </c>
      <c r="AH37" s="405">
        <v>0</v>
      </c>
      <c r="AI37" s="406"/>
      <c r="AJ37" s="405">
        <f>AK26*-$AD12</f>
        <v>-2.6354696321565592</v>
      </c>
      <c r="AK37" s="405">
        <f>0 - (-AJ26*$AD12)</f>
        <v>1.5692776283487875</v>
      </c>
      <c r="AL37" s="405">
        <v>0</v>
      </c>
      <c r="AP37" s="329"/>
      <c r="AQ37" s="329">
        <v>100</v>
      </c>
      <c r="AR37" s="274">
        <v>20</v>
      </c>
      <c r="AS37" s="274">
        <f>AR37</f>
        <v>20</v>
      </c>
      <c r="AT37" s="429">
        <f>(AQ37^2+AR37^2+AS37^2)^0.5</f>
        <v>103.92304845413264</v>
      </c>
    </row>
    <row r="38" spans="2:58">
      <c r="B38" s="584"/>
      <c r="R38" s="511"/>
      <c r="W38" s="285" t="s">
        <v>373</v>
      </c>
      <c r="X38" s="285" t="s">
        <v>374</v>
      </c>
      <c r="Y38" s="285" t="s">
        <v>375</v>
      </c>
      <c r="AC38" s="559"/>
      <c r="AD38" s="198" t="s">
        <v>8</v>
      </c>
      <c r="AF38" s="405">
        <f t="shared" ref="AF38:AF41" si="14">AG27*-$AD13</f>
        <v>-3.2167845554797569</v>
      </c>
      <c r="AG38" s="405">
        <f t="shared" ref="AG38:AG41" si="15">0 - (-AF27*AD13)</f>
        <v>-2.7622883614839391</v>
      </c>
      <c r="AH38" s="405">
        <v>0</v>
      </c>
      <c r="AI38" s="406"/>
      <c r="AJ38" s="405">
        <f>AK27*-$AD13</f>
        <v>-5.3534851371558529</v>
      </c>
      <c r="AK38" s="405">
        <f>0 - (-AJ27*$AD13)</f>
        <v>3.7947182828739852</v>
      </c>
      <c r="AL38" s="405">
        <v>0</v>
      </c>
      <c r="AP38" s="329"/>
      <c r="AQ38" s="329">
        <f>AQ37/AT37</f>
        <v>0.96225044864937626</v>
      </c>
    </row>
    <row r="39" spans="2:58">
      <c r="B39" s="584"/>
      <c r="C39" s="587" t="s">
        <v>511</v>
      </c>
      <c r="D39" s="587"/>
      <c r="E39" s="587"/>
      <c r="F39" s="585">
        <f>IF(D4="Female",AF61,AF133)</f>
        <v>1650.112233991239</v>
      </c>
      <c r="G39" s="585"/>
      <c r="R39" s="511"/>
      <c r="W39" s="286" t="s">
        <v>53</v>
      </c>
      <c r="X39" s="286" t="s">
        <v>54</v>
      </c>
      <c r="Y39" s="286" t="s">
        <v>55</v>
      </c>
      <c r="AC39" s="559"/>
      <c r="AD39" s="198" t="s">
        <v>388</v>
      </c>
      <c r="AF39" s="405">
        <f t="shared" si="14"/>
        <v>-4.5581591964754251</v>
      </c>
      <c r="AG39" s="405">
        <f t="shared" si="15"/>
        <v>-3.903742884835895</v>
      </c>
      <c r="AH39" s="405">
        <v>0</v>
      </c>
      <c r="AI39" s="406"/>
      <c r="AJ39" s="405">
        <f>AK28*-$AD14</f>
        <v>-6.6132705929282203</v>
      </c>
      <c r="AK39" s="405">
        <f>0 - (-AJ28*$AD14)</f>
        <v>5.1266968623174582</v>
      </c>
      <c r="AL39" s="405">
        <v>0</v>
      </c>
    </row>
    <row r="40" spans="2:58">
      <c r="C40"/>
      <c r="D40"/>
      <c r="E40"/>
      <c r="F40"/>
      <c r="G40"/>
      <c r="H40"/>
      <c r="I40"/>
      <c r="J40"/>
      <c r="K40"/>
      <c r="L40"/>
      <c r="M40"/>
      <c r="N40"/>
      <c r="O40"/>
      <c r="P40"/>
      <c r="Q40"/>
      <c r="U40" s="272">
        <v>0</v>
      </c>
      <c r="V40" s="367" t="s">
        <v>299</v>
      </c>
      <c r="W40" s="365">
        <f>W94</f>
        <v>0</v>
      </c>
      <c r="X40" s="365">
        <f>X94+X$61</f>
        <v>41.024199922526059</v>
      </c>
      <c r="Y40" s="365">
        <f>Y94+Y$61</f>
        <v>137.18985584111658</v>
      </c>
      <c r="AC40" s="559"/>
      <c r="AD40" s="198" t="s">
        <v>389</v>
      </c>
      <c r="AF40" s="405">
        <f t="shared" si="14"/>
        <v>-19.10172145278937</v>
      </c>
      <c r="AG40" s="405">
        <f t="shared" si="15"/>
        <v>0</v>
      </c>
      <c r="AH40" s="405">
        <v>0</v>
      </c>
      <c r="AI40" s="406"/>
      <c r="AJ40" s="423"/>
      <c r="AK40" s="423"/>
      <c r="AL40" s="423"/>
    </row>
    <row r="41" spans="2:58">
      <c r="J41" s="274"/>
      <c r="K41" s="274"/>
      <c r="L41" s="274"/>
      <c r="M41" s="274"/>
      <c r="N41" s="274"/>
      <c r="O41" s="274"/>
      <c r="P41" s="274"/>
      <c r="Q41" s="310"/>
      <c r="T41" s="2"/>
      <c r="U41" s="272">
        <v>1</v>
      </c>
      <c r="V41" s="367" t="s">
        <v>67</v>
      </c>
      <c r="W41" s="365">
        <f t="shared" ref="W41:X42" si="16">W95</f>
        <v>0</v>
      </c>
      <c r="X41" s="365">
        <f>X95+X$61</f>
        <v>23.459276246757785</v>
      </c>
      <c r="Y41" s="365">
        <f>Y95+Y$61</f>
        <v>127.06331861141977</v>
      </c>
      <c r="AC41" s="559"/>
      <c r="AD41" s="198" t="s">
        <v>352</v>
      </c>
      <c r="AF41" s="405">
        <f t="shared" si="14"/>
        <v>-30.519880866684932</v>
      </c>
      <c r="AG41" s="405">
        <f t="shared" si="15"/>
        <v>0</v>
      </c>
      <c r="AH41" s="405">
        <v>0</v>
      </c>
      <c r="AI41" s="406"/>
      <c r="AJ41" s="423"/>
      <c r="AK41" s="423"/>
      <c r="AL41" s="423"/>
    </row>
    <row r="42" spans="2:58" ht="14" customHeight="1">
      <c r="C42" s="578" t="str">
        <f>"Note: " &amp; V18 &amp; " N is the minimum force to turn on the AFF. Otherwise, the app assumesthe only force is Up to support the weight of the arm against gravity so the Effort value can be used in a cumulative fatigue analysis."</f>
        <v>Note: 1 N is the minimum force to turn on the AFF. Otherwise, the app assumesthe only force is Up to support the weight of the arm against gravity so the Effort value can be used in a cumulative fatigue analysis.</v>
      </c>
      <c r="D42" s="578"/>
      <c r="E42" s="578"/>
      <c r="F42" s="578"/>
      <c r="G42" s="578"/>
      <c r="H42" s="578"/>
      <c r="I42" s="578"/>
      <c r="J42" s="274"/>
      <c r="K42" s="274"/>
      <c r="L42" s="274"/>
      <c r="M42" s="274"/>
      <c r="N42" s="274"/>
      <c r="O42" s="274"/>
      <c r="P42" s="274"/>
      <c r="Q42" s="310"/>
      <c r="U42" s="272">
        <v>2</v>
      </c>
      <c r="V42" s="367" t="s">
        <v>285</v>
      </c>
      <c r="W42" s="365">
        <f t="shared" si="16"/>
        <v>17.04</v>
      </c>
      <c r="X42" s="365">
        <f t="shared" si="16"/>
        <v>23.122607882925283</v>
      </c>
      <c r="Y42" s="365">
        <f>Y96+Y$61</f>
        <v>121.43933831159701</v>
      </c>
      <c r="AD42" s="404" t="s">
        <v>394</v>
      </c>
      <c r="AF42" s="410">
        <f>AG26*AH18-AH26*AG18</f>
        <v>-18.765539042229708</v>
      </c>
      <c r="AG42" s="410">
        <f>AH26*AF18 -AF26*AH18</f>
        <v>-18.743403443842531</v>
      </c>
      <c r="AH42" s="410">
        <f>AF26*AG18-AG26*AF18</f>
        <v>-9.3827695211148541</v>
      </c>
      <c r="AI42" s="406"/>
      <c r="AJ42" s="410">
        <f>AK26*AL18-AL26*AK18</f>
        <v>33.515301559183584</v>
      </c>
      <c r="AK42" s="410">
        <f>AL26*AJ18 -AJ26*AL18</f>
        <v>-17.525366350863568</v>
      </c>
      <c r="AL42" s="410">
        <f>AJ26*AK18-AK26*AJ18</f>
        <v>-4.1192457271901333</v>
      </c>
      <c r="AO42" s="274" t="s">
        <v>280</v>
      </c>
      <c r="AW42" s="331"/>
      <c r="AX42" s="331"/>
    </row>
    <row r="43" spans="2:58" ht="14" customHeight="1">
      <c r="C43" s="578"/>
      <c r="D43" s="578"/>
      <c r="E43" s="578"/>
      <c r="F43" s="578"/>
      <c r="G43" s="578"/>
      <c r="H43" s="578"/>
      <c r="I43" s="578"/>
      <c r="J43" s="274"/>
      <c r="K43" s="274"/>
      <c r="L43" s="274"/>
      <c r="M43" s="274"/>
      <c r="N43" s="274"/>
      <c r="O43" s="274"/>
      <c r="P43" s="274"/>
      <c r="Q43" s="310"/>
      <c r="U43" s="272">
        <v>3</v>
      </c>
      <c r="V43" s="354" t="s">
        <v>290</v>
      </c>
      <c r="W43" s="355">
        <f>W42 + 'Rt - Gravity correction'!B73*100</f>
        <v>34.503439034506314</v>
      </c>
      <c r="X43" s="355">
        <f>X42 + 'Rt - Gravity correction'!C73*100</f>
        <v>43.504873612895125</v>
      </c>
      <c r="Y43" s="355">
        <f>Y42 + 'Rt - Gravity correction'!D73*100</f>
        <v>109.39919870800944</v>
      </c>
      <c r="AF43" s="286" t="s">
        <v>473</v>
      </c>
      <c r="AG43" s="286" t="s">
        <v>317</v>
      </c>
      <c r="AH43" s="286" t="s">
        <v>474</v>
      </c>
      <c r="AO43" s="274" t="s">
        <v>281</v>
      </c>
    </row>
    <row r="44" spans="2:58" ht="14" customHeight="1">
      <c r="C44" s="578"/>
      <c r="D44" s="578"/>
      <c r="E44" s="578"/>
      <c r="F44" s="578"/>
      <c r="G44" s="578"/>
      <c r="H44" s="578"/>
      <c r="I44" s="578"/>
      <c r="J44" s="274"/>
      <c r="K44" s="274"/>
      <c r="L44" s="274"/>
      <c r="M44" s="274"/>
      <c r="N44" s="274"/>
      <c r="O44" s="274"/>
      <c r="P44" s="274"/>
      <c r="Q44" s="310"/>
      <c r="U44" s="272">
        <v>4</v>
      </c>
      <c r="V44" s="354" t="s">
        <v>286</v>
      </c>
      <c r="W44" s="355">
        <f>W42 + 'Rt - Gravity correction'!B72*100</f>
        <v>36.442924278579326</v>
      </c>
      <c r="X44" s="355">
        <f>X45 + 'Rt - Gravity correction'!C72*100</f>
        <v>58.504830900128596</v>
      </c>
      <c r="Y44" s="355">
        <f>Y45 + 'Rt - Gravity correction'!D72*100</f>
        <v>126.25135646016804</v>
      </c>
      <c r="AD44" s="562" t="s">
        <v>414</v>
      </c>
      <c r="AE44" s="562"/>
      <c r="AF44" s="409">
        <f>SUM(AF37:AF42)+SUM(AJ37:AJ42)</f>
        <v>-59.034075435687058</v>
      </c>
      <c r="AG44" s="409">
        <f>SUM(AG37:AG42)+SUM(AK37:AK42)</f>
        <v>-33.783397894989989</v>
      </c>
      <c r="AH44" s="409">
        <f>SUM(AH37:AH42)+SUM(AL37:AL42)</f>
        <v>-13.502015248304987</v>
      </c>
      <c r="AI44" s="429">
        <f>(AF44^2+AG44^2+AH44^2)^0.5</f>
        <v>69.344390195913206</v>
      </c>
      <c r="AJ44" s="428" t="s">
        <v>43</v>
      </c>
    </row>
    <row r="45" spans="2:58" ht="14" customHeight="1">
      <c r="J45" s="274"/>
      <c r="K45" s="274"/>
      <c r="L45" s="274"/>
      <c r="M45" s="274"/>
      <c r="N45" s="274"/>
      <c r="O45" s="274"/>
      <c r="P45" s="274"/>
      <c r="Q45" s="310"/>
      <c r="U45" s="272">
        <v>5</v>
      </c>
      <c r="V45" s="367" t="s">
        <v>288</v>
      </c>
      <c r="W45" s="365">
        <f>W99</f>
        <v>-17.04</v>
      </c>
      <c r="X45" s="365">
        <f>X99+X$61</f>
        <v>23.122607882925283</v>
      </c>
      <c r="Y45" s="365">
        <f>Y99+Y$61</f>
        <v>121.43933831159701</v>
      </c>
      <c r="AD45" s="563" t="s">
        <v>419</v>
      </c>
      <c r="AE45" s="563"/>
      <c r="AF45" s="56">
        <f>AF44/AI44</f>
        <v>-0.85131724814224718</v>
      </c>
      <c r="AG45" s="56">
        <f>AG44/AI44</f>
        <v>-0.48718285357394353</v>
      </c>
      <c r="AH45" s="56">
        <f>AH44/AI44</f>
        <v>-0.19470955343552399</v>
      </c>
      <c r="AO45" s="274" t="s">
        <v>355</v>
      </c>
      <c r="AU45" s="274" t="s">
        <v>356</v>
      </c>
      <c r="BB45" s="274" t="s">
        <v>360</v>
      </c>
    </row>
    <row r="46" spans="2:58" ht="14" customHeight="1">
      <c r="J46" s="274"/>
      <c r="K46" s="274"/>
      <c r="L46" s="274"/>
      <c r="M46" s="274"/>
      <c r="N46" s="274"/>
      <c r="O46" s="274"/>
      <c r="P46" s="274"/>
      <c r="Q46" s="310"/>
      <c r="U46" s="272">
        <v>6</v>
      </c>
      <c r="V46" s="354" t="s">
        <v>291</v>
      </c>
      <c r="W46" s="355">
        <f>W45+'Lft - Gravity correction'!B73*100</f>
        <v>-22.69982138721458</v>
      </c>
      <c r="X46" s="355">
        <f>X45+'Lft - Gravity correction'!C73*100</f>
        <v>23.66949992510132</v>
      </c>
      <c r="Y46" s="355">
        <f>Y45+'Lft - Gravity correction'!D73*100</f>
        <v>92.576892957262729</v>
      </c>
      <c r="AD46" s="558" t="s">
        <v>432</v>
      </c>
      <c r="AE46" s="558"/>
      <c r="AF46" s="400">
        <f>AF45</f>
        <v>-0.85131724814224718</v>
      </c>
      <c r="AG46" s="400">
        <f>ABS(AG45)</f>
        <v>0.48718285357394353</v>
      </c>
      <c r="AH46" s="400">
        <f>IF(AG45*AH45 &gt;= 0,ABS(AH45),-ABS(AH45))</f>
        <v>0.19470955343552399</v>
      </c>
      <c r="AI46" s="321" t="s">
        <v>434</v>
      </c>
      <c r="AO46" s="316" t="s">
        <v>357</v>
      </c>
      <c r="AU46" s="316" t="s">
        <v>358</v>
      </c>
      <c r="BB46" s="316" t="s">
        <v>359</v>
      </c>
    </row>
    <row r="47" spans="2:58" ht="14" customHeight="1">
      <c r="J47" s="274"/>
      <c r="K47" s="274"/>
      <c r="L47" s="274"/>
      <c r="M47" s="274"/>
      <c r="N47" s="274"/>
      <c r="O47" s="274"/>
      <c r="P47" s="274"/>
      <c r="Q47" s="310"/>
      <c r="U47" s="272">
        <v>7</v>
      </c>
      <c r="V47" s="354" t="s">
        <v>292</v>
      </c>
      <c r="W47" s="355">
        <f>W45+'Lft - Gravity correction'!B72*100</f>
        <v>-29.841435108680159</v>
      </c>
      <c r="X47" s="355">
        <f>X45+'Lft - Gravity correction'!C72*100</f>
        <v>38.543581939611769</v>
      </c>
      <c r="Y47" s="355">
        <f>Y45+'Lft - Gravity correction'!D72*100</f>
        <v>76.414862598541703</v>
      </c>
      <c r="AB47" s="569" t="s">
        <v>460</v>
      </c>
      <c r="AC47" s="569"/>
      <c r="AF47" s="492" t="s">
        <v>475</v>
      </c>
      <c r="AG47" s="493" t="s">
        <v>476</v>
      </c>
      <c r="AH47" s="480"/>
      <c r="AI47" s="321" t="s">
        <v>433</v>
      </c>
      <c r="AP47" s="275"/>
      <c r="AQ47" s="275" t="s">
        <v>329</v>
      </c>
      <c r="AR47" s="275" t="s">
        <v>71</v>
      </c>
      <c r="AS47" s="275" t="s">
        <v>72</v>
      </c>
      <c r="AV47" s="275"/>
      <c r="AW47" s="275" t="s">
        <v>329</v>
      </c>
      <c r="AX47" s="275" t="s">
        <v>71</v>
      </c>
      <c r="AY47" s="275" t="s">
        <v>72</v>
      </c>
      <c r="BC47" s="275"/>
      <c r="BD47" s="275" t="s">
        <v>329</v>
      </c>
      <c r="BE47" s="275" t="s">
        <v>71</v>
      </c>
      <c r="BF47" s="275" t="s">
        <v>72</v>
      </c>
    </row>
    <row r="48" spans="2:58" ht="14" customHeight="1">
      <c r="C48" s="447"/>
      <c r="E48" s="277"/>
      <c r="F48" s="448"/>
      <c r="G48" s="277"/>
      <c r="H48" s="115"/>
      <c r="I48" s="115"/>
      <c r="J48" s="274"/>
      <c r="K48" s="274"/>
      <c r="L48" s="274"/>
      <c r="M48" s="274"/>
      <c r="N48" s="274"/>
      <c r="O48" s="274"/>
      <c r="P48" s="274"/>
      <c r="Q48" s="310"/>
      <c r="U48" s="272">
        <v>8</v>
      </c>
      <c r="V48" s="272" t="s">
        <v>293</v>
      </c>
      <c r="W48" s="352">
        <v>9.07</v>
      </c>
      <c r="X48" s="352">
        <v>0</v>
      </c>
      <c r="Y48" s="352">
        <v>84.59</v>
      </c>
      <c r="AB48" s="569"/>
      <c r="AC48" s="569"/>
      <c r="AF48" s="286" t="s">
        <v>472</v>
      </c>
      <c r="AG48" s="286" t="s">
        <v>469</v>
      </c>
      <c r="AI48" s="277" t="s">
        <v>441</v>
      </c>
      <c r="AM48" s="320"/>
      <c r="AN48" s="320"/>
      <c r="AO48" s="320" t="s">
        <v>306</v>
      </c>
      <c r="AP48" s="329">
        <f>X62</f>
        <v>33.534286468808276</v>
      </c>
      <c r="AQ48" s="329">
        <f>Y62</f>
        <v>139.51669843480818</v>
      </c>
      <c r="AR48" s="329"/>
      <c r="AS48" s="329"/>
      <c r="AT48" s="320"/>
      <c r="AU48" s="320" t="s">
        <v>306</v>
      </c>
      <c r="AV48" s="320">
        <f>W62</f>
        <v>0</v>
      </c>
      <c r="AW48" s="320">
        <f>AQ48</f>
        <v>139.51669843480818</v>
      </c>
      <c r="AX48" s="320"/>
      <c r="AY48" s="320"/>
      <c r="BB48" s="320" t="s">
        <v>306</v>
      </c>
      <c r="BC48" s="320">
        <f>AV48</f>
        <v>0</v>
      </c>
      <c r="BD48" s="320">
        <f>AP48</f>
        <v>33.534286468808276</v>
      </c>
      <c r="BE48" s="320"/>
      <c r="BF48" s="320"/>
    </row>
    <row r="49" spans="3:58" ht="14" customHeight="1">
      <c r="J49" s="274"/>
      <c r="K49" s="274"/>
      <c r="L49" s="274"/>
      <c r="M49" s="274"/>
      <c r="N49" s="274"/>
      <c r="O49" s="274"/>
      <c r="P49" s="274"/>
      <c r="Q49" s="310"/>
      <c r="U49" s="272">
        <v>9</v>
      </c>
      <c r="V49" s="272" t="s">
        <v>294</v>
      </c>
      <c r="W49" s="352">
        <v>9.07</v>
      </c>
      <c r="X49" s="352">
        <v>0</v>
      </c>
      <c r="Y49" s="352">
        <v>43.44</v>
      </c>
      <c r="AB49" s="569"/>
      <c r="AC49" s="569"/>
      <c r="AE49" s="381" t="s">
        <v>402</v>
      </c>
      <c r="AF49" s="479">
        <f>AC51 + AC52*AF46 + AC53*AG46 + AC54*AH46 + AC55*AF46^2 + AC56*AF46*AG46 + AC57*AG46^2 + AC58*AF46*AH46 + AC59*AG46*AH46 + AC62*AF46*AG46^2 + AC63*AG46^3 + AC64*AF46*AG46*AH46 + AC65*AG46^2*AH46</f>
        <v>5.0975097664666645E-2</v>
      </c>
      <c r="AG49" s="481">
        <f>AD51 + AD52*AF46 + AD53*AG46 + AD54*AH46 + AD55*AF46^2 + AD56*AF46*AG46 + AD57*AG46^2 + AD58*AF46*AH46 + AD59*AG46*AH46 + AD60*AH46^2 + AD61*AF46^2*AG46 + AD62*AF46*AG46^2 + AD64*AF46*AG46*AH46 + AD65*AG46^2*AH46 + AD66*AF46*AH46^2 + AD67*AG46*AH46^2</f>
        <v>0.40156843312748236</v>
      </c>
      <c r="AH49" s="478">
        <f>IF(AF46&lt;=0, IF(ABS(AF46) &lt; AH52, AF49, 0.063), AG49)</f>
        <v>5.0975097664666645E-2</v>
      </c>
      <c r="AI49" s="277" t="s">
        <v>405</v>
      </c>
      <c r="AM49" s="320"/>
      <c r="AN49" s="320"/>
      <c r="AO49" s="320" t="s">
        <v>307</v>
      </c>
      <c r="AP49" s="329">
        <f>AVERAGE(X56:X57)</f>
        <v>33.534286468808276</v>
      </c>
      <c r="AQ49" s="329">
        <f>AVERAGE(Y56:Y57)</f>
        <v>139.51669843480818</v>
      </c>
      <c r="AR49" s="329"/>
      <c r="AS49" s="329"/>
      <c r="AT49" s="320"/>
      <c r="AU49" s="320" t="s">
        <v>307</v>
      </c>
      <c r="AV49" s="320">
        <f>AVERAGE(W56:W57)</f>
        <v>0</v>
      </c>
      <c r="AW49" s="320">
        <f>AQ49</f>
        <v>139.51669843480818</v>
      </c>
      <c r="AX49" s="320"/>
      <c r="AY49" s="320"/>
      <c r="BB49" s="320" t="s">
        <v>307</v>
      </c>
      <c r="BC49" s="320">
        <f t="shared" ref="BC49:BC52" si="17">AV49</f>
        <v>0</v>
      </c>
      <c r="BD49" s="320">
        <f t="shared" ref="BD49:BD52" si="18">AP49</f>
        <v>33.534286468808276</v>
      </c>
      <c r="BE49" s="320"/>
      <c r="BF49" s="320"/>
    </row>
    <row r="50" spans="3:58" ht="14" customHeight="1">
      <c r="J50" s="274"/>
      <c r="K50" s="274"/>
      <c r="L50" s="274"/>
      <c r="M50" s="274"/>
      <c r="N50" s="274"/>
      <c r="O50" s="274"/>
      <c r="P50" s="274"/>
      <c r="Q50" s="310"/>
      <c r="U50" s="272">
        <v>10</v>
      </c>
      <c r="V50" s="272" t="s">
        <v>295</v>
      </c>
      <c r="W50" s="352">
        <v>9.07</v>
      </c>
      <c r="X50" s="352">
        <v>0</v>
      </c>
      <c r="Y50" s="352">
        <v>6.23</v>
      </c>
      <c r="AC50" s="286" t="s">
        <v>472</v>
      </c>
      <c r="AD50" s="286" t="s">
        <v>470</v>
      </c>
      <c r="AH50" s="494" t="str">
        <f>IF(AF44&gt;0,"Flexors","Extensors")</f>
        <v>Extensors</v>
      </c>
      <c r="AI50" s="277" t="s">
        <v>420</v>
      </c>
      <c r="AN50" s="320"/>
      <c r="AO50" s="320" t="s">
        <v>283</v>
      </c>
      <c r="AP50" s="329">
        <f>X41</f>
        <v>23.459276246757785</v>
      </c>
      <c r="AQ50" s="329">
        <f>Y41</f>
        <v>127.06331861141977</v>
      </c>
      <c r="AR50" s="329"/>
      <c r="AS50" s="329"/>
      <c r="AT50" s="320"/>
      <c r="AU50" s="320" t="s">
        <v>283</v>
      </c>
      <c r="AV50" s="320">
        <f>W41</f>
        <v>0</v>
      </c>
      <c r="AW50" s="320">
        <f>AQ50</f>
        <v>127.06331861141977</v>
      </c>
      <c r="AX50" s="320"/>
      <c r="AY50" s="320"/>
      <c r="BB50" s="320" t="s">
        <v>283</v>
      </c>
      <c r="BC50" s="320">
        <f t="shared" si="17"/>
        <v>0</v>
      </c>
      <c r="BD50" s="320">
        <f t="shared" si="18"/>
        <v>23.459276246757785</v>
      </c>
      <c r="BE50" s="320"/>
      <c r="BF50" s="320"/>
    </row>
    <row r="51" spans="3:58" ht="14" customHeight="1">
      <c r="J51" s="274"/>
      <c r="K51" s="274"/>
      <c r="L51" s="274"/>
      <c r="M51" s="274"/>
      <c r="N51" s="274"/>
      <c r="O51" s="274"/>
      <c r="P51" s="274"/>
      <c r="Q51" s="310"/>
      <c r="U51" s="272">
        <v>11</v>
      </c>
      <c r="V51" s="272" t="s">
        <v>296</v>
      </c>
      <c r="W51" s="352">
        <v>-9.07</v>
      </c>
      <c r="X51" s="352">
        <v>0</v>
      </c>
      <c r="Y51" s="352">
        <v>84.59</v>
      </c>
      <c r="AB51" s="198" t="s">
        <v>400</v>
      </c>
      <c r="AC51" s="483">
        <v>3.8721883827790397E-2</v>
      </c>
      <c r="AD51" s="484">
        <v>0.545126827783598</v>
      </c>
      <c r="AF51" s="274" t="s">
        <v>403</v>
      </c>
      <c r="AI51" s="277" t="s">
        <v>406</v>
      </c>
      <c r="AN51" s="320"/>
      <c r="AO51" s="320" t="s">
        <v>68</v>
      </c>
      <c r="AP51" s="329">
        <f>X61</f>
        <v>0</v>
      </c>
      <c r="AQ51" s="329">
        <f>Y61</f>
        <v>93.56</v>
      </c>
      <c r="AR51" s="329"/>
      <c r="AS51" s="329"/>
      <c r="AT51" s="320"/>
      <c r="AU51" s="320" t="s">
        <v>68</v>
      </c>
      <c r="AV51" s="320">
        <f>W61</f>
        <v>0</v>
      </c>
      <c r="AW51" s="320">
        <f>AQ51</f>
        <v>93.56</v>
      </c>
      <c r="AX51" s="320"/>
      <c r="AY51" s="320"/>
      <c r="BB51" s="320" t="s">
        <v>68</v>
      </c>
      <c r="BC51" s="320">
        <f t="shared" si="17"/>
        <v>0</v>
      </c>
      <c r="BD51" s="320">
        <f t="shared" si="18"/>
        <v>0</v>
      </c>
      <c r="BE51" s="320"/>
      <c r="BF51" s="320"/>
    </row>
    <row r="52" spans="3:58" ht="14" customHeight="1">
      <c r="C52" s="274"/>
      <c r="D52" s="309"/>
      <c r="E52" s="274"/>
      <c r="F52" s="274"/>
      <c r="G52" s="274"/>
      <c r="H52" s="274"/>
      <c r="I52" s="274"/>
      <c r="J52" s="274"/>
      <c r="K52" s="274"/>
      <c r="L52" s="274"/>
      <c r="M52" s="274"/>
      <c r="N52" s="274"/>
      <c r="O52" s="274"/>
      <c r="P52" s="274"/>
      <c r="Q52" s="310"/>
      <c r="U52" s="272">
        <v>12</v>
      </c>
      <c r="V52" s="272" t="s">
        <v>297</v>
      </c>
      <c r="W52" s="352">
        <v>-9.07</v>
      </c>
      <c r="X52" s="352">
        <v>0</v>
      </c>
      <c r="Y52" s="352">
        <v>43.44</v>
      </c>
      <c r="AB52" s="477" t="s">
        <v>427</v>
      </c>
      <c r="AC52" s="483">
        <v>-3.80156532265244E-2</v>
      </c>
      <c r="AD52" s="484">
        <v>-0.15883502671174199</v>
      </c>
      <c r="AF52" s="413">
        <f>AI44/AH49</f>
        <v>1360.358162569627</v>
      </c>
      <c r="AH52" s="468">
        <f>COS(RADIANS(AI52))</f>
        <v>0.98480775301220802</v>
      </c>
      <c r="AI52" s="524">
        <v>10</v>
      </c>
      <c r="AJ52" s="449" t="s">
        <v>515</v>
      </c>
      <c r="AN52" s="320"/>
      <c r="AO52" s="320" t="s">
        <v>305</v>
      </c>
      <c r="AP52" s="329">
        <f>AVERAGE(X48,X51)</f>
        <v>0</v>
      </c>
      <c r="AQ52" s="329">
        <f>AVERAGE(Y48,Y51)</f>
        <v>84.59</v>
      </c>
      <c r="AR52" s="329"/>
      <c r="AS52" s="329"/>
      <c r="AT52" s="320"/>
      <c r="AU52" s="320" t="s">
        <v>305</v>
      </c>
      <c r="AV52" s="320">
        <f>AVERAGE(W48,W51)</f>
        <v>0</v>
      </c>
      <c r="AW52" s="320">
        <f>AQ52</f>
        <v>84.59</v>
      </c>
      <c r="AX52" s="320"/>
      <c r="AY52" s="320"/>
      <c r="BB52" s="320" t="s">
        <v>305</v>
      </c>
      <c r="BC52" s="320">
        <f t="shared" si="17"/>
        <v>0</v>
      </c>
      <c r="BD52" s="320">
        <f t="shared" si="18"/>
        <v>0</v>
      </c>
      <c r="BE52" s="320"/>
      <c r="BF52" s="320"/>
    </row>
    <row r="53" spans="3:58" ht="14" customHeight="1">
      <c r="C53" s="274"/>
      <c r="D53" s="274"/>
      <c r="E53" s="274"/>
      <c r="F53" s="274"/>
      <c r="G53" s="274"/>
      <c r="H53" s="274"/>
      <c r="I53" s="274"/>
      <c r="J53" s="274"/>
      <c r="K53" s="274"/>
      <c r="L53" s="274"/>
      <c r="M53" s="274"/>
      <c r="N53" s="274"/>
      <c r="O53" s="274"/>
      <c r="P53" s="274"/>
      <c r="Q53" s="310"/>
      <c r="U53" s="272">
        <v>13</v>
      </c>
      <c r="V53" s="272" t="s">
        <v>298</v>
      </c>
      <c r="W53" s="352">
        <v>-9.07</v>
      </c>
      <c r="X53" s="352">
        <v>0</v>
      </c>
      <c r="Y53" s="352">
        <v>6.23</v>
      </c>
      <c r="AB53" s="477" t="s">
        <v>240</v>
      </c>
      <c r="AC53" s="485">
        <v>0.15974813281082401</v>
      </c>
      <c r="AD53" s="484">
        <v>0.44564919873226899</v>
      </c>
      <c r="AN53" s="320"/>
      <c r="AO53" s="320" t="s">
        <v>314</v>
      </c>
      <c r="AP53" s="329">
        <f>X56</f>
        <v>33.534286468808276</v>
      </c>
      <c r="AQ53" s="329">
        <f>Y56</f>
        <v>139.51669843480818</v>
      </c>
      <c r="AR53" s="329"/>
      <c r="AS53" s="329"/>
      <c r="AT53" s="320"/>
      <c r="AU53" s="320" t="s">
        <v>314</v>
      </c>
      <c r="AV53" s="320"/>
      <c r="AW53" s="320"/>
      <c r="AX53" s="320"/>
      <c r="AY53" s="320"/>
      <c r="BB53" s="320" t="s">
        <v>314</v>
      </c>
      <c r="BC53" s="320"/>
      <c r="BD53" s="320"/>
      <c r="BE53" s="320"/>
      <c r="BF53" s="320"/>
    </row>
    <row r="54" spans="3:58" ht="14" customHeight="1">
      <c r="C54" s="274"/>
      <c r="D54" s="309"/>
      <c r="E54" s="274"/>
      <c r="F54" s="274"/>
      <c r="G54" s="274"/>
      <c r="H54" s="274"/>
      <c r="I54" s="274"/>
      <c r="J54" s="274"/>
      <c r="K54" s="274"/>
      <c r="L54" s="274"/>
      <c r="M54" s="274"/>
      <c r="N54" s="274"/>
      <c r="O54" s="274"/>
      <c r="P54" s="274"/>
      <c r="Q54" s="310"/>
      <c r="U54" s="272">
        <v>14</v>
      </c>
      <c r="V54" s="55" t="s">
        <v>300</v>
      </c>
      <c r="W54" s="359"/>
      <c r="X54" s="359"/>
      <c r="Y54" s="359"/>
      <c r="AB54" s="477" t="s">
        <v>401</v>
      </c>
      <c r="AC54" s="486">
        <v>9.7944862398307393E-4</v>
      </c>
      <c r="AD54" s="484">
        <v>2.1308500647814301E-4</v>
      </c>
      <c r="AF54" s="274" t="s">
        <v>415</v>
      </c>
      <c r="AI54" s="274" t="s">
        <v>415</v>
      </c>
      <c r="AN54" s="320"/>
      <c r="AO54" s="320" t="s">
        <v>287</v>
      </c>
      <c r="AP54" s="329">
        <f>X59</f>
        <v>63.12260788292528</v>
      </c>
      <c r="AQ54" s="329"/>
      <c r="AR54" s="329">
        <f>Y59</f>
        <v>131.439338311597</v>
      </c>
      <c r="AS54" s="329"/>
      <c r="AT54" s="320"/>
      <c r="AU54" s="320" t="s">
        <v>287</v>
      </c>
      <c r="AV54" s="320">
        <f>W59</f>
        <v>37.04</v>
      </c>
      <c r="AW54" s="320"/>
      <c r="AX54" s="320">
        <f t="shared" ref="AX54:AX57" si="19">AR54</f>
        <v>131.439338311597</v>
      </c>
      <c r="AY54" s="320"/>
      <c r="BB54" s="320" t="s">
        <v>287</v>
      </c>
      <c r="BC54" s="320">
        <f t="shared" ref="BC54:BC60" si="20">AV54</f>
        <v>37.04</v>
      </c>
      <c r="BD54" s="320"/>
      <c r="BE54" s="320">
        <f>AP54</f>
        <v>63.12260788292528</v>
      </c>
      <c r="BF54" s="320"/>
    </row>
    <row r="55" spans="3:58" ht="14" customHeight="1">
      <c r="C55" s="274"/>
      <c r="D55" s="309"/>
      <c r="E55" s="274"/>
      <c r="F55" s="274"/>
      <c r="G55" s="274"/>
      <c r="H55" s="274"/>
      <c r="I55" s="274"/>
      <c r="J55" s="274"/>
      <c r="K55" s="274"/>
      <c r="L55" s="274"/>
      <c r="M55" s="274"/>
      <c r="N55" s="274"/>
      <c r="O55" s="274"/>
      <c r="P55" s="274"/>
      <c r="Q55" s="310"/>
      <c r="U55" s="272">
        <v>15</v>
      </c>
      <c r="V55" s="55" t="s">
        <v>301</v>
      </c>
      <c r="W55" s="359"/>
      <c r="X55" s="359"/>
      <c r="Y55" s="359"/>
      <c r="AB55" s="477" t="s">
        <v>461</v>
      </c>
      <c r="AC55" s="483">
        <v>-1.9762711840943002E-2</v>
      </c>
      <c r="AD55" s="484">
        <v>-0.33650079307584002</v>
      </c>
      <c r="AF55" s="413">
        <f>(AF18*AF65 + AG18*AG65 + AH18*AH65)</f>
        <v>36.633593098762084</v>
      </c>
      <c r="AH55" s="321"/>
      <c r="AI55" s="413">
        <f>(AJ18*AF65 + AK18*AG65 + AL18*AH65)</f>
        <v>-8.354651843357523</v>
      </c>
      <c r="AN55" s="320"/>
      <c r="AO55" s="320" t="s">
        <v>286</v>
      </c>
      <c r="AP55" s="329">
        <f>X44</f>
        <v>58.504830900128596</v>
      </c>
      <c r="AQ55" s="329"/>
      <c r="AR55" s="329">
        <f>Y44</f>
        <v>126.25135646016804</v>
      </c>
      <c r="AS55" s="329"/>
      <c r="AT55" s="320"/>
      <c r="AU55" s="320" t="s">
        <v>286</v>
      </c>
      <c r="AV55" s="320">
        <f>W44</f>
        <v>36.442924278579326</v>
      </c>
      <c r="AW55" s="320"/>
      <c r="AX55" s="320">
        <f t="shared" si="19"/>
        <v>126.25135646016804</v>
      </c>
      <c r="AY55" s="320"/>
      <c r="BB55" s="320" t="s">
        <v>286</v>
      </c>
      <c r="BC55" s="320">
        <f t="shared" si="20"/>
        <v>36.442924278579326</v>
      </c>
      <c r="BD55" s="320"/>
      <c r="BE55" s="320">
        <f t="shared" ref="BE55:BE60" si="21">AP55</f>
        <v>58.504830900128596</v>
      </c>
      <c r="BF55" s="320"/>
    </row>
    <row r="56" spans="3:58" ht="14" customHeight="1">
      <c r="C56" s="329"/>
      <c r="D56" s="330"/>
      <c r="E56" s="274"/>
      <c r="F56" s="274"/>
      <c r="G56" s="274"/>
      <c r="H56" s="274"/>
      <c r="I56" s="274"/>
      <c r="J56" s="274"/>
      <c r="K56" s="274"/>
      <c r="L56" s="274"/>
      <c r="M56" s="274"/>
      <c r="N56" s="274"/>
      <c r="O56" s="274"/>
      <c r="P56" s="274"/>
      <c r="Q56" s="310"/>
      <c r="U56" s="272">
        <v>16</v>
      </c>
      <c r="V56" s="367" t="s">
        <v>302</v>
      </c>
      <c r="W56" s="365">
        <f t="shared" ref="W56:W57" si="22">W110</f>
        <v>10</v>
      </c>
      <c r="X56" s="365">
        <f>X110+X$61</f>
        <v>33.534286468808276</v>
      </c>
      <c r="Y56" s="365">
        <f>Y110+Y$61</f>
        <v>139.51669843480818</v>
      </c>
      <c r="AB56" s="477" t="s">
        <v>428</v>
      </c>
      <c r="AC56" s="485">
        <v>0.15830766511378899</v>
      </c>
      <c r="AD56" s="484">
        <v>-0.24747106323092899</v>
      </c>
      <c r="AN56" s="320"/>
      <c r="AO56" s="320" t="s">
        <v>290</v>
      </c>
      <c r="AP56" s="329">
        <f>X43</f>
        <v>43.504873612895125</v>
      </c>
      <c r="AQ56" s="329"/>
      <c r="AR56" s="329">
        <f>Y43</f>
        <v>109.39919870800944</v>
      </c>
      <c r="AS56" s="329"/>
      <c r="AT56" s="320"/>
      <c r="AU56" s="320" t="s">
        <v>290</v>
      </c>
      <c r="AV56" s="320">
        <f>W43</f>
        <v>34.503439034506314</v>
      </c>
      <c r="AW56" s="320"/>
      <c r="AX56" s="320">
        <f t="shared" si="19"/>
        <v>109.39919870800944</v>
      </c>
      <c r="AY56" s="320"/>
      <c r="BB56" s="320" t="s">
        <v>290</v>
      </c>
      <c r="BC56" s="320">
        <f t="shared" si="20"/>
        <v>34.503439034506314</v>
      </c>
      <c r="BD56" s="320"/>
      <c r="BE56" s="320">
        <f t="shared" si="21"/>
        <v>43.504873612895125</v>
      </c>
      <c r="BF56" s="320"/>
    </row>
    <row r="57" spans="3:58" ht="14" customHeight="1">
      <c r="C57" s="274"/>
      <c r="D57" s="330"/>
      <c r="E57" s="274"/>
      <c r="F57" s="274"/>
      <c r="G57" s="274"/>
      <c r="H57" s="274"/>
      <c r="I57" s="274"/>
      <c r="J57" s="274"/>
      <c r="K57" s="274"/>
      <c r="L57" s="274"/>
      <c r="M57" s="274"/>
      <c r="N57" s="274"/>
      <c r="O57" s="274"/>
      <c r="P57" s="274"/>
      <c r="Q57" s="310"/>
      <c r="U57" s="272">
        <v>17</v>
      </c>
      <c r="V57" s="367" t="s">
        <v>303</v>
      </c>
      <c r="W57" s="365">
        <f t="shared" si="22"/>
        <v>-10</v>
      </c>
      <c r="X57" s="365">
        <f>X111+X$61</f>
        <v>33.534286468808276</v>
      </c>
      <c r="Y57" s="365">
        <f>Y111+Y$61</f>
        <v>139.51669843480818</v>
      </c>
      <c r="AB57" s="477" t="s">
        <v>429</v>
      </c>
      <c r="AC57" s="485">
        <v>-0.30573242809957002</v>
      </c>
      <c r="AD57" s="484">
        <v>-0.94673846196293299</v>
      </c>
      <c r="AF57" s="274" t="s">
        <v>404</v>
      </c>
      <c r="AN57" s="320"/>
      <c r="AO57" s="320" t="s">
        <v>285</v>
      </c>
      <c r="AP57" s="329">
        <f>X42</f>
        <v>23.122607882925283</v>
      </c>
      <c r="AQ57" s="329"/>
      <c r="AR57" s="329">
        <f>Y42</f>
        <v>121.43933831159701</v>
      </c>
      <c r="AS57" s="329"/>
      <c r="AT57" s="320"/>
      <c r="AU57" s="320" t="s">
        <v>285</v>
      </c>
      <c r="AV57" s="320">
        <f>W42</f>
        <v>17.04</v>
      </c>
      <c r="AW57" s="320"/>
      <c r="AX57" s="320">
        <f t="shared" si="19"/>
        <v>121.43933831159701</v>
      </c>
      <c r="AY57" s="320"/>
      <c r="BB57" s="320" t="s">
        <v>285</v>
      </c>
      <c r="BC57" s="320">
        <f t="shared" si="20"/>
        <v>17.04</v>
      </c>
      <c r="BD57" s="320"/>
      <c r="BE57" s="320">
        <f t="shared" si="21"/>
        <v>23.122607882925283</v>
      </c>
      <c r="BF57" s="320"/>
    </row>
    <row r="58" spans="3:58" ht="14" customHeight="1">
      <c r="C58" s="274"/>
      <c r="D58" s="330"/>
      <c r="E58" s="274"/>
      <c r="F58" s="274"/>
      <c r="G58" s="274"/>
      <c r="H58" s="274"/>
      <c r="I58" s="274"/>
      <c r="J58" s="274"/>
      <c r="K58" s="274"/>
      <c r="L58" s="274"/>
      <c r="M58" s="274"/>
      <c r="N58" s="274"/>
      <c r="O58" s="274"/>
      <c r="P58" s="274"/>
      <c r="Q58" s="310"/>
      <c r="U58" s="272">
        <v>18</v>
      </c>
      <c r="V58" s="272" t="s">
        <v>304</v>
      </c>
      <c r="W58" s="352">
        <v>0</v>
      </c>
      <c r="X58" s="352">
        <v>0</v>
      </c>
      <c r="Y58" s="352">
        <v>0</v>
      </c>
      <c r="AB58" s="477" t="s">
        <v>462</v>
      </c>
      <c r="AC58" s="487">
        <v>3.5818724997767298E-3</v>
      </c>
      <c r="AD58" s="484">
        <v>-2.8633441886826702E-4</v>
      </c>
      <c r="AF58" s="413">
        <f>COS(AE4)*AF6</f>
        <v>261.47513016620741</v>
      </c>
      <c r="AN58" s="320"/>
      <c r="AO58" s="320" t="s">
        <v>293</v>
      </c>
      <c r="AP58" s="329">
        <f>X48</f>
        <v>0</v>
      </c>
      <c r="AQ58" s="329"/>
      <c r="AR58" s="329">
        <f>Y48</f>
        <v>84.59</v>
      </c>
      <c r="AS58" s="329"/>
      <c r="AT58" s="320"/>
      <c r="AU58" s="320" t="s">
        <v>293</v>
      </c>
      <c r="AV58" s="320">
        <f>W48</f>
        <v>9.07</v>
      </c>
      <c r="AW58" s="320"/>
      <c r="AX58" s="320">
        <f>AR58</f>
        <v>84.59</v>
      </c>
      <c r="AY58" s="320"/>
      <c r="BB58" s="320" t="s">
        <v>293</v>
      </c>
      <c r="BC58" s="320">
        <f t="shared" si="20"/>
        <v>9.07</v>
      </c>
      <c r="BD58" s="320"/>
      <c r="BE58" s="320">
        <f t="shared" si="21"/>
        <v>0</v>
      </c>
      <c r="BF58" s="320"/>
    </row>
    <row r="59" spans="3:58" ht="14" customHeight="1">
      <c r="C59" s="274"/>
      <c r="D59" s="274"/>
      <c r="E59" s="274"/>
      <c r="F59" s="274"/>
      <c r="G59" s="274"/>
      <c r="H59" s="274"/>
      <c r="I59" s="274"/>
      <c r="J59" s="274"/>
      <c r="K59" s="274"/>
      <c r="L59" s="274"/>
      <c r="M59" s="274"/>
      <c r="N59" s="274"/>
      <c r="O59" s="274"/>
      <c r="P59" s="274"/>
      <c r="Q59" s="310"/>
      <c r="V59" s="356" t="s">
        <v>287</v>
      </c>
      <c r="W59" s="357">
        <f>V22</f>
        <v>37.04</v>
      </c>
      <c r="X59" s="357">
        <f>W22</f>
        <v>63.12260788292528</v>
      </c>
      <c r="Y59" s="357">
        <f>X22</f>
        <v>131.439338311597</v>
      </c>
      <c r="AB59" s="477" t="s">
        <v>463</v>
      </c>
      <c r="AC59" s="485">
        <v>0.12245349839622301</v>
      </c>
      <c r="AD59" s="484">
        <v>0.171216478513527</v>
      </c>
      <c r="AN59" s="320"/>
      <c r="AO59" s="320" t="s">
        <v>294</v>
      </c>
      <c r="AP59" s="329">
        <f>X49</f>
        <v>0</v>
      </c>
      <c r="AQ59" s="329"/>
      <c r="AR59" s="329">
        <f>Y49</f>
        <v>43.44</v>
      </c>
      <c r="AS59" s="329"/>
      <c r="AT59" s="320"/>
      <c r="AU59" s="320" t="s">
        <v>294</v>
      </c>
      <c r="AV59" s="320">
        <f>W49</f>
        <v>9.07</v>
      </c>
      <c r="AW59" s="320"/>
      <c r="AX59" s="320">
        <f>AR59</f>
        <v>43.44</v>
      </c>
      <c r="AY59" s="320"/>
      <c r="BB59" s="320" t="s">
        <v>294</v>
      </c>
      <c r="BC59" s="320">
        <f t="shared" si="20"/>
        <v>9.07</v>
      </c>
      <c r="BD59" s="320"/>
      <c r="BE59" s="320">
        <f t="shared" si="21"/>
        <v>0</v>
      </c>
      <c r="BF59" s="320"/>
    </row>
    <row r="60" spans="3:58" ht="14" customHeight="1">
      <c r="C60" s="274"/>
      <c r="D60" s="274"/>
      <c r="E60" s="274"/>
      <c r="F60" s="274"/>
      <c r="G60" s="274"/>
      <c r="H60" s="274"/>
      <c r="I60" s="274"/>
      <c r="J60" s="274"/>
      <c r="K60" s="274"/>
      <c r="L60" s="274"/>
      <c r="M60" s="274"/>
      <c r="N60" s="274"/>
      <c r="O60" s="274"/>
      <c r="P60" s="274"/>
      <c r="Q60" s="310"/>
      <c r="V60" s="356" t="s">
        <v>289</v>
      </c>
      <c r="W60" s="357">
        <f>V7</f>
        <v>-32.04</v>
      </c>
      <c r="X60" s="357">
        <f>W7</f>
        <v>43.12260788292528</v>
      </c>
      <c r="Y60" s="357">
        <f>X7</f>
        <v>71.439338311597012</v>
      </c>
      <c r="AB60" s="477" t="s">
        <v>430</v>
      </c>
      <c r="AC60" s="482"/>
      <c r="AD60" s="484">
        <v>-0.50722745818356996</v>
      </c>
      <c r="AF60" s="274" t="s">
        <v>425</v>
      </c>
      <c r="AJ60" s="274" t="s">
        <v>516</v>
      </c>
      <c r="AN60" s="320"/>
      <c r="AO60" s="320" t="s">
        <v>295</v>
      </c>
      <c r="AP60" s="329">
        <f>X50</f>
        <v>0</v>
      </c>
      <c r="AQ60" s="329"/>
      <c r="AR60" s="329">
        <f>Y50</f>
        <v>6.23</v>
      </c>
      <c r="AS60" s="329"/>
      <c r="AT60" s="320"/>
      <c r="AU60" s="320" t="s">
        <v>295</v>
      </c>
      <c r="AV60" s="320">
        <f>W50</f>
        <v>9.07</v>
      </c>
      <c r="AW60" s="320"/>
      <c r="AX60" s="320">
        <f>AR60</f>
        <v>6.23</v>
      </c>
      <c r="AY60" s="320"/>
      <c r="BB60" s="320" t="s">
        <v>295</v>
      </c>
      <c r="BC60" s="320">
        <f t="shared" si="20"/>
        <v>9.07</v>
      </c>
      <c r="BD60" s="320"/>
      <c r="BE60" s="320">
        <f t="shared" si="21"/>
        <v>0</v>
      </c>
      <c r="BF60" s="320"/>
    </row>
    <row r="61" spans="3:58" ht="14" customHeight="1">
      <c r="C61" s="274"/>
      <c r="D61" s="309"/>
      <c r="E61" s="274"/>
      <c r="F61" s="274"/>
      <c r="G61" s="274"/>
      <c r="H61" s="274"/>
      <c r="I61" s="274"/>
      <c r="K61" s="274"/>
      <c r="L61" s="274"/>
      <c r="M61" s="274"/>
      <c r="N61" s="274"/>
      <c r="O61" s="274"/>
      <c r="P61" s="274"/>
      <c r="Q61" s="310"/>
      <c r="V61" s="272" t="s">
        <v>68</v>
      </c>
      <c r="W61" s="352">
        <v>0</v>
      </c>
      <c r="X61" s="370">
        <v>0</v>
      </c>
      <c r="Y61" s="352">
        <v>93.56</v>
      </c>
      <c r="AB61" s="477" t="s">
        <v>464</v>
      </c>
      <c r="AC61" s="482"/>
      <c r="AD61" s="484">
        <v>-0.122542839027075</v>
      </c>
      <c r="AF61" s="414">
        <f>AF52+AF58 + AF55 + AI55</f>
        <v>1650.112233991239</v>
      </c>
      <c r="AJ61" s="414" t="s">
        <v>517</v>
      </c>
      <c r="AN61" s="320"/>
      <c r="AO61" s="320" t="s">
        <v>370</v>
      </c>
      <c r="AP61" s="329">
        <v>15</v>
      </c>
      <c r="AQ61" s="329"/>
      <c r="AR61" s="329">
        <v>0</v>
      </c>
      <c r="AS61" s="329"/>
      <c r="AT61" s="320"/>
      <c r="AU61" s="320"/>
      <c r="AV61" s="320"/>
      <c r="AW61" s="320"/>
      <c r="AX61" s="320"/>
      <c r="AY61" s="320"/>
      <c r="BB61" s="320"/>
      <c r="BC61" s="320">
        <f>BC60</f>
        <v>9.07</v>
      </c>
      <c r="BD61" s="320"/>
      <c r="BE61" s="320">
        <v>15</v>
      </c>
      <c r="BF61" s="320"/>
    </row>
    <row r="62" spans="3:58" ht="14" customHeight="1">
      <c r="C62" s="274"/>
      <c r="D62" s="274"/>
      <c r="E62" s="274"/>
      <c r="F62" s="274"/>
      <c r="G62" s="274"/>
      <c r="H62" s="274"/>
      <c r="I62" s="274"/>
      <c r="J62" s="274"/>
      <c r="K62" s="274"/>
      <c r="L62" s="274"/>
      <c r="M62" s="274"/>
      <c r="N62" s="274"/>
      <c r="O62" s="274"/>
      <c r="P62" s="274"/>
      <c r="Q62" s="310"/>
      <c r="V62" s="367" t="s">
        <v>306</v>
      </c>
      <c r="W62" s="365">
        <f>W116</f>
        <v>0</v>
      </c>
      <c r="X62" s="365">
        <f>X116+X$61</f>
        <v>33.534286468808276</v>
      </c>
      <c r="Y62" s="365">
        <f>Y116+Y$61</f>
        <v>139.51669843480818</v>
      </c>
      <c r="AB62" s="477" t="s">
        <v>431</v>
      </c>
      <c r="AC62" s="485">
        <v>-0.20164307211574301</v>
      </c>
      <c r="AD62" s="484">
        <v>0.35245525849082399</v>
      </c>
      <c r="AF62" s="320"/>
      <c r="AG62" s="320"/>
      <c r="AH62" s="320"/>
      <c r="AI62" s="320"/>
      <c r="AJ62" s="320"/>
      <c r="AK62" s="320"/>
      <c r="AL62" s="320"/>
      <c r="AN62" s="320"/>
      <c r="AO62" s="320" t="s">
        <v>289</v>
      </c>
      <c r="AP62" s="329">
        <f>X60</f>
        <v>43.12260788292528</v>
      </c>
      <c r="AQ62" s="329"/>
      <c r="AR62" s="329"/>
      <c r="AS62" s="329">
        <f>Y60</f>
        <v>71.439338311597012</v>
      </c>
      <c r="AT62" s="320"/>
      <c r="AU62" s="320" t="s">
        <v>289</v>
      </c>
      <c r="AV62" s="320">
        <f>W60</f>
        <v>-32.04</v>
      </c>
      <c r="AW62" s="320"/>
      <c r="AX62" s="320"/>
      <c r="AY62" s="320">
        <f t="shared" ref="AY62:AY68" si="23">AS62</f>
        <v>71.439338311597012</v>
      </c>
      <c r="BB62" s="320" t="s">
        <v>289</v>
      </c>
      <c r="BC62" s="320">
        <f t="shared" ref="BC62:BC68" si="24">AV62</f>
        <v>-32.04</v>
      </c>
      <c r="BD62" s="320"/>
      <c r="BE62" s="320"/>
      <c r="BF62" s="320">
        <f>AP62</f>
        <v>43.12260788292528</v>
      </c>
    </row>
    <row r="63" spans="3:58" ht="14" customHeight="1">
      <c r="C63" s="274"/>
      <c r="D63" s="309"/>
      <c r="E63" s="274"/>
      <c r="F63" s="274"/>
      <c r="G63" s="274"/>
      <c r="H63" s="274"/>
      <c r="I63" s="274"/>
      <c r="J63" s="274"/>
      <c r="K63" s="274"/>
      <c r="L63" s="274"/>
      <c r="M63" s="274"/>
      <c r="N63" s="274"/>
      <c r="O63" s="274"/>
      <c r="P63" s="274"/>
      <c r="Q63" s="310"/>
      <c r="V63" s="272" t="s">
        <v>307</v>
      </c>
      <c r="W63" s="352">
        <f>AVERAGE(W56:W57)</f>
        <v>0</v>
      </c>
      <c r="X63" s="352">
        <f t="shared" ref="X63:Y63" si="25">AVERAGE(X56:X57)</f>
        <v>33.534286468808276</v>
      </c>
      <c r="Y63" s="352">
        <f t="shared" si="25"/>
        <v>139.51669843480818</v>
      </c>
      <c r="AB63" s="477" t="s">
        <v>471</v>
      </c>
      <c r="AC63" s="485">
        <v>0.149796041869837</v>
      </c>
      <c r="AD63" s="482"/>
      <c r="AF63" s="320" t="s">
        <v>421</v>
      </c>
      <c r="AG63" s="320"/>
      <c r="AH63" s="320"/>
      <c r="AI63" s="320"/>
      <c r="AJ63" s="320"/>
      <c r="AK63" s="320"/>
      <c r="AL63" s="320"/>
      <c r="AN63" s="320"/>
      <c r="AO63" s="320" t="s">
        <v>292</v>
      </c>
      <c r="AP63" s="329">
        <f>X47</f>
        <v>38.543581939611769</v>
      </c>
      <c r="AQ63" s="329"/>
      <c r="AR63" s="329"/>
      <c r="AS63" s="329">
        <f>Y47</f>
        <v>76.414862598541703</v>
      </c>
      <c r="AT63" s="320"/>
      <c r="AU63" s="320" t="s">
        <v>292</v>
      </c>
      <c r="AV63" s="320">
        <f>W47</f>
        <v>-29.841435108680159</v>
      </c>
      <c r="AW63" s="320"/>
      <c r="AX63" s="320"/>
      <c r="AY63" s="320">
        <f t="shared" si="23"/>
        <v>76.414862598541703</v>
      </c>
      <c r="BB63" s="320" t="s">
        <v>292</v>
      </c>
      <c r="BC63" s="320">
        <f t="shared" si="24"/>
        <v>-29.841435108680159</v>
      </c>
      <c r="BD63" s="320"/>
      <c r="BE63" s="320"/>
      <c r="BF63" s="320">
        <f t="shared" ref="BF63:BF68" si="26">AP63</f>
        <v>38.543581939611769</v>
      </c>
    </row>
    <row r="64" spans="3:58" ht="14" customHeight="1">
      <c r="C64" s="274"/>
      <c r="D64" s="274"/>
      <c r="E64" s="274"/>
      <c r="F64" s="274"/>
      <c r="G64" s="274"/>
      <c r="H64" s="274"/>
      <c r="I64" s="274"/>
      <c r="J64" s="274"/>
      <c r="K64" s="274"/>
      <c r="L64" s="274"/>
      <c r="M64" s="274"/>
      <c r="N64" s="274"/>
      <c r="O64" s="274"/>
      <c r="P64" s="274"/>
      <c r="Q64" s="310"/>
      <c r="W64" s="320"/>
      <c r="X64" s="320"/>
      <c r="Y64" s="320"/>
      <c r="AB64" s="477" t="s">
        <v>465</v>
      </c>
      <c r="AC64" s="485">
        <v>0.101536575485903</v>
      </c>
      <c r="AD64" s="484">
        <v>-6.2944223178098294E-2</v>
      </c>
      <c r="AF64" s="352">
        <f>W61-W41</f>
        <v>0</v>
      </c>
      <c r="AG64" s="352">
        <f>X61-X41</f>
        <v>-23.459276246757785</v>
      </c>
      <c r="AH64" s="352">
        <f>Y61-Y41</f>
        <v>-33.503318611419772</v>
      </c>
      <c r="AI64" s="430">
        <f>(AF64^2+AG64^2+AH64^2)^0.5</f>
        <v>40.900000000000006</v>
      </c>
      <c r="AJ64" s="320"/>
      <c r="AK64" s="320"/>
      <c r="AL64" s="320"/>
      <c r="AN64" s="320"/>
      <c r="AO64" s="320" t="s">
        <v>291</v>
      </c>
      <c r="AP64" s="329">
        <f>X46</f>
        <v>23.66949992510132</v>
      </c>
      <c r="AQ64" s="329"/>
      <c r="AR64" s="329"/>
      <c r="AS64" s="329">
        <f>Y46</f>
        <v>92.576892957262729</v>
      </c>
      <c r="AT64" s="320"/>
      <c r="AU64" s="320" t="s">
        <v>291</v>
      </c>
      <c r="AV64" s="320">
        <f>W46</f>
        <v>-22.69982138721458</v>
      </c>
      <c r="AW64" s="320"/>
      <c r="AX64" s="320"/>
      <c r="AY64" s="320">
        <f t="shared" si="23"/>
        <v>92.576892957262729</v>
      </c>
      <c r="BB64" s="320" t="s">
        <v>291</v>
      </c>
      <c r="BC64" s="320">
        <f t="shared" si="24"/>
        <v>-22.69982138721458</v>
      </c>
      <c r="BD64" s="320"/>
      <c r="BE64" s="320"/>
      <c r="BF64" s="320">
        <f t="shared" si="26"/>
        <v>23.66949992510132</v>
      </c>
    </row>
    <row r="65" spans="3:58" ht="14" customHeight="1">
      <c r="C65" s="274"/>
      <c r="D65" s="274"/>
      <c r="E65" s="274"/>
      <c r="F65" s="274"/>
      <c r="G65" s="274"/>
      <c r="H65" s="274"/>
      <c r="I65" s="274"/>
      <c r="J65" s="274"/>
      <c r="K65" s="274"/>
      <c r="L65" s="274"/>
      <c r="M65" s="274"/>
      <c r="N65" s="274"/>
      <c r="O65" s="274"/>
      <c r="P65" s="274"/>
      <c r="V65" s="274" t="s">
        <v>371</v>
      </c>
      <c r="AB65" s="477" t="s">
        <v>466</v>
      </c>
      <c r="AC65" s="485">
        <v>-0.13998806327079</v>
      </c>
      <c r="AD65" s="484">
        <v>-0.20680485245020799</v>
      </c>
      <c r="AF65" s="400">
        <f>AF64/$AI64</f>
        <v>0</v>
      </c>
      <c r="AG65" s="400">
        <f t="shared" ref="AG65:AH65" si="27">AG64/$AI64</f>
        <v>-0.57357643635104605</v>
      </c>
      <c r="AH65" s="400">
        <f t="shared" si="27"/>
        <v>-0.81915204428899191</v>
      </c>
      <c r="AN65" s="320"/>
      <c r="AO65" s="320" t="s">
        <v>288</v>
      </c>
      <c r="AP65" s="329">
        <f>X45</f>
        <v>23.122607882925283</v>
      </c>
      <c r="AQ65" s="329"/>
      <c r="AR65" s="329"/>
      <c r="AS65" s="329">
        <f>Y45</f>
        <v>121.43933831159701</v>
      </c>
      <c r="AT65" s="320"/>
      <c r="AU65" s="320" t="s">
        <v>288</v>
      </c>
      <c r="AV65" s="320">
        <f>W45</f>
        <v>-17.04</v>
      </c>
      <c r="AW65" s="320"/>
      <c r="AX65" s="320"/>
      <c r="AY65" s="320">
        <f t="shared" si="23"/>
        <v>121.43933831159701</v>
      </c>
      <c r="BB65" s="320" t="s">
        <v>288</v>
      </c>
      <c r="BC65" s="320">
        <f t="shared" si="24"/>
        <v>-17.04</v>
      </c>
      <c r="BD65" s="320"/>
      <c r="BE65" s="320"/>
      <c r="BF65" s="320">
        <f t="shared" si="26"/>
        <v>23.122607882925283</v>
      </c>
    </row>
    <row r="66" spans="3:58" ht="14" customHeight="1">
      <c r="C66" s="274"/>
      <c r="D66" s="309"/>
      <c r="E66" s="274"/>
      <c r="F66" s="274"/>
      <c r="G66" s="274"/>
      <c r="H66" s="274"/>
      <c r="I66" s="274"/>
      <c r="J66" s="274"/>
      <c r="K66" s="274"/>
      <c r="L66" s="274"/>
      <c r="M66" s="274"/>
      <c r="N66" s="274"/>
      <c r="O66" s="274"/>
      <c r="P66" s="274"/>
      <c r="W66" s="286" t="s">
        <v>53</v>
      </c>
      <c r="X66" s="286" t="s">
        <v>54</v>
      </c>
      <c r="Y66" s="286" t="s">
        <v>55</v>
      </c>
      <c r="AB66" s="477" t="s">
        <v>467</v>
      </c>
      <c r="AC66" s="482"/>
      <c r="AD66" s="484">
        <v>0.11600298925236401</v>
      </c>
      <c r="AN66" s="320"/>
      <c r="AO66" s="320" t="s">
        <v>296</v>
      </c>
      <c r="AP66" s="329">
        <f>X51</f>
        <v>0</v>
      </c>
      <c r="AQ66" s="329"/>
      <c r="AR66" s="329"/>
      <c r="AS66" s="329">
        <f>Y51</f>
        <v>84.59</v>
      </c>
      <c r="AT66" s="320"/>
      <c r="AU66" s="320" t="s">
        <v>296</v>
      </c>
      <c r="AV66" s="320">
        <f>W51</f>
        <v>-9.07</v>
      </c>
      <c r="AW66" s="320"/>
      <c r="AX66" s="320"/>
      <c r="AY66" s="320">
        <f t="shared" si="23"/>
        <v>84.59</v>
      </c>
      <c r="BB66" s="320" t="s">
        <v>296</v>
      </c>
      <c r="BC66" s="320">
        <f t="shared" si="24"/>
        <v>-9.07</v>
      </c>
      <c r="BD66" s="320"/>
      <c r="BE66" s="320"/>
      <c r="BF66" s="320">
        <f t="shared" si="26"/>
        <v>0</v>
      </c>
    </row>
    <row r="67" spans="3:58" ht="14" customHeight="1">
      <c r="C67" s="274"/>
      <c r="D67" s="274"/>
      <c r="E67" s="274"/>
      <c r="F67" s="274"/>
      <c r="G67" s="274"/>
      <c r="H67" s="274"/>
      <c r="I67" s="274"/>
      <c r="J67" s="274"/>
      <c r="K67" s="274"/>
      <c r="L67" s="274"/>
      <c r="M67" s="274"/>
      <c r="N67" s="274"/>
      <c r="O67" s="274"/>
      <c r="P67" s="274"/>
      <c r="V67" s="272" t="s">
        <v>299</v>
      </c>
      <c r="W67" s="352">
        <v>0</v>
      </c>
      <c r="X67" s="352">
        <v>8.58</v>
      </c>
      <c r="Y67" s="352">
        <v>59.27000000000001</v>
      </c>
      <c r="Z67" s="320"/>
      <c r="AB67" s="477" t="s">
        <v>468</v>
      </c>
      <c r="AC67" s="482"/>
      <c r="AD67" s="484">
        <v>-0.235236109967283</v>
      </c>
      <c r="AN67" s="320"/>
      <c r="AO67" s="320" t="s">
        <v>297</v>
      </c>
      <c r="AP67" s="329">
        <f>X52</f>
        <v>0</v>
      </c>
      <c r="AQ67" s="329"/>
      <c r="AR67" s="329"/>
      <c r="AS67" s="329">
        <f>Y52</f>
        <v>43.44</v>
      </c>
      <c r="AT67" s="320"/>
      <c r="AU67" s="320" t="s">
        <v>297</v>
      </c>
      <c r="AV67" s="320">
        <f>W52</f>
        <v>-9.07</v>
      </c>
      <c r="AW67" s="320"/>
      <c r="AX67" s="320"/>
      <c r="AY67" s="320">
        <f t="shared" si="23"/>
        <v>43.44</v>
      </c>
      <c r="BB67" s="320" t="s">
        <v>297</v>
      </c>
      <c r="BC67" s="320">
        <f t="shared" si="24"/>
        <v>-9.07</v>
      </c>
      <c r="BD67" s="320"/>
      <c r="BE67" s="320"/>
      <c r="BF67" s="320">
        <f t="shared" si="26"/>
        <v>0</v>
      </c>
    </row>
    <row r="68" spans="3:58" ht="14" customHeight="1">
      <c r="C68" s="274"/>
      <c r="D68" s="274"/>
      <c r="E68" s="274"/>
      <c r="F68" s="274"/>
      <c r="G68" s="274"/>
      <c r="H68" s="274"/>
      <c r="I68" s="274"/>
      <c r="J68" s="274"/>
      <c r="K68" s="274"/>
      <c r="L68" s="274"/>
      <c r="M68" s="274"/>
      <c r="N68" s="274"/>
      <c r="O68" s="274"/>
      <c r="P68" s="274"/>
      <c r="V68" s="272" t="s">
        <v>67</v>
      </c>
      <c r="W68" s="352">
        <v>0</v>
      </c>
      <c r="X68" s="370">
        <v>0</v>
      </c>
      <c r="Y68" s="352">
        <v>40.900000000000006</v>
      </c>
      <c r="Z68" s="320"/>
      <c r="AH68" s="488">
        <v>6000</v>
      </c>
      <c r="AI68" s="489"/>
      <c r="AJ68" s="489"/>
      <c r="AM68" s="320"/>
      <c r="AN68" s="320"/>
      <c r="AO68" s="320" t="s">
        <v>298</v>
      </c>
      <c r="AP68" s="329">
        <f>X53</f>
        <v>0</v>
      </c>
      <c r="AQ68" s="329"/>
      <c r="AR68" s="329"/>
      <c r="AS68" s="329">
        <f>Y53</f>
        <v>6.23</v>
      </c>
      <c r="AT68" s="320"/>
      <c r="AU68" s="320" t="s">
        <v>298</v>
      </c>
      <c r="AV68" s="320">
        <f>W53</f>
        <v>-9.07</v>
      </c>
      <c r="AW68" s="320"/>
      <c r="AX68" s="320"/>
      <c r="AY68" s="320">
        <f t="shared" si="23"/>
        <v>6.23</v>
      </c>
      <c r="BB68" s="320" t="s">
        <v>298</v>
      </c>
      <c r="BC68" s="320">
        <f t="shared" si="24"/>
        <v>-9.07</v>
      </c>
      <c r="BD68" s="320"/>
      <c r="BE68" s="320"/>
      <c r="BF68" s="320">
        <f t="shared" si="26"/>
        <v>0</v>
      </c>
    </row>
    <row r="69" spans="3:58" ht="14" customHeight="1">
      <c r="C69" s="274"/>
      <c r="D69" s="274"/>
      <c r="E69" s="274"/>
      <c r="F69" s="274"/>
      <c r="G69" s="274"/>
      <c r="H69" s="274"/>
      <c r="I69" s="274"/>
      <c r="J69" s="274"/>
      <c r="K69" s="274"/>
      <c r="L69" s="274"/>
      <c r="M69" s="274"/>
      <c r="N69" s="274"/>
      <c r="O69" s="274"/>
      <c r="P69" s="274"/>
      <c r="V69" s="272" t="s">
        <v>285</v>
      </c>
      <c r="W69" s="352">
        <v>17.04</v>
      </c>
      <c r="X69" s="352">
        <v>2.9499999999999997</v>
      </c>
      <c r="Y69" s="352">
        <v>36.099999999999994</v>
      </c>
      <c r="Z69" s="320"/>
      <c r="AB69" s="566" t="s">
        <v>392</v>
      </c>
      <c r="AC69" s="526"/>
      <c r="AD69" s="526"/>
      <c r="AH69" s="490">
        <v>0.2</v>
      </c>
      <c r="AI69" s="489"/>
      <c r="AJ69" s="489"/>
      <c r="AM69" s="320"/>
      <c r="AN69" s="320"/>
      <c r="AO69" s="320"/>
      <c r="AP69" s="329">
        <v>15</v>
      </c>
      <c r="AQ69" s="329"/>
      <c r="AR69" s="329"/>
      <c r="AS69" s="329">
        <v>0</v>
      </c>
      <c r="AT69" s="320"/>
      <c r="AU69" s="320"/>
      <c r="AV69" s="320"/>
      <c r="AW69" s="320"/>
      <c r="AX69" s="320"/>
      <c r="AY69" s="320"/>
      <c r="BB69" s="320"/>
      <c r="BC69" s="320">
        <f>BC68</f>
        <v>-9.07</v>
      </c>
      <c r="BD69" s="320"/>
      <c r="BE69" s="320"/>
      <c r="BF69" s="320">
        <v>15</v>
      </c>
    </row>
    <row r="70" spans="3:58" ht="14" customHeight="1">
      <c r="C70" s="274"/>
      <c r="D70" s="274"/>
      <c r="E70" s="274"/>
      <c r="F70" s="274"/>
      <c r="G70" s="274"/>
      <c r="H70" s="274"/>
      <c r="I70" s="274"/>
      <c r="J70" s="274"/>
      <c r="K70" s="274"/>
      <c r="L70" s="274"/>
      <c r="M70" s="274"/>
      <c r="N70" s="274"/>
      <c r="O70" s="274"/>
      <c r="P70" s="274"/>
      <c r="V70" s="354" t="s">
        <v>290</v>
      </c>
      <c r="W70" s="358"/>
      <c r="X70" s="358"/>
      <c r="Y70" s="358"/>
      <c r="Z70" s="320"/>
      <c r="AA70" s="320"/>
      <c r="AB70" s="567"/>
      <c r="AC70" s="568"/>
      <c r="AD70" s="568"/>
      <c r="AE70" s="320"/>
      <c r="AF70" s="320"/>
      <c r="AG70" s="320"/>
      <c r="AH70" s="570">
        <f xml:space="preserve"> 6000 * LN(  D27 / AH69  / 902416) / (-0.162) / 100</f>
        <v>2245.6067653161808</v>
      </c>
      <c r="AI70" s="570"/>
      <c r="AJ70" s="491"/>
      <c r="AK70" s="320"/>
      <c r="AL70" s="320"/>
      <c r="AM70" s="320"/>
      <c r="AN70" s="320"/>
      <c r="AO70" s="320" t="s">
        <v>326</v>
      </c>
      <c r="AP70" s="329">
        <f>AP54</f>
        <v>63.12260788292528</v>
      </c>
      <c r="AQ70" s="329"/>
      <c r="AR70" s="329">
        <f>AR54</f>
        <v>131.439338311597</v>
      </c>
      <c r="AS70" s="329"/>
      <c r="AT70" s="320"/>
      <c r="AU70" s="320" t="s">
        <v>326</v>
      </c>
      <c r="AV70" s="320">
        <f>AV54</f>
        <v>37.04</v>
      </c>
      <c r="AW70" s="320"/>
      <c r="AX70" s="320">
        <f>AX54</f>
        <v>131.439338311597</v>
      </c>
      <c r="AY70" s="320"/>
      <c r="BB70" s="320" t="s">
        <v>326</v>
      </c>
      <c r="BC70" s="320">
        <f t="shared" ref="BC70:BC73" si="28">AV70</f>
        <v>37.04</v>
      </c>
      <c r="BD70" s="320"/>
      <c r="BE70" s="320">
        <f>AP70</f>
        <v>63.12260788292528</v>
      </c>
      <c r="BF70" s="320"/>
    </row>
    <row r="71" spans="3:58" ht="14" customHeight="1">
      <c r="C71" s="274"/>
      <c r="D71" s="274"/>
      <c r="E71" s="274"/>
      <c r="F71" s="274"/>
      <c r="G71" s="274"/>
      <c r="H71" s="274"/>
      <c r="I71" s="274"/>
      <c r="J71" s="274"/>
      <c r="K71" s="274"/>
      <c r="L71" s="274"/>
      <c r="M71" s="274"/>
      <c r="N71" s="274"/>
      <c r="O71" s="274"/>
      <c r="P71" s="274"/>
      <c r="V71" s="354" t="s">
        <v>286</v>
      </c>
      <c r="W71" s="358"/>
      <c r="X71" s="358"/>
      <c r="Y71" s="358"/>
      <c r="Z71" s="320"/>
      <c r="AA71" s="320"/>
      <c r="AB71" s="394" t="s">
        <v>386</v>
      </c>
      <c r="AC71" s="417" t="s">
        <v>387</v>
      </c>
      <c r="AD71" s="432" t="s">
        <v>316</v>
      </c>
      <c r="AE71" s="320"/>
      <c r="AF71" s="320"/>
      <c r="AG71" s="320"/>
      <c r="AH71" s="491" t="s">
        <v>449</v>
      </c>
      <c r="AI71" s="491"/>
      <c r="AJ71" s="491"/>
      <c r="AK71" s="320"/>
      <c r="AL71" s="320"/>
      <c r="AM71" s="320"/>
      <c r="AN71" s="320"/>
      <c r="AO71" s="320" t="s">
        <v>325</v>
      </c>
      <c r="AP71" s="329">
        <f>+AP70+'Rt - Gravity correction'!L20*H25*N34</f>
        <v>80.132953318919576</v>
      </c>
      <c r="AQ71" s="329"/>
      <c r="AR71" s="329">
        <f>+AR70+'Rt - Gravity correction'!L21*H25*N34</f>
        <v>114.4289928756027</v>
      </c>
      <c r="AS71" s="329"/>
      <c r="AT71" s="320"/>
      <c r="AU71" s="320" t="s">
        <v>325</v>
      </c>
      <c r="AV71" s="320">
        <f>+AV70+'Rt - Gravity correction'!L19*H25*N34</f>
        <v>43.844138174397713</v>
      </c>
      <c r="AW71" s="320"/>
      <c r="AX71" s="320">
        <f>+AX70+'Rt - Gravity correction'!L21*H25*N34</f>
        <v>114.4289928756027</v>
      </c>
      <c r="AY71" s="320"/>
      <c r="BB71" s="320" t="s">
        <v>325</v>
      </c>
      <c r="BC71" s="320">
        <f t="shared" si="28"/>
        <v>43.844138174397713</v>
      </c>
      <c r="BD71" s="320"/>
      <c r="BE71" s="320">
        <f>AP71</f>
        <v>80.132953318919576</v>
      </c>
      <c r="BF71" s="320"/>
    </row>
    <row r="72" spans="3:58" ht="14" customHeight="1">
      <c r="C72" s="274"/>
      <c r="D72" s="274"/>
      <c r="E72" s="274"/>
      <c r="F72" s="274"/>
      <c r="G72" s="274"/>
      <c r="H72" s="274"/>
      <c r="I72" s="274"/>
      <c r="J72" s="274"/>
      <c r="K72" s="274"/>
      <c r="L72" s="274"/>
      <c r="M72" s="274"/>
      <c r="N72" s="274"/>
      <c r="O72" s="274"/>
      <c r="P72" s="274"/>
      <c r="V72" s="272" t="s">
        <v>288</v>
      </c>
      <c r="W72" s="352">
        <v>-17.04</v>
      </c>
      <c r="X72" s="352">
        <v>2.9499999999999997</v>
      </c>
      <c r="Y72" s="352">
        <v>36.099999999999994</v>
      </c>
      <c r="Z72" s="320"/>
      <c r="AA72" s="320"/>
      <c r="AB72" s="373">
        <v>0.76455422222222225</v>
      </c>
      <c r="AC72" s="418">
        <v>6.0499999999999998E-3</v>
      </c>
      <c r="AD72" s="442">
        <v>4.7500000000000001E-2</v>
      </c>
      <c r="AE72" s="320"/>
      <c r="AF72" s="320"/>
      <c r="AG72" s="320"/>
      <c r="AH72" s="320"/>
      <c r="AI72" s="320"/>
      <c r="AJ72" s="320"/>
      <c r="AK72" s="320"/>
      <c r="AL72" s="320"/>
      <c r="AM72" s="320"/>
      <c r="AN72" s="320"/>
      <c r="AO72" s="320" t="s">
        <v>327</v>
      </c>
      <c r="AP72" s="329">
        <f>AP62</f>
        <v>43.12260788292528</v>
      </c>
      <c r="AQ72" s="329"/>
      <c r="AR72" s="329"/>
      <c r="AS72" s="329">
        <f>AS62</f>
        <v>71.439338311597012</v>
      </c>
      <c r="AT72" s="320"/>
      <c r="AU72" s="320" t="s">
        <v>327</v>
      </c>
      <c r="AV72" s="320">
        <f>AV62</f>
        <v>-32.04</v>
      </c>
      <c r="AW72" s="320"/>
      <c r="AX72" s="320"/>
      <c r="AY72" s="320">
        <f>AY62</f>
        <v>71.439338311597012</v>
      </c>
      <c r="BB72" s="320" t="s">
        <v>327</v>
      </c>
      <c r="BC72" s="320">
        <f t="shared" si="28"/>
        <v>-32.04</v>
      </c>
      <c r="BD72" s="320"/>
      <c r="BE72" s="320"/>
      <c r="BF72" s="320">
        <f>AP72</f>
        <v>43.12260788292528</v>
      </c>
    </row>
    <row r="73" spans="3:58" ht="14" customHeight="1">
      <c r="C73" s="274"/>
      <c r="D73" s="274"/>
      <c r="E73" s="274"/>
      <c r="F73" s="274"/>
      <c r="G73" s="274"/>
      <c r="H73" s="274"/>
      <c r="I73" s="274"/>
      <c r="J73" s="274"/>
      <c r="K73" s="274"/>
      <c r="L73" s="274"/>
      <c r="M73" s="274"/>
      <c r="N73" s="274"/>
      <c r="O73" s="274"/>
      <c r="P73" s="274"/>
      <c r="V73" s="354" t="s">
        <v>291</v>
      </c>
      <c r="W73" s="358"/>
      <c r="X73" s="358"/>
      <c r="Y73" s="358"/>
      <c r="AB73" s="373">
        <v>0.41944999999999999</v>
      </c>
      <c r="AC73" s="418">
        <v>1.61E-2</v>
      </c>
      <c r="AD73" s="442">
        <v>0.14849999999999999</v>
      </c>
      <c r="AO73" s="320" t="s">
        <v>328</v>
      </c>
      <c r="AP73" s="329">
        <f>+AP72+'Lft - Gravity correction'!L20*D25*N34</f>
        <v>43.12260788292528</v>
      </c>
      <c r="AQ73" s="329"/>
      <c r="AR73" s="329"/>
      <c r="AS73" s="329">
        <f>+AS72+'Lft - Gravity correction'!L21*D25*N34</f>
        <v>93.800018086594918</v>
      </c>
      <c r="AT73" s="320"/>
      <c r="AU73" s="320" t="s">
        <v>328</v>
      </c>
      <c r="AV73" s="320">
        <f>+AV72+'Lft - Gravity correction'!L19*D25*N34</f>
        <v>-43.220339887498952</v>
      </c>
      <c r="AW73" s="320"/>
      <c r="AX73" s="320"/>
      <c r="AY73" s="320">
        <f>+AY72+'Lft - Gravity correction'!L21*D25*N34</f>
        <v>93.800018086594918</v>
      </c>
      <c r="BB73" s="320" t="s">
        <v>328</v>
      </c>
      <c r="BC73" s="320">
        <f t="shared" si="28"/>
        <v>-43.220339887498952</v>
      </c>
      <c r="BD73" s="320"/>
      <c r="BE73" s="320"/>
      <c r="BF73" s="320">
        <f>AP73</f>
        <v>43.12260788292528</v>
      </c>
    </row>
    <row r="74" spans="3:58" ht="14" customHeight="1">
      <c r="C74" s="274"/>
      <c r="D74" s="274"/>
      <c r="E74" s="274"/>
      <c r="F74" s="274"/>
      <c r="G74" s="274"/>
      <c r="H74" s="274"/>
      <c r="I74" s="274"/>
      <c r="J74" s="274"/>
      <c r="K74" s="274"/>
      <c r="L74" s="274"/>
      <c r="M74" s="274"/>
      <c r="N74" s="274"/>
      <c r="O74" s="274"/>
      <c r="P74" s="274"/>
      <c r="V74" s="354" t="s">
        <v>292</v>
      </c>
      <c r="W74" s="358"/>
      <c r="X74" s="358"/>
      <c r="Y74" s="358"/>
      <c r="AB74" s="373">
        <v>0.52954999999999997</v>
      </c>
      <c r="AC74" s="418">
        <v>2.785E-2</v>
      </c>
      <c r="AD74" s="442">
        <v>0.186</v>
      </c>
      <c r="AP74" s="329"/>
      <c r="AQ74" s="329"/>
      <c r="AR74" s="329"/>
      <c r="AS74" s="329"/>
    </row>
    <row r="75" spans="3:58" ht="14" customHeight="1">
      <c r="C75" s="274"/>
      <c r="D75" s="274"/>
      <c r="E75" s="274"/>
      <c r="F75" s="274"/>
      <c r="G75" s="274"/>
      <c r="H75" s="274"/>
      <c r="I75" s="274"/>
      <c r="J75" s="274"/>
      <c r="K75" s="274"/>
      <c r="L75" s="274"/>
      <c r="M75" s="274"/>
      <c r="N75" s="274"/>
      <c r="O75" s="274"/>
      <c r="P75" s="274"/>
      <c r="V75" s="272" t="s">
        <v>293</v>
      </c>
      <c r="W75" s="359"/>
      <c r="X75" s="359"/>
      <c r="Y75" s="359"/>
      <c r="AB75" s="373">
        <v>1</v>
      </c>
      <c r="AC75" s="418">
        <v>7.9000000000000001E-2</v>
      </c>
      <c r="AD75" s="442">
        <v>9.9900000000000003E-2</v>
      </c>
      <c r="AO75" s="274" t="s">
        <v>332</v>
      </c>
      <c r="AP75" s="329">
        <f>AP65</f>
        <v>23.122607882925283</v>
      </c>
      <c r="AQ75" s="329"/>
      <c r="AR75" s="329"/>
      <c r="AS75" s="329">
        <f>AS65</f>
        <v>121.43933831159701</v>
      </c>
      <c r="AU75" s="274" t="s">
        <v>332</v>
      </c>
      <c r="AV75" s="320">
        <f>AV65</f>
        <v>-17.04</v>
      </c>
      <c r="AY75" s="320">
        <f>AY65</f>
        <v>121.43933831159701</v>
      </c>
      <c r="BB75" s="274" t="s">
        <v>332</v>
      </c>
      <c r="BC75" s="320">
        <f t="shared" ref="BC75:BC78" si="29">AV75</f>
        <v>-17.04</v>
      </c>
      <c r="BF75" s="320">
        <f>AP75</f>
        <v>23.122607882925283</v>
      </c>
    </row>
    <row r="76" spans="3:58" ht="14" customHeight="1">
      <c r="C76" s="274"/>
      <c r="D76" s="274"/>
      <c r="E76" s="274"/>
      <c r="F76" s="274"/>
      <c r="G76" s="274"/>
      <c r="H76" s="274"/>
      <c r="I76" s="274"/>
      <c r="J76" s="274"/>
      <c r="K76" s="274"/>
      <c r="L76" s="274"/>
      <c r="M76" s="274"/>
      <c r="N76" s="274"/>
      <c r="O76" s="274"/>
      <c r="P76" s="274"/>
      <c r="V76" s="272" t="s">
        <v>294</v>
      </c>
      <c r="W76" s="359"/>
      <c r="X76" s="359"/>
      <c r="Y76" s="359"/>
      <c r="AB76" s="373">
        <v>0.69450000000000001</v>
      </c>
      <c r="AC76" s="418">
        <v>0.30330000000000001</v>
      </c>
      <c r="AD76" s="442">
        <v>0.25214999999999999</v>
      </c>
      <c r="AO76" s="274" t="s">
        <v>283</v>
      </c>
      <c r="AP76" s="329">
        <f>AP50</f>
        <v>23.459276246757785</v>
      </c>
      <c r="AQ76" s="329"/>
      <c r="AR76" s="329"/>
      <c r="AS76" s="329">
        <f>AQ50</f>
        <v>127.06331861141977</v>
      </c>
      <c r="AU76" s="274" t="s">
        <v>283</v>
      </c>
      <c r="AV76" s="320">
        <f>AV50</f>
        <v>0</v>
      </c>
      <c r="AY76" s="320">
        <f>AW50</f>
        <v>127.06331861141977</v>
      </c>
      <c r="BB76" s="274" t="s">
        <v>283</v>
      </c>
      <c r="BC76" s="320">
        <f t="shared" si="29"/>
        <v>0</v>
      </c>
      <c r="BF76" s="320">
        <f t="shared" ref="BF76:BF78" si="30">AP76</f>
        <v>23.459276246757785</v>
      </c>
    </row>
    <row r="77" spans="3:58" ht="14" customHeight="1">
      <c r="C77" s="321"/>
      <c r="D77" s="274"/>
      <c r="E77" s="274"/>
      <c r="F77" s="274"/>
      <c r="G77" s="274"/>
      <c r="H77" s="274"/>
      <c r="I77" s="274"/>
      <c r="J77" s="274"/>
      <c r="K77" s="274"/>
      <c r="L77" s="274"/>
      <c r="M77" s="274"/>
      <c r="N77" s="274"/>
      <c r="O77" s="274"/>
      <c r="P77" s="274"/>
      <c r="V77" s="272" t="s">
        <v>295</v>
      </c>
      <c r="W77" s="359"/>
      <c r="X77" s="359"/>
      <c r="Y77" s="359"/>
      <c r="AO77" s="274" t="s">
        <v>333</v>
      </c>
      <c r="AP77" s="329">
        <f>AP57</f>
        <v>23.122607882925283</v>
      </c>
      <c r="AQ77" s="329"/>
      <c r="AR77" s="329"/>
      <c r="AS77" s="329">
        <f>AR57</f>
        <v>121.43933831159701</v>
      </c>
      <c r="AU77" s="274" t="s">
        <v>333</v>
      </c>
      <c r="AV77" s="320">
        <f>AV57</f>
        <v>17.04</v>
      </c>
      <c r="AY77" s="320">
        <f>AX57</f>
        <v>121.43933831159701</v>
      </c>
      <c r="BB77" s="274" t="s">
        <v>333</v>
      </c>
      <c r="BC77" s="320">
        <f t="shared" si="29"/>
        <v>17.04</v>
      </c>
      <c r="BF77" s="320">
        <f t="shared" si="30"/>
        <v>23.122607882925283</v>
      </c>
    </row>
    <row r="78" spans="3:58" ht="14" customHeight="1">
      <c r="C78" s="321"/>
      <c r="D78" s="274"/>
      <c r="E78" s="274"/>
      <c r="F78" s="274"/>
      <c r="G78" s="274"/>
      <c r="H78" s="274"/>
      <c r="I78" s="274"/>
      <c r="J78" s="274"/>
      <c r="K78" s="274"/>
      <c r="L78" s="274"/>
      <c r="M78" s="274"/>
      <c r="N78" s="274"/>
      <c r="O78" s="274"/>
      <c r="P78" s="274"/>
      <c r="V78" s="272" t="s">
        <v>296</v>
      </c>
      <c r="W78" s="359"/>
      <c r="X78" s="359"/>
      <c r="Y78" s="359"/>
      <c r="AO78" s="274" t="s">
        <v>332</v>
      </c>
      <c r="AP78" s="329">
        <f>AP65</f>
        <v>23.122607882925283</v>
      </c>
      <c r="AQ78" s="329"/>
      <c r="AR78" s="329"/>
      <c r="AS78" s="329">
        <f>AS65</f>
        <v>121.43933831159701</v>
      </c>
      <c r="AU78" s="274" t="s">
        <v>332</v>
      </c>
      <c r="AV78" s="320">
        <f>AV65</f>
        <v>-17.04</v>
      </c>
      <c r="AY78" s="320">
        <f>AY65</f>
        <v>121.43933831159701</v>
      </c>
      <c r="BB78" s="274" t="s">
        <v>332</v>
      </c>
      <c r="BC78" s="320">
        <f t="shared" si="29"/>
        <v>-17.04</v>
      </c>
      <c r="BF78" s="320">
        <f t="shared" si="30"/>
        <v>23.122607882925283</v>
      </c>
    </row>
    <row r="79" spans="3:58" ht="14" customHeight="1">
      <c r="C79" s="321"/>
      <c r="D79" s="274"/>
      <c r="E79" s="274"/>
      <c r="F79" s="274"/>
      <c r="G79" s="274"/>
      <c r="H79" s="274"/>
      <c r="I79" s="274"/>
      <c r="J79" s="274"/>
      <c r="K79" s="274"/>
      <c r="L79" s="274"/>
      <c r="M79" s="274"/>
      <c r="N79" s="274"/>
      <c r="O79" s="274"/>
      <c r="P79" s="274"/>
      <c r="Q79" s="310"/>
      <c r="V79" s="272" t="s">
        <v>297</v>
      </c>
      <c r="W79" s="359"/>
      <c r="X79" s="359"/>
      <c r="Y79" s="359"/>
      <c r="AP79" s="329"/>
      <c r="AQ79" s="329"/>
      <c r="AR79" s="329"/>
      <c r="AS79" s="329"/>
    </row>
    <row r="80" spans="3:58" ht="14" customHeight="1">
      <c r="C80" s="274"/>
      <c r="D80" s="274"/>
      <c r="E80" s="274"/>
      <c r="F80" s="274"/>
      <c r="G80" s="274"/>
      <c r="H80" s="274"/>
      <c r="I80" s="274"/>
      <c r="J80" s="274"/>
      <c r="K80" s="274"/>
      <c r="L80" s="274"/>
      <c r="M80" s="274"/>
      <c r="N80" s="274"/>
      <c r="O80" s="274"/>
      <c r="P80" s="274"/>
      <c r="Q80" s="310"/>
      <c r="V80" s="272" t="s">
        <v>298</v>
      </c>
      <c r="W80" s="359"/>
      <c r="X80" s="359"/>
      <c r="Y80" s="359"/>
      <c r="AB80" s="576" t="s">
        <v>281</v>
      </c>
      <c r="AC80" s="576"/>
      <c r="AE80" s="560" t="s">
        <v>390</v>
      </c>
      <c r="AF80" s="560"/>
      <c r="AG80" s="560"/>
      <c r="AH80" s="560"/>
      <c r="AI80" s="560"/>
      <c r="AJ80" s="560"/>
      <c r="AK80" s="560"/>
      <c r="AL80" s="560"/>
      <c r="AP80" s="329"/>
      <c r="AQ80" s="329"/>
      <c r="AR80" s="329"/>
      <c r="AS80" s="329"/>
      <c r="AU80" s="274" t="s">
        <v>334</v>
      </c>
      <c r="AV80" s="320">
        <f>AV66</f>
        <v>-9.07</v>
      </c>
      <c r="AY80" s="320">
        <f>AY66</f>
        <v>84.59</v>
      </c>
      <c r="BB80" s="274" t="s">
        <v>334</v>
      </c>
      <c r="BC80" s="320">
        <f t="shared" ref="BC80:BC83" si="31">AV80</f>
        <v>-9.07</v>
      </c>
      <c r="BF80" s="320">
        <f>BF66</f>
        <v>0</v>
      </c>
    </row>
    <row r="81" spans="3:58" ht="14" customHeight="1">
      <c r="C81" s="274"/>
      <c r="D81" s="274"/>
      <c r="E81" s="274"/>
      <c r="F81" s="274"/>
      <c r="G81" s="274"/>
      <c r="H81" s="274"/>
      <c r="I81" s="274"/>
      <c r="J81" s="274"/>
      <c r="K81" s="274"/>
      <c r="L81" s="274"/>
      <c r="M81" s="274"/>
      <c r="N81" s="274"/>
      <c r="O81" s="274"/>
      <c r="P81" s="274"/>
      <c r="Q81" s="310"/>
      <c r="V81" s="55" t="s">
        <v>300</v>
      </c>
      <c r="W81" s="359"/>
      <c r="X81" s="359"/>
      <c r="Y81" s="359"/>
      <c r="AA81"/>
      <c r="AB81" s="576"/>
      <c r="AC81" s="576"/>
      <c r="AE81" s="564" t="s">
        <v>72</v>
      </c>
      <c r="AF81" s="564"/>
      <c r="AG81" s="564"/>
      <c r="AH81" s="564"/>
      <c r="AI81" s="565" t="s">
        <v>71</v>
      </c>
      <c r="AJ81" s="565"/>
      <c r="AK81" s="565"/>
      <c r="AL81" s="565"/>
      <c r="AP81" s="329"/>
      <c r="AQ81" s="329"/>
      <c r="AR81" s="329"/>
      <c r="AS81" s="329"/>
      <c r="AU81" s="274" t="s">
        <v>68</v>
      </c>
      <c r="AV81" s="320">
        <f>AV51</f>
        <v>0</v>
      </c>
      <c r="AY81" s="320">
        <f>AW51</f>
        <v>93.56</v>
      </c>
      <c r="BB81" s="274" t="s">
        <v>68</v>
      </c>
      <c r="BC81" s="320">
        <f t="shared" si="31"/>
        <v>0</v>
      </c>
      <c r="BF81" s="320">
        <f>BD51</f>
        <v>0</v>
      </c>
    </row>
    <row r="82" spans="3:58" ht="14" customHeight="1">
      <c r="C82" s="274"/>
      <c r="D82" s="274"/>
      <c r="E82" s="274"/>
      <c r="F82" s="274"/>
      <c r="G82" s="274"/>
      <c r="H82" s="274"/>
      <c r="I82" s="274"/>
      <c r="J82" s="274"/>
      <c r="K82" s="274"/>
      <c r="L82" s="274"/>
      <c r="M82" s="274"/>
      <c r="N82" s="274"/>
      <c r="O82" s="274"/>
      <c r="P82" s="274"/>
      <c r="Q82" s="310"/>
      <c r="V82" s="55" t="s">
        <v>301</v>
      </c>
      <c r="W82" s="359"/>
      <c r="X82" s="359"/>
      <c r="Y82" s="359"/>
      <c r="AA82"/>
      <c r="AB82" s="394" t="s">
        <v>386</v>
      </c>
      <c r="AC82" s="395" t="s">
        <v>387</v>
      </c>
      <c r="AD82" s="396" t="s">
        <v>391</v>
      </c>
      <c r="AE82" s="377" t="s">
        <v>316</v>
      </c>
      <c r="AF82" s="377" t="s">
        <v>53</v>
      </c>
      <c r="AG82" s="377" t="s">
        <v>54</v>
      </c>
      <c r="AH82" s="377" t="s">
        <v>55</v>
      </c>
      <c r="AI82" s="397" t="s">
        <v>316</v>
      </c>
      <c r="AJ82" s="397" t="s">
        <v>53</v>
      </c>
      <c r="AK82" s="397" t="s">
        <v>54</v>
      </c>
      <c r="AL82" s="397" t="s">
        <v>55</v>
      </c>
      <c r="AP82" s="329"/>
      <c r="AQ82" s="329"/>
      <c r="AR82" s="329"/>
      <c r="AS82" s="329"/>
      <c r="AU82" s="274" t="s">
        <v>335</v>
      </c>
      <c r="AV82" s="320">
        <f>AV58</f>
        <v>9.07</v>
      </c>
      <c r="AY82" s="320">
        <f>AX58</f>
        <v>84.59</v>
      </c>
      <c r="BB82" s="274" t="s">
        <v>335</v>
      </c>
      <c r="BC82" s="320">
        <f t="shared" si="31"/>
        <v>9.07</v>
      </c>
      <c r="BF82" s="320">
        <f>BE58</f>
        <v>0</v>
      </c>
    </row>
    <row r="83" spans="3:58" ht="14" customHeight="1">
      <c r="C83" s="274"/>
      <c r="D83" s="274"/>
      <c r="E83" s="274"/>
      <c r="F83" s="274"/>
      <c r="G83" s="274"/>
      <c r="H83" s="274"/>
      <c r="I83" s="274"/>
      <c r="J83" s="274"/>
      <c r="K83" s="274"/>
      <c r="L83" s="274"/>
      <c r="M83" s="274"/>
      <c r="N83" s="274"/>
      <c r="O83" s="274"/>
      <c r="P83" s="274"/>
      <c r="Q83" s="310"/>
      <c r="V83" s="272" t="s">
        <v>302</v>
      </c>
      <c r="W83" s="352">
        <v>10</v>
      </c>
      <c r="X83" s="352">
        <v>1.1099999999999999</v>
      </c>
      <c r="Y83" s="352">
        <v>56.879999999999995</v>
      </c>
      <c r="AA83" s="198" t="s">
        <v>9</v>
      </c>
      <c r="AB83" s="373">
        <v>0.78278399999999992</v>
      </c>
      <c r="AC83" s="374">
        <v>6.1999999999999998E-3</v>
      </c>
      <c r="AD83" s="375">
        <f>AC83*AE$6</f>
        <v>4.4704170000000003</v>
      </c>
      <c r="AE83" s="433">
        <f>AE12</f>
        <v>7.1103451463947147</v>
      </c>
      <c r="AF83" s="434">
        <f t="shared" ref="AF83:AK83" si="32">AF12</f>
        <v>-31.482277829769501</v>
      </c>
      <c r="AG83" s="434">
        <f t="shared" si="32"/>
        <v>41.961020932851923</v>
      </c>
      <c r="AH83" s="434">
        <f t="shared" si="32"/>
        <v>72.701507199267866</v>
      </c>
      <c r="AI83" s="433">
        <f t="shared" si="32"/>
        <v>6.9710486564585894</v>
      </c>
      <c r="AJ83" s="434">
        <f t="shared" si="32"/>
        <v>36.888536484659873</v>
      </c>
      <c r="AK83" s="434">
        <f t="shared" si="32"/>
        <v>61.951190741382675</v>
      </c>
      <c r="AL83" s="434">
        <f>(Y137 - Y122)*$AB83+Y122</f>
        <v>0</v>
      </c>
      <c r="AP83" s="329"/>
      <c r="AQ83" s="329"/>
      <c r="AR83" s="329"/>
      <c r="AS83" s="329"/>
      <c r="AU83" s="274" t="s">
        <v>334</v>
      </c>
      <c r="AV83" s="320">
        <f>AV66</f>
        <v>-9.07</v>
      </c>
      <c r="AY83" s="320">
        <f>AY66</f>
        <v>84.59</v>
      </c>
      <c r="BB83" s="274" t="s">
        <v>334</v>
      </c>
      <c r="BC83" s="320">
        <f t="shared" si="31"/>
        <v>-9.07</v>
      </c>
      <c r="BF83" s="320">
        <f>BF66</f>
        <v>0</v>
      </c>
    </row>
    <row r="84" spans="3:58" ht="14" customHeight="1">
      <c r="C84" s="274"/>
      <c r="D84" s="274"/>
      <c r="E84" s="274"/>
      <c r="F84" s="274"/>
      <c r="G84" s="274"/>
      <c r="H84" s="274"/>
      <c r="I84" s="274"/>
      <c r="J84" s="274"/>
      <c r="K84" s="274"/>
      <c r="L84" s="274"/>
      <c r="M84" s="274"/>
      <c r="N84" s="274"/>
      <c r="O84" s="274"/>
      <c r="P84" s="274"/>
      <c r="Q84" s="310"/>
      <c r="V84" s="272" t="s">
        <v>303</v>
      </c>
      <c r="W84" s="352">
        <v>-10</v>
      </c>
      <c r="X84" s="352">
        <v>1.1099999999999999</v>
      </c>
      <c r="Y84" s="352">
        <v>56.879999999999995</v>
      </c>
      <c r="AA84" s="198" t="s">
        <v>8</v>
      </c>
      <c r="AB84" s="373">
        <v>0.41720000000000002</v>
      </c>
      <c r="AC84" s="374">
        <v>1.7299999999999999E-2</v>
      </c>
      <c r="AD84" s="375">
        <f>AC84*AE$6</f>
        <v>12.473905500000001</v>
      </c>
      <c r="AE84" s="433">
        <f t="shared" ref="AE84:AH84" si="33">AE13</f>
        <v>23.096583895399526</v>
      </c>
      <c r="AF84" s="434">
        <f t="shared" si="33"/>
        <v>-25.711439893556616</v>
      </c>
      <c r="AG84" s="434">
        <f t="shared" si="33"/>
        <v>29.941900310620376</v>
      </c>
      <c r="AH84" s="434">
        <f t="shared" si="33"/>
        <v>85.761364754990069</v>
      </c>
      <c r="AI84" s="433">
        <f>((W122-W121)^2 + (X122-X121)^2 + (Y122-Y121)^2)^0.5</f>
        <v>0</v>
      </c>
      <c r="AJ84" s="434">
        <f t="shared" ref="AJ84:AK84" si="34">AJ13</f>
        <v>35.321319961931906</v>
      </c>
      <c r="AK84" s="434">
        <f t="shared" si="34"/>
        <v>49.830355600921479</v>
      </c>
      <c r="AL84" s="434">
        <f t="shared" ref="AL84:AL85" si="35">(Y138 - Y123)*$AB84+Y123</f>
        <v>0</v>
      </c>
      <c r="AP84" s="329"/>
      <c r="AQ84" s="329"/>
      <c r="AR84" s="329"/>
      <c r="AS84" s="329"/>
    </row>
    <row r="85" spans="3:58" ht="14" customHeight="1">
      <c r="C85" s="274"/>
      <c r="D85" s="274"/>
      <c r="E85" s="274"/>
      <c r="F85" s="274"/>
      <c r="G85" s="274"/>
      <c r="H85" s="274"/>
      <c r="I85" s="274"/>
      <c r="J85" s="274"/>
      <c r="K85" s="274"/>
      <c r="L85" s="274"/>
      <c r="M85" s="274"/>
      <c r="N85" s="274"/>
      <c r="O85" s="274"/>
      <c r="P85" s="274"/>
      <c r="Q85" s="310"/>
      <c r="V85" s="272" t="s">
        <v>304</v>
      </c>
      <c r="W85" s="359"/>
      <c r="X85" s="359"/>
      <c r="Y85" s="359"/>
      <c r="AA85" s="198" t="s">
        <v>388</v>
      </c>
      <c r="AB85" s="373">
        <v>0.52690000000000003</v>
      </c>
      <c r="AC85" s="374">
        <v>2.87E-2</v>
      </c>
      <c r="AD85" s="375">
        <f>AC85*AE$6</f>
        <v>20.693704500000003</v>
      </c>
      <c r="AE85" s="433">
        <f t="shared" ref="AE85:AH85" si="36">AE14</f>
        <v>29.417229999999996</v>
      </c>
      <c r="AF85" s="434">
        <f t="shared" si="36"/>
        <v>-20.052156942275598</v>
      </c>
      <c r="AG85" s="434">
        <f t="shared" si="36"/>
        <v>23.413663827771369</v>
      </c>
      <c r="AH85" s="434">
        <f t="shared" si="36"/>
        <v>106.0787448940203</v>
      </c>
      <c r="AI85" s="433">
        <f>((W120-W121)^2 + (X120-X121)^2 + (Y120-Y121)^2)^0.5</f>
        <v>0</v>
      </c>
      <c r="AJ85" s="434">
        <f t="shared" ref="AJ85:AK85" si="37">AJ14</f>
        <v>26.33404225416426</v>
      </c>
      <c r="AK85" s="434">
        <f t="shared" si="37"/>
        <v>33.970049704415231</v>
      </c>
      <c r="AL85" s="434">
        <f t="shared" si="35"/>
        <v>0</v>
      </c>
      <c r="AO85" s="274" t="s">
        <v>333</v>
      </c>
      <c r="AP85" s="329">
        <f>AP77</f>
        <v>23.122607882925283</v>
      </c>
      <c r="AQ85" s="329"/>
      <c r="AR85" s="329">
        <f>AS77</f>
        <v>121.43933831159701</v>
      </c>
      <c r="AS85" s="329"/>
      <c r="AU85" s="274" t="s">
        <v>333</v>
      </c>
      <c r="AV85" s="320">
        <f>AV77</f>
        <v>17.04</v>
      </c>
      <c r="AX85" s="320">
        <f>AY77</f>
        <v>121.43933831159701</v>
      </c>
      <c r="BB85" s="274" t="s">
        <v>333</v>
      </c>
      <c r="BC85" s="320">
        <f>BC77</f>
        <v>17.04</v>
      </c>
      <c r="BE85" s="320">
        <f>BF77</f>
        <v>23.122607882925283</v>
      </c>
    </row>
    <row r="86" spans="3:58" ht="14" customHeight="1">
      <c r="C86" s="274"/>
      <c r="D86" s="274"/>
      <c r="E86" s="274"/>
      <c r="F86" s="274"/>
      <c r="G86" s="274"/>
      <c r="H86" s="274"/>
      <c r="I86" s="274"/>
      <c r="J86" s="274"/>
      <c r="K86" s="274"/>
      <c r="L86" s="274"/>
      <c r="M86" s="274"/>
      <c r="N86" s="274"/>
      <c r="O86" s="274"/>
      <c r="P86" s="274"/>
      <c r="Q86" s="310"/>
      <c r="V86" s="356" t="s">
        <v>287</v>
      </c>
      <c r="W86" s="360"/>
      <c r="X86" s="360"/>
      <c r="Y86" s="360"/>
      <c r="AA86" s="424" t="s">
        <v>389</v>
      </c>
      <c r="AB86" s="373">
        <v>1</v>
      </c>
      <c r="AC86" s="374">
        <v>7.9000000000000001E-2</v>
      </c>
      <c r="AD86" s="425">
        <f>AC86*AE$6</f>
        <v>56.961765000000007</v>
      </c>
      <c r="AE86" s="433">
        <f t="shared" ref="AE86:AH86" si="38">AE15</f>
        <v>16.018504923993351</v>
      </c>
      <c r="AF86" s="434">
        <f t="shared" si="38"/>
        <v>0</v>
      </c>
      <c r="AG86" s="434">
        <f t="shared" si="38"/>
        <v>33.534286468808276</v>
      </c>
      <c r="AH86" s="434">
        <f t="shared" si="38"/>
        <v>139.51669843480818</v>
      </c>
      <c r="AI86" s="435"/>
      <c r="AJ86" s="436"/>
      <c r="AK86" s="436"/>
      <c r="AL86" s="436"/>
      <c r="AO86" s="274" t="s">
        <v>68</v>
      </c>
      <c r="AP86" s="329">
        <f>AP51</f>
        <v>0</v>
      </c>
      <c r="AQ86" s="329"/>
      <c r="AR86" s="329">
        <f>AQ51</f>
        <v>93.56</v>
      </c>
      <c r="AS86" s="329"/>
      <c r="AU86" s="274" t="s">
        <v>68</v>
      </c>
      <c r="AV86" s="320">
        <f>AV51</f>
        <v>0</v>
      </c>
      <c r="AX86" s="320">
        <f>AW51</f>
        <v>93.56</v>
      </c>
      <c r="BB86" s="274" t="s">
        <v>68</v>
      </c>
      <c r="BC86" s="320">
        <f>BC51</f>
        <v>0</v>
      </c>
      <c r="BE86" s="320">
        <f>BD51</f>
        <v>0</v>
      </c>
    </row>
    <row r="87" spans="3:58" ht="14" customHeight="1">
      <c r="C87" s="274"/>
      <c r="D87" s="274"/>
      <c r="E87" s="274"/>
      <c r="F87" s="274"/>
      <c r="G87" s="274"/>
      <c r="H87" s="274"/>
      <c r="I87" s="274"/>
      <c r="J87" s="274"/>
      <c r="K87" s="274"/>
      <c r="L87" s="274"/>
      <c r="M87" s="274"/>
      <c r="N87" s="274"/>
      <c r="O87" s="274"/>
      <c r="P87" s="274"/>
      <c r="Q87" s="310"/>
      <c r="V87" s="356" t="s">
        <v>289</v>
      </c>
      <c r="W87" s="360"/>
      <c r="X87" s="360"/>
      <c r="Y87" s="360"/>
      <c r="AA87" s="424" t="s">
        <v>352</v>
      </c>
      <c r="AB87" s="373">
        <v>0.71599999999999997</v>
      </c>
      <c r="AC87" s="374">
        <v>0.33850000000000002</v>
      </c>
      <c r="AD87" s="425">
        <f>AC87*AE$6</f>
        <v>244.07034750000005</v>
      </c>
      <c r="AE87" s="433">
        <f t="shared" ref="AE87:AH87" si="39">AE16</f>
        <v>40.900000000000006</v>
      </c>
      <c r="AF87" s="434">
        <f t="shared" si="39"/>
        <v>0</v>
      </c>
      <c r="AG87" s="434">
        <f t="shared" si="39"/>
        <v>15.78809291406799</v>
      </c>
      <c r="AH87" s="434">
        <f t="shared" si="39"/>
        <v>116.10773342548551</v>
      </c>
      <c r="AI87" s="436"/>
      <c r="AJ87" s="436"/>
      <c r="AK87" s="436"/>
      <c r="AL87" s="436"/>
      <c r="AO87" s="274" t="s">
        <v>369</v>
      </c>
      <c r="AP87" s="329">
        <f>AP78</f>
        <v>23.122607882925283</v>
      </c>
      <c r="AQ87" s="329"/>
      <c r="AR87" s="329"/>
      <c r="AS87" s="329">
        <f>AS78</f>
        <v>121.43933831159701</v>
      </c>
      <c r="AU87" s="274" t="s">
        <v>369</v>
      </c>
      <c r="AV87" s="320">
        <f>AV78</f>
        <v>-17.04</v>
      </c>
      <c r="AY87" s="320">
        <f>AY78</f>
        <v>121.43933831159701</v>
      </c>
      <c r="BB87" s="274" t="s">
        <v>369</v>
      </c>
      <c r="BC87" s="320">
        <f>BC78</f>
        <v>-17.04</v>
      </c>
      <c r="BF87" s="320">
        <f>BF78</f>
        <v>23.122607882925283</v>
      </c>
    </row>
    <row r="88" spans="3:58" ht="14" customHeight="1">
      <c r="C88" s="274"/>
      <c r="D88" s="274"/>
      <c r="E88" s="274"/>
      <c r="F88" s="274"/>
      <c r="G88" s="274"/>
      <c r="H88" s="274"/>
      <c r="I88" s="274"/>
      <c r="J88" s="274"/>
      <c r="K88" s="274"/>
      <c r="L88" s="274"/>
      <c r="M88" s="274"/>
      <c r="N88" s="274"/>
      <c r="O88" s="274"/>
      <c r="P88" s="274"/>
      <c r="Q88" s="310"/>
      <c r="V88" s="272" t="s">
        <v>68</v>
      </c>
      <c r="W88" s="359"/>
      <c r="X88" s="359"/>
      <c r="Y88" s="359"/>
      <c r="AD88" s="558" t="s">
        <v>399</v>
      </c>
      <c r="AE88" s="558"/>
      <c r="AF88" s="407">
        <f>D98</f>
        <v>0</v>
      </c>
      <c r="AG88" s="407">
        <f>E98</f>
        <v>0</v>
      </c>
      <c r="AH88" s="408">
        <v>-1</v>
      </c>
      <c r="AJ88" s="407">
        <f>H98</f>
        <v>0</v>
      </c>
      <c r="AK88" s="407">
        <f>I98</f>
        <v>0</v>
      </c>
      <c r="AL88" s="408">
        <v>-1</v>
      </c>
      <c r="AO88" s="274" t="s">
        <v>68</v>
      </c>
      <c r="AP88" s="329">
        <f>AP51</f>
        <v>0</v>
      </c>
      <c r="AQ88" s="329"/>
      <c r="AR88" s="329"/>
      <c r="AS88" s="329">
        <f>AQ51</f>
        <v>93.56</v>
      </c>
      <c r="AU88" s="274" t="s">
        <v>68</v>
      </c>
      <c r="AV88" s="320">
        <f>AV51</f>
        <v>0</v>
      </c>
      <c r="AY88" s="320">
        <f>AW51</f>
        <v>93.56</v>
      </c>
      <c r="BB88" s="274" t="s">
        <v>68</v>
      </c>
      <c r="BC88" s="320">
        <f>BC51</f>
        <v>0</v>
      </c>
      <c r="BF88" s="320">
        <f>BD51</f>
        <v>0</v>
      </c>
    </row>
    <row r="89" spans="3:58" ht="14" customHeight="1">
      <c r="C89" s="274"/>
      <c r="D89" s="274"/>
      <c r="E89" s="274"/>
      <c r="F89" s="274"/>
      <c r="G89" s="274"/>
      <c r="H89" s="274"/>
      <c r="I89" s="274"/>
      <c r="J89" s="274"/>
      <c r="K89" s="274"/>
      <c r="L89" s="274"/>
      <c r="M89" s="274"/>
      <c r="N89" s="274"/>
      <c r="O89" s="274"/>
      <c r="P89" s="274"/>
      <c r="Q89" s="310"/>
      <c r="V89" s="272" t="s">
        <v>306</v>
      </c>
      <c r="W89" s="352">
        <v>0</v>
      </c>
      <c r="X89" s="352">
        <v>1.1099999999999999</v>
      </c>
      <c r="Y89" s="352">
        <v>56.879999999999995</v>
      </c>
      <c r="AB89" s="376" t="s">
        <v>316</v>
      </c>
      <c r="AD89" s="558" t="s">
        <v>407</v>
      </c>
      <c r="AE89" s="558"/>
      <c r="AF89" s="398">
        <f>AF18</f>
        <v>22.360679774997898</v>
      </c>
      <c r="AG89" s="398">
        <f t="shared" ref="AG89:AH89" si="40">AG18</f>
        <v>0</v>
      </c>
      <c r="AH89" s="398">
        <f t="shared" si="40"/>
        <v>-44.721359549995796</v>
      </c>
      <c r="AJ89" s="398">
        <f>AJ18</f>
        <v>-13.608276348795433</v>
      </c>
      <c r="AK89" s="398">
        <f t="shared" ref="AK89:AL89" si="41">AK18</f>
        <v>-34.020690871988585</v>
      </c>
      <c r="AL89" s="398">
        <f t="shared" si="41"/>
        <v>34.020690871988585</v>
      </c>
      <c r="AU89" s="274" t="s">
        <v>335</v>
      </c>
      <c r="AV89" s="320">
        <f>AV58</f>
        <v>9.07</v>
      </c>
      <c r="AX89" s="320">
        <f>AX58</f>
        <v>84.59</v>
      </c>
      <c r="AY89" s="320"/>
    </row>
    <row r="90" spans="3:58" ht="14" customHeight="1">
      <c r="C90" s="274"/>
      <c r="D90" s="274"/>
      <c r="E90" s="274"/>
      <c r="F90" s="274"/>
      <c r="G90" s="274"/>
      <c r="H90" s="274"/>
      <c r="I90" s="274"/>
      <c r="J90" s="274"/>
      <c r="K90" s="274"/>
      <c r="L90" s="274"/>
      <c r="M90" s="274"/>
      <c r="N90" s="274"/>
      <c r="O90" s="274"/>
      <c r="P90" s="274"/>
      <c r="Q90" s="310"/>
      <c r="AA90" s="198" t="s">
        <v>9</v>
      </c>
      <c r="AB90" s="442">
        <v>0.05</v>
      </c>
      <c r="AC90" s="321"/>
      <c r="AD90" s="321"/>
      <c r="AE90" s="391"/>
      <c r="AF90" s="392"/>
      <c r="AG90" s="392"/>
      <c r="AH90" s="392"/>
      <c r="AI90" s="391"/>
      <c r="AJ90" s="392"/>
      <c r="AK90" s="392"/>
      <c r="AL90" s="392"/>
      <c r="AO90" s="274" t="s">
        <v>382</v>
      </c>
      <c r="AP90" s="329"/>
      <c r="AR90" s="329"/>
      <c r="AU90" s="274" t="s">
        <v>68</v>
      </c>
      <c r="AV90" s="320">
        <f>AV88</f>
        <v>0</v>
      </c>
      <c r="AY90" s="320">
        <f>AW51</f>
        <v>93.56</v>
      </c>
    </row>
    <row r="91" spans="3:58" ht="14" customHeight="1">
      <c r="C91" s="274"/>
      <c r="D91" s="274"/>
      <c r="E91" s="274"/>
      <c r="F91" s="274"/>
      <c r="G91" s="274"/>
      <c r="H91" s="274"/>
      <c r="I91" s="274"/>
      <c r="J91" s="274"/>
      <c r="K91" s="274"/>
      <c r="L91" s="274"/>
      <c r="M91" s="274"/>
      <c r="N91" s="274"/>
      <c r="O91" s="274"/>
      <c r="P91" s="274"/>
      <c r="Q91" s="310"/>
      <c r="AA91" s="198" t="s">
        <v>8</v>
      </c>
      <c r="AB91" s="442">
        <v>0.151</v>
      </c>
      <c r="AC91" s="321"/>
      <c r="AD91" s="321"/>
      <c r="AE91" s="391"/>
      <c r="AF91" s="392"/>
      <c r="AG91" s="392"/>
      <c r="AH91" s="392"/>
      <c r="AI91" s="391"/>
      <c r="AJ91" s="392"/>
      <c r="AK91" s="392"/>
      <c r="AL91" s="392"/>
      <c r="AO91" s="274" t="s">
        <v>383</v>
      </c>
      <c r="AU91" s="274" t="s">
        <v>381</v>
      </c>
      <c r="AV91" s="320">
        <f>AV66</f>
        <v>-9.07</v>
      </c>
      <c r="AY91" s="320">
        <f>AY66</f>
        <v>84.59</v>
      </c>
    </row>
    <row r="92" spans="3:58" ht="14" customHeight="1">
      <c r="C92" s="274"/>
      <c r="D92" s="274"/>
      <c r="E92" s="274"/>
      <c r="F92" s="274"/>
      <c r="G92" s="274"/>
      <c r="H92" s="274"/>
      <c r="I92" s="274"/>
      <c r="J92" s="274"/>
      <c r="K92" s="274"/>
      <c r="L92" s="274"/>
      <c r="M92" s="274"/>
      <c r="N92" s="274"/>
      <c r="O92" s="274"/>
      <c r="P92" s="274"/>
      <c r="Q92" s="310"/>
      <c r="V92" s="274" t="s">
        <v>372</v>
      </c>
      <c r="AA92" s="198" t="s">
        <v>388</v>
      </c>
      <c r="AB92" s="442">
        <v>0.18770000000000001</v>
      </c>
      <c r="AC92" s="321"/>
      <c r="AD92" s="321"/>
      <c r="AE92" s="391"/>
      <c r="AF92" s="392"/>
      <c r="AG92" s="392"/>
      <c r="AH92" s="392"/>
      <c r="AI92" s="391"/>
      <c r="AJ92" s="392"/>
      <c r="AK92" s="392"/>
      <c r="AL92" s="392"/>
      <c r="AO92" s="274" t="s">
        <v>384</v>
      </c>
      <c r="AP92" s="329"/>
      <c r="AR92" s="329"/>
    </row>
    <row r="93" spans="3:58" ht="14" customHeight="1">
      <c r="C93" s="274"/>
      <c r="D93" s="274"/>
      <c r="E93" s="274"/>
      <c r="F93" s="274"/>
      <c r="G93" s="274"/>
      <c r="H93" s="274"/>
      <c r="I93" s="274"/>
      <c r="J93" s="274"/>
      <c r="K93" s="274"/>
      <c r="L93" s="274"/>
      <c r="M93" s="274"/>
      <c r="N93" s="274"/>
      <c r="O93" s="274"/>
      <c r="P93" s="274"/>
      <c r="Q93" s="310"/>
      <c r="W93" s="361" t="s">
        <v>53</v>
      </c>
      <c r="X93" s="364" t="s">
        <v>54</v>
      </c>
      <c r="Y93" s="364" t="s">
        <v>55</v>
      </c>
      <c r="AA93" s="198" t="s">
        <v>389</v>
      </c>
      <c r="AB93" s="442">
        <v>0.1003</v>
      </c>
      <c r="AC93" s="321"/>
      <c r="AD93" s="321"/>
      <c r="AE93" s="391"/>
      <c r="AF93" s="392"/>
      <c r="AG93" s="392"/>
      <c r="AH93" s="392"/>
      <c r="AI93" s="391"/>
      <c r="AJ93" s="392"/>
      <c r="AK93" s="392"/>
      <c r="AL93" s="392"/>
    </row>
    <row r="94" spans="3:58" ht="14" customHeight="1">
      <c r="C94" s="274"/>
      <c r="D94" s="274"/>
      <c r="E94" s="274"/>
      <c r="F94" s="274"/>
      <c r="G94" s="274"/>
      <c r="H94" s="274"/>
      <c r="I94" s="274"/>
      <c r="J94" s="274"/>
      <c r="K94" s="274"/>
      <c r="L94" s="274"/>
      <c r="M94" s="274"/>
      <c r="N94" s="274"/>
      <c r="O94" s="274"/>
      <c r="P94" s="274"/>
      <c r="Q94" s="310"/>
      <c r="U94"/>
      <c r="V94" s="368" t="s">
        <v>299</v>
      </c>
      <c r="W94" s="362">
        <f>W67</f>
        <v>0</v>
      </c>
      <c r="X94" s="365">
        <f>X67*COS(-RADIANS(D$8))-Y67*SIN(-RADIANS(D$8))</f>
        <v>41.024199922526059</v>
      </c>
      <c r="Y94" s="365">
        <f>X67*SIN(-RADIANS(D$8)) + Y67*COS(-RADIANS(D$8))</f>
        <v>43.629855841116573</v>
      </c>
      <c r="AA94" s="198" t="s">
        <v>352</v>
      </c>
      <c r="AB94" s="442">
        <v>0.25169999999999998</v>
      </c>
      <c r="AC94" s="321"/>
      <c r="AD94" s="321"/>
      <c r="AE94" s="391"/>
      <c r="AF94" s="392"/>
      <c r="AG94" s="392"/>
      <c r="AH94" s="392"/>
      <c r="AI94" s="391"/>
      <c r="AJ94" s="392"/>
      <c r="AK94" s="392"/>
      <c r="AL94" s="392"/>
    </row>
    <row r="95" spans="3:58" ht="14" customHeight="1">
      <c r="C95" s="274"/>
      <c r="D95" s="274"/>
      <c r="E95" s="274"/>
      <c r="F95" s="274"/>
      <c r="G95" s="274"/>
      <c r="H95" s="274"/>
      <c r="I95" s="274"/>
      <c r="J95" s="274"/>
      <c r="K95" s="274"/>
      <c r="L95" s="274"/>
      <c r="M95" s="274"/>
      <c r="N95" s="274"/>
      <c r="O95" s="274"/>
      <c r="P95" s="274"/>
      <c r="Q95" s="310"/>
      <c r="V95" s="272" t="s">
        <v>283</v>
      </c>
      <c r="W95" s="362">
        <f t="shared" ref="W95:W96" si="42">W68</f>
        <v>0</v>
      </c>
      <c r="X95" s="365">
        <f>X68*COS(-RADIANS(D$8))-Y68*SIN(-RADIANS(D$8))</f>
        <v>23.459276246757785</v>
      </c>
      <c r="Y95" s="365">
        <f>X68*SIN(-RADIANS(D$8)) + Y68*COS(-RADIANS(D$8))</f>
        <v>33.503318611419772</v>
      </c>
      <c r="AO95" s="449" t="s">
        <v>382</v>
      </c>
      <c r="AP95" s="450">
        <f>AP65</f>
        <v>23.122607882925283</v>
      </c>
      <c r="AQ95" s="449"/>
      <c r="AR95" s="450">
        <f>AR65</f>
        <v>0</v>
      </c>
    </row>
    <row r="96" spans="3:58" ht="14" customHeight="1">
      <c r="C96" s="274"/>
      <c r="D96" s="274"/>
      <c r="E96" s="274"/>
      <c r="F96" s="274"/>
      <c r="G96" s="274"/>
      <c r="H96" s="274"/>
      <c r="I96" s="274"/>
      <c r="J96" s="274"/>
      <c r="K96" s="274"/>
      <c r="L96" s="274"/>
      <c r="M96" s="274"/>
      <c r="N96" s="274"/>
      <c r="O96" s="274"/>
      <c r="P96" s="274"/>
      <c r="Q96" s="310"/>
      <c r="V96" s="272" t="s">
        <v>285</v>
      </c>
      <c r="W96" s="362">
        <f t="shared" si="42"/>
        <v>17.04</v>
      </c>
      <c r="X96" s="365">
        <f>X69*COS(-RADIANS(D$8))-Y69*SIN(-RADIANS(D$8))</f>
        <v>23.122607882925283</v>
      </c>
      <c r="Y96" s="365">
        <f>X69*SIN(-RADIANS(D$8)) + Y69*COS(-RADIANS(D$8))</f>
        <v>27.879338311597014</v>
      </c>
      <c r="AF96" s="377" t="s">
        <v>53</v>
      </c>
      <c r="AG96" s="377" t="s">
        <v>54</v>
      </c>
      <c r="AH96" s="377" t="s">
        <v>55</v>
      </c>
      <c r="AJ96" s="397" t="s">
        <v>53</v>
      </c>
      <c r="AK96" s="397" t="s">
        <v>54</v>
      </c>
      <c r="AL96" s="397" t="s">
        <v>55</v>
      </c>
      <c r="AO96" s="449" t="s">
        <v>383</v>
      </c>
      <c r="AP96" s="449">
        <v>-5</v>
      </c>
      <c r="AQ96" s="449"/>
      <c r="AR96" s="449">
        <v>1</v>
      </c>
    </row>
    <row r="97" spans="3:56" ht="14" customHeight="1">
      <c r="C97" s="274"/>
      <c r="D97" s="274"/>
      <c r="E97" s="274"/>
      <c r="F97" s="274"/>
      <c r="G97" s="274"/>
      <c r="H97" s="274"/>
      <c r="I97" s="274"/>
      <c r="J97" s="274"/>
      <c r="K97" s="274"/>
      <c r="L97" s="274"/>
      <c r="M97" s="274"/>
      <c r="N97" s="274"/>
      <c r="O97" s="274"/>
      <c r="P97" s="274"/>
      <c r="Q97" s="310"/>
      <c r="V97" s="354" t="s">
        <v>290</v>
      </c>
      <c r="W97" s="363"/>
      <c r="X97" s="366"/>
      <c r="Y97" s="366"/>
      <c r="AC97" s="559" t="s">
        <v>418</v>
      </c>
      <c r="AD97" s="198" t="s">
        <v>9</v>
      </c>
      <c r="AF97" s="437">
        <f>AF26</f>
        <v>-0.31482277829769501</v>
      </c>
      <c r="AG97" s="437">
        <f t="shared" ref="AG97:AH97" si="43">AG26</f>
        <v>0.41961020932851922</v>
      </c>
      <c r="AH97" s="437">
        <f t="shared" si="43"/>
        <v>-0.20858492800732131</v>
      </c>
      <c r="AI97" s="321"/>
      <c r="AJ97" s="437">
        <f>AJ26</f>
        <v>0.36888536484659873</v>
      </c>
      <c r="AK97" s="437">
        <f t="shared" ref="AK97:AL97" si="44">AK26</f>
        <v>0.61951190741382678</v>
      </c>
      <c r="AL97" s="437">
        <f t="shared" si="44"/>
        <v>0.36563274133223622</v>
      </c>
      <c r="AO97" s="449" t="s">
        <v>384</v>
      </c>
      <c r="AP97" s="450">
        <f>AP66</f>
        <v>0</v>
      </c>
      <c r="AQ97" s="449"/>
      <c r="AR97" s="450">
        <v>0</v>
      </c>
    </row>
    <row r="98" spans="3:56" ht="14" customHeight="1">
      <c r="C98" s="274"/>
      <c r="D98" s="274"/>
      <c r="E98" s="274"/>
      <c r="F98" s="274"/>
      <c r="G98" s="274"/>
      <c r="H98" s="274"/>
      <c r="I98" s="274"/>
      <c r="J98" s="274"/>
      <c r="K98" s="274"/>
      <c r="L98" s="274"/>
      <c r="M98" s="274"/>
      <c r="N98" s="274"/>
      <c r="O98" s="274"/>
      <c r="P98" s="274"/>
      <c r="Q98" s="310"/>
      <c r="V98" s="354" t="s">
        <v>286</v>
      </c>
      <c r="W98" s="363"/>
      <c r="X98" s="366"/>
      <c r="Y98" s="366"/>
      <c r="AC98" s="559"/>
      <c r="AD98" s="198" t="s">
        <v>8</v>
      </c>
      <c r="AF98" s="437">
        <f t="shared" ref="AF98:AH101" si="45">AF27</f>
        <v>-0.25711439893556615</v>
      </c>
      <c r="AG98" s="437">
        <f t="shared" si="45"/>
        <v>0.29941900310620378</v>
      </c>
      <c r="AH98" s="437">
        <f t="shared" si="45"/>
        <v>-7.7986352450099328E-2</v>
      </c>
      <c r="AI98" s="321"/>
      <c r="AJ98" s="437">
        <f t="shared" ref="AJ98:AL98" si="46">AJ27</f>
        <v>0.35321319961931907</v>
      </c>
      <c r="AK98" s="437">
        <f t="shared" si="46"/>
        <v>0.49830355600921478</v>
      </c>
      <c r="AL98" s="437">
        <f t="shared" si="46"/>
        <v>0.22945753632094723</v>
      </c>
    </row>
    <row r="99" spans="3:56" ht="14" customHeight="1">
      <c r="C99" s="274"/>
      <c r="D99" s="274"/>
      <c r="E99" s="274"/>
      <c r="F99" s="274"/>
      <c r="G99" s="274"/>
      <c r="H99" s="274"/>
      <c r="I99" s="274"/>
      <c r="J99" s="274"/>
      <c r="K99" s="274"/>
      <c r="L99" s="274"/>
      <c r="M99" s="274"/>
      <c r="N99" s="274"/>
      <c r="O99" s="274"/>
      <c r="P99" s="274"/>
      <c r="Q99" s="310"/>
      <c r="V99" s="272" t="s">
        <v>288</v>
      </c>
      <c r="W99" s="362">
        <f t="shared" ref="W99" si="47">W72</f>
        <v>-17.04</v>
      </c>
      <c r="X99" s="365">
        <f>X72*COS(-RADIANS(D$8))-Y72*SIN(-RADIANS(D$8))</f>
        <v>23.122607882925283</v>
      </c>
      <c r="Y99" s="365">
        <f>X72*SIN(-RADIANS(D$8)) + Y72*COS(-RADIANS(D$8))</f>
        <v>27.879338311597014</v>
      </c>
      <c r="AC99" s="559"/>
      <c r="AD99" s="198" t="s">
        <v>388</v>
      </c>
      <c r="AF99" s="437">
        <f t="shared" si="45"/>
        <v>-0.20052156942275598</v>
      </c>
      <c r="AG99" s="437">
        <f t="shared" si="45"/>
        <v>0.23413663827771369</v>
      </c>
      <c r="AH99" s="437">
        <f t="shared" si="45"/>
        <v>0.12518744894020295</v>
      </c>
      <c r="AI99" s="321"/>
      <c r="AJ99" s="437">
        <f t="shared" ref="AJ99:AL99" si="48">AJ28</f>
        <v>0.26334042254164258</v>
      </c>
      <c r="AK99" s="437">
        <f t="shared" si="48"/>
        <v>0.33970049704415234</v>
      </c>
      <c r="AL99" s="437">
        <f t="shared" si="48"/>
        <v>0.21471576014567706</v>
      </c>
      <c r="AS99" s="274" t="s">
        <v>308</v>
      </c>
      <c r="AT99" s="329">
        <f>AVERAGE(W48,W51)</f>
        <v>0</v>
      </c>
      <c r="AU99" s="329">
        <f>AVERAGE(X48,X51)</f>
        <v>0</v>
      </c>
      <c r="AV99" s="329">
        <f>AVERAGE(Y48,Y51)</f>
        <v>84.59</v>
      </c>
      <c r="AW99" s="329"/>
      <c r="AX99" s="329"/>
      <c r="AY99" s="329"/>
    </row>
    <row r="100" spans="3:56" ht="14" customHeight="1">
      <c r="C100" s="274"/>
      <c r="D100" s="274"/>
      <c r="E100" s="274"/>
      <c r="F100" s="274"/>
      <c r="G100" s="274"/>
      <c r="H100" s="274"/>
      <c r="I100" s="274"/>
      <c r="J100" s="274"/>
      <c r="K100" s="274"/>
      <c r="L100" s="274"/>
      <c r="M100" s="274"/>
      <c r="N100" s="274"/>
      <c r="O100" s="274"/>
      <c r="P100" s="274"/>
      <c r="Q100" s="310"/>
      <c r="V100" s="354" t="s">
        <v>291</v>
      </c>
      <c r="W100" s="363"/>
      <c r="X100" s="366"/>
      <c r="Y100" s="366"/>
      <c r="AC100" s="559"/>
      <c r="AD100" s="424" t="s">
        <v>389</v>
      </c>
      <c r="AE100" s="277"/>
      <c r="AF100" s="437">
        <f t="shared" si="45"/>
        <v>0</v>
      </c>
      <c r="AG100" s="437">
        <f t="shared" si="45"/>
        <v>0.33534286468808278</v>
      </c>
      <c r="AH100" s="437">
        <f t="shared" si="45"/>
        <v>0.45956698434808185</v>
      </c>
      <c r="AI100" s="321"/>
      <c r="AJ100" s="438"/>
      <c r="AK100" s="438"/>
      <c r="AL100" s="438"/>
      <c r="AS100" s="274" t="s">
        <v>309</v>
      </c>
      <c r="AT100" s="329">
        <f>AVERAGE(W56,W57)</f>
        <v>0</v>
      </c>
      <c r="AU100" s="329">
        <f>AVERAGE(X56,X57)</f>
        <v>33.534286468808276</v>
      </c>
      <c r="AV100" s="329">
        <f>AVERAGE(Y56,Y57)</f>
        <v>139.51669843480818</v>
      </c>
      <c r="AW100" s="329"/>
      <c r="AX100" s="329"/>
      <c r="AY100" s="329"/>
    </row>
    <row r="101" spans="3:56" ht="14" customHeight="1">
      <c r="C101" s="274"/>
      <c r="D101" s="274"/>
      <c r="E101" s="274"/>
      <c r="F101" s="274"/>
      <c r="G101" s="274"/>
      <c r="H101" s="274"/>
      <c r="I101" s="274"/>
      <c r="J101" s="274"/>
      <c r="K101" s="274"/>
      <c r="L101" s="274"/>
      <c r="M101" s="274"/>
      <c r="N101" s="274"/>
      <c r="O101" s="274"/>
      <c r="P101" s="274"/>
      <c r="Q101" s="310"/>
      <c r="V101" s="354" t="s">
        <v>292</v>
      </c>
      <c r="W101" s="363"/>
      <c r="X101" s="366"/>
      <c r="Y101" s="366"/>
      <c r="AC101" s="559"/>
      <c r="AD101" s="424" t="s">
        <v>352</v>
      </c>
      <c r="AE101" s="277"/>
      <c r="AF101" s="437">
        <f t="shared" si="45"/>
        <v>0</v>
      </c>
      <c r="AG101" s="437">
        <f t="shared" si="45"/>
        <v>0.15788092914067989</v>
      </c>
      <c r="AH101" s="437">
        <f t="shared" si="45"/>
        <v>0.22547733425485506</v>
      </c>
      <c r="AI101" s="321"/>
      <c r="AJ101" s="438"/>
      <c r="AK101" s="438"/>
      <c r="AL101" s="438"/>
      <c r="AS101" s="274" t="s">
        <v>311</v>
      </c>
      <c r="AT101" s="329">
        <f>AT99-W41</f>
        <v>0</v>
      </c>
      <c r="AU101" s="329">
        <f>AU99-X41</f>
        <v>-23.459276246757785</v>
      </c>
      <c r="AV101" s="329">
        <f>AV99-Y41</f>
        <v>-42.473318611419771</v>
      </c>
      <c r="AW101" s="329">
        <f>(AT101^2+AU101^2+AV101^2)^0.5</f>
        <v>48.521340005083033</v>
      </c>
      <c r="AX101" s="329">
        <f t="shared" ref="AX101:AZ102" si="49">AT101/$AW101</f>
        <v>0</v>
      </c>
      <c r="AY101" s="329">
        <f t="shared" si="49"/>
        <v>-0.48348368458703367</v>
      </c>
      <c r="AZ101" s="274">
        <f t="shared" si="49"/>
        <v>-0.87535337249487177</v>
      </c>
      <c r="BA101" s="274">
        <f>(AX101^2+AY101^2+AZ101^2)^0.5</f>
        <v>1</v>
      </c>
    </row>
    <row r="102" spans="3:56" ht="14" customHeight="1">
      <c r="C102" s="274"/>
      <c r="D102" s="274"/>
      <c r="E102" s="274"/>
      <c r="F102" s="274"/>
      <c r="G102" s="274"/>
      <c r="H102" s="274"/>
      <c r="I102" s="274"/>
      <c r="J102" s="274"/>
      <c r="K102" s="274"/>
      <c r="L102" s="274"/>
      <c r="M102" s="274"/>
      <c r="N102" s="274"/>
      <c r="O102" s="274"/>
      <c r="P102" s="274"/>
      <c r="Q102" s="310"/>
      <c r="V102" s="272" t="s">
        <v>293</v>
      </c>
      <c r="W102" s="363"/>
      <c r="X102" s="366"/>
      <c r="Y102" s="366"/>
      <c r="AS102" s="274" t="s">
        <v>310</v>
      </c>
      <c r="AT102" s="329">
        <f>W43-W42</f>
        <v>17.463439034506315</v>
      </c>
      <c r="AU102" s="329">
        <f>X43-X42</f>
        <v>20.382265729969841</v>
      </c>
      <c r="AV102" s="329">
        <f>Y43-Y42</f>
        <v>-12.040139603587576</v>
      </c>
      <c r="AW102" s="329">
        <f>(AT102^2+AU102^2+AV102^2)^0.5</f>
        <v>29.41723</v>
      </c>
      <c r="AX102" s="329">
        <f t="shared" si="49"/>
        <v>0.5936466157590744</v>
      </c>
      <c r="AY102" s="329">
        <f t="shared" si="49"/>
        <v>0.69286828603406381</v>
      </c>
      <c r="AZ102" s="274">
        <f t="shared" si="49"/>
        <v>-0.40928869249713778</v>
      </c>
      <c r="BA102" s="274">
        <f>(AX102^2+AY102^2+AZ102^2)^0.5</f>
        <v>1</v>
      </c>
      <c r="BC102" s="329">
        <f>57.3*ACOS(AX101*AX102+AY101*AY102+AZ101*AZ102)</f>
        <v>88.672466111299016</v>
      </c>
      <c r="BD102" s="329">
        <f>180-BC102</f>
        <v>91.327533888700984</v>
      </c>
    </row>
    <row r="103" spans="3:56" ht="14" customHeight="1">
      <c r="C103" s="274"/>
      <c r="D103" s="274"/>
      <c r="E103" s="274"/>
      <c r="F103" s="274"/>
      <c r="G103" s="274"/>
      <c r="H103" s="274"/>
      <c r="I103" s="274"/>
      <c r="J103" s="274"/>
      <c r="K103" s="274"/>
      <c r="L103" s="274"/>
      <c r="M103" s="274"/>
      <c r="N103" s="274"/>
      <c r="O103" s="274"/>
      <c r="P103" s="274"/>
      <c r="Q103" s="310"/>
      <c r="V103" s="272" t="s">
        <v>294</v>
      </c>
      <c r="W103" s="363"/>
      <c r="X103" s="366"/>
      <c r="Y103" s="366"/>
      <c r="AC103" s="381" t="s">
        <v>416</v>
      </c>
      <c r="AD103" s="401" t="s">
        <v>68</v>
      </c>
      <c r="AF103" s="439">
        <f>AF32</f>
        <v>0</v>
      </c>
      <c r="AG103" s="439">
        <f t="shared" ref="AG103:AH103" si="50">AG32</f>
        <v>0</v>
      </c>
      <c r="AH103" s="439">
        <f t="shared" si="50"/>
        <v>0.93559999999999999</v>
      </c>
      <c r="AT103" s="329"/>
      <c r="AU103" s="329"/>
      <c r="AV103" s="329"/>
      <c r="AW103" s="329"/>
      <c r="AX103" s="329"/>
      <c r="AY103" s="329"/>
      <c r="BC103" s="329"/>
      <c r="BD103" s="329"/>
    </row>
    <row r="104" spans="3:56" ht="14" customHeight="1">
      <c r="C104" s="274"/>
      <c r="D104" s="274"/>
      <c r="E104" s="274"/>
      <c r="F104" s="274"/>
      <c r="G104" s="274"/>
      <c r="H104" s="274"/>
      <c r="I104" s="274"/>
      <c r="J104" s="274"/>
      <c r="K104" s="274"/>
      <c r="L104" s="274"/>
      <c r="M104" s="274"/>
      <c r="N104" s="274"/>
      <c r="O104" s="274"/>
      <c r="P104" s="274"/>
      <c r="Q104" s="310"/>
      <c r="V104" s="272" t="s">
        <v>295</v>
      </c>
      <c r="W104" s="363"/>
      <c r="X104" s="366"/>
      <c r="Y104" s="366"/>
      <c r="AS104" s="274" t="s">
        <v>312</v>
      </c>
      <c r="AT104" s="329">
        <f>W61-W41</f>
        <v>0</v>
      </c>
      <c r="AU104" s="329">
        <f>X61-X41</f>
        <v>-23.459276246757785</v>
      </c>
      <c r="AV104" s="329">
        <f>Y61-Y41</f>
        <v>-33.503318611419772</v>
      </c>
      <c r="AW104" s="329">
        <f>(AT104^2+AU104^2+AV104^2)^0.5</f>
        <v>40.900000000000006</v>
      </c>
      <c r="AX104" s="329">
        <f t="shared" ref="AX104:AZ105" si="51">AT104/$AW104</f>
        <v>0</v>
      </c>
      <c r="AY104" s="329">
        <f t="shared" si="51"/>
        <v>-0.57357643635104605</v>
      </c>
      <c r="AZ104" s="274">
        <f t="shared" si="51"/>
        <v>-0.81915204428899191</v>
      </c>
      <c r="BA104" s="274">
        <f>(AX104^2+AY104^2+AZ104^2)^0.5</f>
        <v>1</v>
      </c>
      <c r="BC104" s="329"/>
      <c r="BD104" s="329"/>
    </row>
    <row r="105" spans="3:56" ht="14" customHeight="1">
      <c r="C105" s="274"/>
      <c r="D105" s="274"/>
      <c r="E105" s="274"/>
      <c r="F105" s="274"/>
      <c r="G105" s="274"/>
      <c r="H105" s="274"/>
      <c r="I105" s="274"/>
      <c r="J105" s="274"/>
      <c r="K105" s="274"/>
      <c r="L105" s="274"/>
      <c r="M105" s="274"/>
      <c r="N105" s="274"/>
      <c r="O105" s="274"/>
      <c r="P105" s="274"/>
      <c r="Q105" s="310"/>
      <c r="V105" s="272" t="s">
        <v>296</v>
      </c>
      <c r="W105" s="363"/>
      <c r="X105" s="366"/>
      <c r="Y105" s="366"/>
      <c r="AF105" s="560" t="s">
        <v>398</v>
      </c>
      <c r="AG105" s="560"/>
      <c r="AH105" s="560"/>
      <c r="AI105" s="560"/>
      <c r="AJ105" s="560"/>
      <c r="AK105" s="560"/>
      <c r="AL105" s="560"/>
      <c r="AS105" s="274" t="s">
        <v>310</v>
      </c>
      <c r="AT105" s="329">
        <f>AT102</f>
        <v>17.463439034506315</v>
      </c>
      <c r="AU105" s="329">
        <f t="shared" ref="AU105:AV105" si="52">AU102</f>
        <v>20.382265729969841</v>
      </c>
      <c r="AV105" s="329">
        <f t="shared" si="52"/>
        <v>-12.040139603587576</v>
      </c>
      <c r="AW105" s="329">
        <f>(AT105^2+AU105^2+AV105^2)^0.5</f>
        <v>29.41723</v>
      </c>
      <c r="AX105" s="329">
        <f t="shared" si="51"/>
        <v>0.5936466157590744</v>
      </c>
      <c r="AY105" s="329">
        <f t="shared" si="51"/>
        <v>0.69286828603406381</v>
      </c>
      <c r="AZ105" s="274">
        <f t="shared" si="51"/>
        <v>-0.40928869249713778</v>
      </c>
      <c r="BA105" s="274">
        <f>(AX105^2+AY105^2+AZ105^2)^0.5</f>
        <v>1</v>
      </c>
      <c r="BC105" s="329">
        <f>57.3*ACOS(AX104*AX105+AY104*AY105+AZ104*AZ105)</f>
        <v>93.569733771142253</v>
      </c>
      <c r="BD105" s="329">
        <f>180-BC105</f>
        <v>86.430266228857747</v>
      </c>
    </row>
    <row r="106" spans="3:56" ht="14" customHeight="1">
      <c r="C106" s="274"/>
      <c r="D106" s="274"/>
      <c r="E106" s="274"/>
      <c r="F106" s="274"/>
      <c r="G106" s="274"/>
      <c r="H106" s="274"/>
      <c r="I106" s="274"/>
      <c r="J106" s="274"/>
      <c r="K106" s="274"/>
      <c r="L106" s="274"/>
      <c r="M106" s="274"/>
      <c r="N106" s="274"/>
      <c r="O106" s="274"/>
      <c r="P106" s="274"/>
      <c r="Q106" s="310"/>
      <c r="V106" s="272" t="s">
        <v>297</v>
      </c>
      <c r="W106" s="363"/>
      <c r="X106" s="366"/>
      <c r="Y106" s="366"/>
      <c r="AF106" s="561" t="s">
        <v>72</v>
      </c>
      <c r="AG106" s="561"/>
      <c r="AH106" s="561"/>
      <c r="AJ106" s="561" t="s">
        <v>71</v>
      </c>
      <c r="AK106" s="561"/>
      <c r="AL106" s="561"/>
      <c r="AT106" s="329"/>
      <c r="AU106" s="329"/>
      <c r="AV106" s="329"/>
      <c r="AW106" s="329"/>
      <c r="AX106" s="329"/>
      <c r="AY106" s="329"/>
      <c r="BC106" s="329"/>
      <c r="BD106" s="329"/>
    </row>
    <row r="107" spans="3:56" ht="14" customHeight="1">
      <c r="C107" s="274"/>
      <c r="D107" s="274"/>
      <c r="E107" s="274"/>
      <c r="F107" s="274"/>
      <c r="G107" s="274"/>
      <c r="H107" s="274"/>
      <c r="I107" s="274"/>
      <c r="J107" s="274"/>
      <c r="K107" s="274"/>
      <c r="L107" s="274"/>
      <c r="M107" s="274"/>
      <c r="N107" s="274"/>
      <c r="O107" s="274"/>
      <c r="P107" s="274"/>
      <c r="Q107" s="310"/>
      <c r="V107" s="272" t="s">
        <v>298</v>
      </c>
      <c r="W107" s="363"/>
      <c r="X107" s="366"/>
      <c r="Y107" s="366"/>
      <c r="AF107" s="273" t="s">
        <v>395</v>
      </c>
      <c r="AG107" s="273" t="s">
        <v>396</v>
      </c>
      <c r="AH107" s="273" t="s">
        <v>397</v>
      </c>
      <c r="AJ107" s="273" t="str">
        <f>AF107</f>
        <v>Ext +</v>
      </c>
      <c r="AK107" s="273" t="str">
        <f t="shared" ref="AK107" si="53">AG107</f>
        <v>RtLat +</v>
      </c>
      <c r="AL107" s="273" t="str">
        <f t="shared" ref="AL107" si="54">AH107</f>
        <v>LtTwst +</v>
      </c>
      <c r="AS107" s="274" t="s">
        <v>312</v>
      </c>
      <c r="AT107" s="329">
        <f>AT104</f>
        <v>0</v>
      </c>
      <c r="AU107" s="329">
        <f t="shared" ref="AU107:AV107" si="55">AU104</f>
        <v>-23.459276246757785</v>
      </c>
      <c r="AV107" s="329">
        <f t="shared" si="55"/>
        <v>-33.503318611419772</v>
      </c>
      <c r="AW107" s="329">
        <f>(AT107^2+AU107^2+AV107^2)^0.5</f>
        <v>40.900000000000006</v>
      </c>
      <c r="AX107" s="329">
        <f t="shared" ref="AX107:AZ108" si="56">AT107/$AW107</f>
        <v>0</v>
      </c>
      <c r="AY107" s="329">
        <f t="shared" si="56"/>
        <v>-0.57357643635104605</v>
      </c>
      <c r="AZ107" s="274">
        <f t="shared" si="56"/>
        <v>-0.81915204428899191</v>
      </c>
      <c r="BA107" s="274">
        <f>(AX107^2+AY107^2+AZ107^2)^0.5</f>
        <v>1</v>
      </c>
      <c r="BC107" s="329"/>
      <c r="BD107" s="329"/>
    </row>
    <row r="108" spans="3:56" ht="14" customHeight="1">
      <c r="C108" s="274"/>
      <c r="D108" s="274"/>
      <c r="E108" s="274"/>
      <c r="F108" s="274"/>
      <c r="G108" s="274"/>
      <c r="H108" s="274"/>
      <c r="I108" s="274"/>
      <c r="J108" s="274"/>
      <c r="K108" s="274"/>
      <c r="L108" s="274"/>
      <c r="M108" s="274"/>
      <c r="N108" s="274"/>
      <c r="O108" s="274"/>
      <c r="P108" s="274"/>
      <c r="Q108" s="310"/>
      <c r="V108" s="55" t="s">
        <v>300</v>
      </c>
      <c r="W108" s="359"/>
      <c r="X108" s="359"/>
      <c r="Y108" s="359"/>
      <c r="AC108" s="559" t="s">
        <v>417</v>
      </c>
      <c r="AD108" s="198" t="s">
        <v>9</v>
      </c>
      <c r="AF108" s="405">
        <f>AG97*-$AD83</f>
        <v>-1.875832613155771</v>
      </c>
      <c r="AG108" s="405">
        <f>0 - (-AF97*$AD83)</f>
        <v>-1.4073891000892469</v>
      </c>
      <c r="AH108" s="405">
        <v>0</v>
      </c>
      <c r="AI108" s="406"/>
      <c r="AJ108" s="405">
        <f>AK97*-$AD83</f>
        <v>-2.7694765626051976</v>
      </c>
      <c r="AK108" s="405">
        <f>0 - (-AJ97*$AD83)</f>
        <v>1.6490714060614375</v>
      </c>
      <c r="AL108" s="405">
        <v>0</v>
      </c>
      <c r="AS108" s="274" t="s">
        <v>313</v>
      </c>
      <c r="AT108" s="329">
        <v>0</v>
      </c>
      <c r="AU108" s="329">
        <v>0</v>
      </c>
      <c r="AV108" s="329">
        <v>1</v>
      </c>
      <c r="AW108" s="329">
        <f>(AT108^2+AU108^2+AV108^2)^0.5</f>
        <v>1</v>
      </c>
      <c r="AX108" s="329">
        <f t="shared" si="56"/>
        <v>0</v>
      </c>
      <c r="AY108" s="329">
        <f t="shared" si="56"/>
        <v>0</v>
      </c>
      <c r="AZ108" s="274">
        <f t="shared" si="56"/>
        <v>1</v>
      </c>
      <c r="BA108" s="274">
        <f>(AX108^2+AY108^2+AZ108^2)^0.5</f>
        <v>1</v>
      </c>
      <c r="BC108" s="329">
        <f>57.3*ACOS(AX107*AX108+AY107*AY108+AZ107*AZ108)</f>
        <v>145.01068090194889</v>
      </c>
      <c r="BD108" s="329">
        <f>180-BC108</f>
        <v>34.989319098051112</v>
      </c>
    </row>
    <row r="109" spans="3:56" ht="14" customHeight="1">
      <c r="C109" s="274"/>
      <c r="D109" s="274"/>
      <c r="E109" s="274"/>
      <c r="F109" s="274"/>
      <c r="G109" s="274"/>
      <c r="H109" s="274"/>
      <c r="I109" s="274"/>
      <c r="J109" s="274"/>
      <c r="K109" s="274"/>
      <c r="L109" s="274"/>
      <c r="M109" s="274"/>
      <c r="N109" s="274"/>
      <c r="O109" s="274"/>
      <c r="P109" s="274"/>
      <c r="Q109" s="310"/>
      <c r="V109" s="55" t="s">
        <v>301</v>
      </c>
      <c r="W109" s="359"/>
      <c r="X109" s="359"/>
      <c r="Y109" s="359"/>
      <c r="AC109" s="559"/>
      <c r="AD109" s="198" t="s">
        <v>8</v>
      </c>
      <c r="AF109" s="405">
        <f>AG98*-$AD84</f>
        <v>-3.7349243496509925</v>
      </c>
      <c r="AG109" s="405">
        <f t="shared" ref="AG109:AG112" si="57">0 - (-AF98*AD84)</f>
        <v>-3.207220715011553</v>
      </c>
      <c r="AH109" s="405">
        <v>0</v>
      </c>
      <c r="AI109" s="406"/>
      <c r="AJ109" s="405">
        <f>AK98*-$AD84</f>
        <v>-6.2157914679729025</v>
      </c>
      <c r="AK109" s="405">
        <f>0 - (-AJ98*$AD84)</f>
        <v>4.4059480734040219</v>
      </c>
      <c r="AL109" s="405">
        <v>0</v>
      </c>
      <c r="AT109" s="329"/>
      <c r="AU109" s="329"/>
      <c r="AV109" s="329"/>
      <c r="AW109" s="329"/>
      <c r="AX109" s="329"/>
      <c r="AY109" s="329"/>
      <c r="BC109" s="329"/>
      <c r="BD109" s="329"/>
    </row>
    <row r="110" spans="3:56" ht="14" customHeight="1">
      <c r="C110" s="274"/>
      <c r="D110" s="274"/>
      <c r="E110" s="274"/>
      <c r="F110" s="274"/>
      <c r="G110" s="274"/>
      <c r="H110" s="274"/>
      <c r="I110" s="274"/>
      <c r="J110" s="274"/>
      <c r="K110" s="274"/>
      <c r="L110" s="274"/>
      <c r="M110" s="274"/>
      <c r="N110" s="274"/>
      <c r="O110" s="274"/>
      <c r="P110" s="274"/>
      <c r="Q110" s="310"/>
      <c r="V110" s="272" t="s">
        <v>302</v>
      </c>
      <c r="W110" s="362">
        <f t="shared" ref="W110:W111" si="58">W83</f>
        <v>10</v>
      </c>
      <c r="X110" s="365">
        <f>X83*COS(-RADIANS(D$8))-Y83*SIN(-RADIANS(D$8))</f>
        <v>33.534286468808276</v>
      </c>
      <c r="Y110" s="365">
        <f>X83*SIN(-RADIANS(D$8)) + Y83*COS(-RADIANS(D$8))</f>
        <v>45.956698434808189</v>
      </c>
      <c r="AC110" s="559"/>
      <c r="AD110" s="198" t="s">
        <v>388</v>
      </c>
      <c r="AF110" s="405">
        <f>AG99*-$AD85</f>
        <v>-4.8451544051423969</v>
      </c>
      <c r="AG110" s="405">
        <f t="shared" si="57"/>
        <v>-4.1495341035107485</v>
      </c>
      <c r="AH110" s="405">
        <v>0</v>
      </c>
      <c r="AI110" s="406"/>
      <c r="AJ110" s="405">
        <f>AK99*-$AD85</f>
        <v>-7.0296617043348126</v>
      </c>
      <c r="AK110" s="405">
        <f>0 - (-AJ99*$AD85)</f>
        <v>5.4494888869818912</v>
      </c>
      <c r="AL110" s="405">
        <v>0</v>
      </c>
      <c r="AS110" s="274" t="s">
        <v>311</v>
      </c>
      <c r="AT110" s="329">
        <f>AT101</f>
        <v>0</v>
      </c>
      <c r="AU110" s="329">
        <f t="shared" ref="AU110:AV110" si="59">AU101</f>
        <v>-23.459276246757785</v>
      </c>
      <c r="AV110" s="329">
        <f t="shared" si="59"/>
        <v>-42.473318611419771</v>
      </c>
      <c r="AW110" s="329">
        <f>(AT110^2+AU110^2+AV110^2)^0.5</f>
        <v>48.521340005083033</v>
      </c>
      <c r="AX110" s="329">
        <f t="shared" ref="AX110:AZ111" si="60">AT110/$AW110</f>
        <v>0</v>
      </c>
      <c r="AY110" s="329">
        <f t="shared" si="60"/>
        <v>-0.48348368458703367</v>
      </c>
      <c r="AZ110" s="274">
        <f t="shared" si="60"/>
        <v>-0.87535337249487177</v>
      </c>
      <c r="BA110" s="274">
        <f>(AX110^2+AY110^2+AZ110^2)^0.5</f>
        <v>1</v>
      </c>
      <c r="BC110" s="329"/>
      <c r="BD110" s="329"/>
    </row>
    <row r="111" spans="3:56" ht="14" customHeight="1">
      <c r="C111" s="274"/>
      <c r="D111" s="274"/>
      <c r="E111" s="274"/>
      <c r="F111" s="274"/>
      <c r="G111" s="274"/>
      <c r="H111" s="274"/>
      <c r="I111" s="274"/>
      <c r="J111" s="274"/>
      <c r="K111" s="274"/>
      <c r="L111" s="274"/>
      <c r="M111" s="274"/>
      <c r="N111" s="274"/>
      <c r="O111" s="274"/>
      <c r="P111" s="274"/>
      <c r="Q111" s="310"/>
      <c r="V111" s="272" t="s">
        <v>303</v>
      </c>
      <c r="W111" s="362">
        <f t="shared" si="58"/>
        <v>-10</v>
      </c>
      <c r="X111" s="365">
        <f>X84*COS(-RADIANS(D$8))-Y84*SIN(-RADIANS(D$8))</f>
        <v>33.534286468808276</v>
      </c>
      <c r="Y111" s="365">
        <f>X84*SIN(-RADIANS(D$8)) + Y84*COS(-RADIANS(D$8))</f>
        <v>45.956698434808189</v>
      </c>
      <c r="AC111" s="559"/>
      <c r="AD111" s="198" t="s">
        <v>389</v>
      </c>
      <c r="AF111" s="405">
        <f>AG100*-$AD86</f>
        <v>-19.10172145278937</v>
      </c>
      <c r="AG111" s="405">
        <f t="shared" si="57"/>
        <v>0</v>
      </c>
      <c r="AH111" s="405">
        <v>0</v>
      </c>
      <c r="AI111" s="406"/>
      <c r="AJ111" s="423"/>
      <c r="AK111" s="423"/>
      <c r="AL111" s="423"/>
      <c r="AS111" s="274" t="s">
        <v>313</v>
      </c>
      <c r="AT111" s="329">
        <v>0</v>
      </c>
      <c r="AU111" s="329">
        <v>0</v>
      </c>
      <c r="AV111" s="329">
        <v>1</v>
      </c>
      <c r="AW111" s="329">
        <f>(AT111^2+AU111^2+AV111^2)^0.5</f>
        <v>1</v>
      </c>
      <c r="AX111" s="329">
        <f t="shared" si="60"/>
        <v>0</v>
      </c>
      <c r="AY111" s="329">
        <f t="shared" si="60"/>
        <v>0</v>
      </c>
      <c r="AZ111" s="274">
        <f t="shared" si="60"/>
        <v>1</v>
      </c>
      <c r="BA111" s="274">
        <f>(AX111^2+AY111^2+AZ111^2)^0.5</f>
        <v>1</v>
      </c>
      <c r="BC111" s="329">
        <f>57.3*ACOS(AX110*AX111+AY110*AY111+AZ110*AZ111)</f>
        <v>151.09795403316514</v>
      </c>
      <c r="BD111" s="329">
        <f>180-BC111</f>
        <v>28.902045966834862</v>
      </c>
    </row>
    <row r="112" spans="3:56" ht="14" customHeight="1">
      <c r="C112" s="274"/>
      <c r="D112" s="274"/>
      <c r="E112" s="274"/>
      <c r="F112" s="274"/>
      <c r="G112" s="274"/>
      <c r="H112" s="274"/>
      <c r="I112" s="274"/>
      <c r="J112" s="274"/>
      <c r="K112" s="274"/>
      <c r="L112" s="274"/>
      <c r="M112" s="274"/>
      <c r="N112" s="274"/>
      <c r="O112" s="274"/>
      <c r="P112" s="274"/>
      <c r="Q112" s="310"/>
      <c r="V112" s="272" t="s">
        <v>304</v>
      </c>
      <c r="W112" s="363"/>
      <c r="X112" s="366"/>
      <c r="Y112" s="366"/>
      <c r="AC112" s="559"/>
      <c r="AD112" s="198" t="s">
        <v>352</v>
      </c>
      <c r="AF112" s="405">
        <f>AG101*-$AD87</f>
        <v>-38.534053238988626</v>
      </c>
      <c r="AG112" s="405">
        <f t="shared" si="57"/>
        <v>0</v>
      </c>
      <c r="AH112" s="405">
        <v>0</v>
      </c>
      <c r="AI112" s="406"/>
      <c r="AJ112" s="423"/>
      <c r="AK112" s="423"/>
      <c r="AL112" s="423"/>
      <c r="AT112" s="329"/>
      <c r="AU112" s="329"/>
      <c r="AV112" s="329"/>
      <c r="AW112" s="329"/>
      <c r="AX112" s="329"/>
      <c r="AY112" s="329"/>
    </row>
    <row r="113" spans="3:51" ht="14" customHeight="1">
      <c r="C113" s="274"/>
      <c r="D113" s="274"/>
      <c r="E113" s="274"/>
      <c r="F113" s="274"/>
      <c r="G113" s="274"/>
      <c r="H113" s="274"/>
      <c r="I113" s="274"/>
      <c r="J113" s="274"/>
      <c r="K113" s="274"/>
      <c r="L113" s="274"/>
      <c r="M113" s="274"/>
      <c r="N113" s="274"/>
      <c r="O113" s="274"/>
      <c r="P113" s="274"/>
      <c r="Q113" s="310"/>
      <c r="V113" s="356" t="s">
        <v>287</v>
      </c>
      <c r="W113" s="363"/>
      <c r="X113" s="366"/>
      <c r="Y113" s="366"/>
      <c r="AD113" s="404" t="s">
        <v>394</v>
      </c>
      <c r="AF113" s="410">
        <f>AG97*AH89-AH97*AG89</f>
        <v>-18.765539042229708</v>
      </c>
      <c r="AG113" s="410">
        <f>AH97*AF89 -AF97*AH89</f>
        <v>-18.743403443842531</v>
      </c>
      <c r="AH113" s="410">
        <f>AF97*AG89-AG97*AF89</f>
        <v>-9.3827695211148541</v>
      </c>
      <c r="AI113" s="406"/>
      <c r="AJ113" s="410">
        <f>AK97*AL89-AL97*AK89</f>
        <v>33.515301559183584</v>
      </c>
      <c r="AK113" s="410">
        <f>AL97*AJ89 -AJ97*AL89</f>
        <v>-17.525366350863568</v>
      </c>
      <c r="AL113" s="410">
        <f>AJ97*AK89-AK97*AJ89</f>
        <v>-4.1192457271901333</v>
      </c>
      <c r="AS113" s="274" t="s">
        <v>315</v>
      </c>
      <c r="AT113" s="329"/>
      <c r="AU113" s="329"/>
      <c r="AV113" s="329"/>
      <c r="AW113" s="329"/>
      <c r="AX113" s="329"/>
      <c r="AY113" s="329"/>
    </row>
    <row r="114" spans="3:51" ht="14" customHeight="1">
      <c r="C114" s="274"/>
      <c r="D114" s="274"/>
      <c r="E114" s="274"/>
      <c r="F114" s="274"/>
      <c r="G114" s="274"/>
      <c r="H114" s="274"/>
      <c r="I114" s="274"/>
      <c r="J114" s="274"/>
      <c r="K114" s="274"/>
      <c r="L114" s="274"/>
      <c r="M114" s="274"/>
      <c r="N114" s="274"/>
      <c r="O114" s="274"/>
      <c r="P114" s="274"/>
      <c r="Q114" s="310"/>
      <c r="V114" s="356" t="s">
        <v>289</v>
      </c>
      <c r="W114" s="363"/>
      <c r="X114" s="366"/>
      <c r="Y114" s="366"/>
      <c r="AS114" s="274" t="s">
        <v>285</v>
      </c>
      <c r="AT114" s="329">
        <f t="shared" ref="AT114:AV119" si="61">W42-W$41</f>
        <v>17.04</v>
      </c>
      <c r="AU114" s="329">
        <f t="shared" si="61"/>
        <v>-0.33666836383250143</v>
      </c>
      <c r="AV114" s="329">
        <f t="shared" si="61"/>
        <v>-5.6239802998227617</v>
      </c>
      <c r="AW114" s="329"/>
      <c r="AX114" s="329"/>
      <c r="AY114" s="329"/>
    </row>
    <row r="115" spans="3:51" ht="14" customHeight="1">
      <c r="C115" s="274"/>
      <c r="D115" s="274"/>
      <c r="E115" s="274"/>
      <c r="F115" s="274"/>
      <c r="G115" s="274"/>
      <c r="H115" s="274"/>
      <c r="I115" s="274"/>
      <c r="J115" s="274"/>
      <c r="K115" s="274"/>
      <c r="L115" s="274"/>
      <c r="M115" s="274"/>
      <c r="N115" s="274"/>
      <c r="O115" s="274"/>
      <c r="P115" s="274"/>
      <c r="Q115" s="310"/>
      <c r="V115" s="272" t="s">
        <v>68</v>
      </c>
      <c r="W115" s="363"/>
      <c r="X115" s="366"/>
      <c r="Y115" s="366"/>
      <c r="AD115" s="562" t="s">
        <v>414</v>
      </c>
      <c r="AE115" s="562"/>
      <c r="AF115" s="409">
        <f>SUM(AF108:AF113)+SUM(AJ108:AJ113)</f>
        <v>-69.356853277686184</v>
      </c>
      <c r="AG115" s="409">
        <f t="shared" ref="AG115" si="62">SUM(AG108:AG113)+SUM(AK108:AK113)</f>
        <v>-33.528405346870301</v>
      </c>
      <c r="AH115" s="409">
        <f t="shared" ref="AH115" si="63">SUM(AH108:AH113)+SUM(AL108:AL113)</f>
        <v>-13.502015248304987</v>
      </c>
      <c r="AI115" s="429">
        <f>(AF115^2+AG115^2+AH115^2)^0.5</f>
        <v>78.210175025069404</v>
      </c>
      <c r="AJ115" s="428" t="s">
        <v>43</v>
      </c>
      <c r="AS115" s="274" t="s">
        <v>290</v>
      </c>
      <c r="AT115" s="329">
        <f t="shared" si="61"/>
        <v>34.503439034506314</v>
      </c>
      <c r="AU115" s="329">
        <f t="shared" si="61"/>
        <v>20.04559736613734</v>
      </c>
      <c r="AV115" s="329">
        <f t="shared" si="61"/>
        <v>-17.664119903410338</v>
      </c>
      <c r="AW115" s="329"/>
      <c r="AX115" s="329"/>
      <c r="AY115" s="329"/>
    </row>
    <row r="116" spans="3:51" ht="14" customHeight="1">
      <c r="C116" s="274"/>
      <c r="D116" s="274"/>
      <c r="E116" s="274"/>
      <c r="F116" s="274"/>
      <c r="G116" s="274"/>
      <c r="H116" s="274"/>
      <c r="I116" s="274"/>
      <c r="J116" s="274"/>
      <c r="K116" s="274"/>
      <c r="L116" s="274"/>
      <c r="M116" s="274"/>
      <c r="N116" s="274"/>
      <c r="O116" s="274"/>
      <c r="P116" s="274"/>
      <c r="Q116" s="310"/>
      <c r="V116" s="272" t="s">
        <v>306</v>
      </c>
      <c r="W116" s="362">
        <f t="shared" ref="W116" si="64">W89</f>
        <v>0</v>
      </c>
      <c r="X116" s="365">
        <f>X89*COS(-RADIANS(D$8))-Y89*SIN(-RADIANS(D$8))</f>
        <v>33.534286468808276</v>
      </c>
      <c r="Y116" s="365">
        <f>X89*SIN(-RADIANS(D$8)) + Y89*COS(-RADIANS(D$8))</f>
        <v>45.956698434808189</v>
      </c>
      <c r="AD116" s="563" t="s">
        <v>419</v>
      </c>
      <c r="AE116" s="563"/>
      <c r="AF116" s="56">
        <f>AF115/AI115</f>
        <v>-0.88680089586111543</v>
      </c>
      <c r="AG116" s="56">
        <f>AG115/AI115</f>
        <v>-0.42869620655014701</v>
      </c>
      <c r="AH116" s="56">
        <f>AH115/AI115</f>
        <v>-0.17263757872907287</v>
      </c>
      <c r="AS116" s="274" t="s">
        <v>286</v>
      </c>
      <c r="AT116" s="329">
        <f t="shared" si="61"/>
        <v>36.442924278579326</v>
      </c>
      <c r="AU116" s="329">
        <f t="shared" si="61"/>
        <v>35.045554653370814</v>
      </c>
      <c r="AV116" s="329">
        <f t="shared" si="61"/>
        <v>-0.8119621512517341</v>
      </c>
      <c r="AW116" s="329"/>
      <c r="AX116" s="329"/>
      <c r="AY116" s="329"/>
    </row>
    <row r="117" spans="3:51" ht="14" customHeight="1">
      <c r="C117" s="274"/>
      <c r="D117" s="274"/>
      <c r="E117" s="274"/>
      <c r="F117" s="274"/>
      <c r="G117" s="274"/>
      <c r="H117" s="274"/>
      <c r="I117" s="274"/>
      <c r="J117" s="274"/>
      <c r="K117" s="274"/>
      <c r="L117" s="274"/>
      <c r="M117" s="274"/>
      <c r="N117" s="274"/>
      <c r="O117" s="274"/>
      <c r="P117" s="274"/>
      <c r="Q117" s="310"/>
      <c r="AD117" s="558" t="s">
        <v>432</v>
      </c>
      <c r="AE117" s="558"/>
      <c r="AF117" s="400">
        <f>AF116</f>
        <v>-0.88680089586111543</v>
      </c>
      <c r="AG117" s="400">
        <f>ABS(AG116)</f>
        <v>0.42869620655014701</v>
      </c>
      <c r="AH117" s="400">
        <f>IF(AG116*AH116 &gt;= 0,ABS(AH116),-ABS(AH116))</f>
        <v>0.17263757872907287</v>
      </c>
      <c r="AS117" s="274" t="s">
        <v>288</v>
      </c>
      <c r="AT117" s="329">
        <f t="shared" si="61"/>
        <v>-17.04</v>
      </c>
      <c r="AU117" s="329">
        <f t="shared" si="61"/>
        <v>-0.33666836383250143</v>
      </c>
      <c r="AV117" s="329">
        <f t="shared" si="61"/>
        <v>-5.6239802998227617</v>
      </c>
      <c r="AW117" s="329"/>
      <c r="AX117" s="329"/>
      <c r="AY117" s="329"/>
    </row>
    <row r="118" spans="3:51" ht="14" customHeight="1">
      <c r="C118" s="274"/>
      <c r="D118" s="274"/>
      <c r="E118" s="274"/>
      <c r="F118" s="274"/>
      <c r="G118" s="274"/>
      <c r="H118" s="274"/>
      <c r="I118" s="274"/>
      <c r="J118" s="274"/>
      <c r="K118" s="274"/>
      <c r="L118" s="274"/>
      <c r="M118" s="274"/>
      <c r="N118" s="274"/>
      <c r="O118" s="274"/>
      <c r="P118" s="274"/>
      <c r="Q118" s="310"/>
      <c r="AC118"/>
      <c r="AD118"/>
      <c r="AF118" s="492" t="s">
        <v>475</v>
      </c>
      <c r="AG118" s="493" t="s">
        <v>476</v>
      </c>
      <c r="AH118" s="480"/>
      <c r="AS118" s="274" t="s">
        <v>291</v>
      </c>
      <c r="AT118" s="329">
        <f t="shared" si="61"/>
        <v>-22.69982138721458</v>
      </c>
      <c r="AU118" s="329">
        <f t="shared" si="61"/>
        <v>0.21022367834353517</v>
      </c>
      <c r="AV118" s="329">
        <f t="shared" si="61"/>
        <v>-34.486425654157046</v>
      </c>
      <c r="AW118" s="329"/>
      <c r="AX118" s="329"/>
      <c r="AY118" s="329"/>
    </row>
    <row r="119" spans="3:51" ht="14" customHeight="1">
      <c r="C119" s="274"/>
      <c r="D119" s="274"/>
      <c r="E119" s="274"/>
      <c r="F119" s="274"/>
      <c r="G119" s="274"/>
      <c r="H119" s="274"/>
      <c r="I119" s="274"/>
      <c r="J119" s="274"/>
      <c r="K119" s="274"/>
      <c r="L119" s="274"/>
      <c r="M119" s="274"/>
      <c r="N119" s="274"/>
      <c r="O119" s="274"/>
      <c r="P119" s="274"/>
      <c r="Q119" s="310"/>
      <c r="AC119"/>
      <c r="AD119"/>
      <c r="AF119" s="286" t="s">
        <v>472</v>
      </c>
      <c r="AG119" s="286" t="s">
        <v>469</v>
      </c>
      <c r="AI119" s="274" t="s">
        <v>405</v>
      </c>
      <c r="AS119" s="274" t="s">
        <v>292</v>
      </c>
      <c r="AT119" s="329">
        <f t="shared" si="61"/>
        <v>-29.841435108680159</v>
      </c>
      <c r="AU119" s="329">
        <f t="shared" si="61"/>
        <v>15.084305692853984</v>
      </c>
      <c r="AV119" s="329">
        <f t="shared" si="61"/>
        <v>-50.648456012878071</v>
      </c>
      <c r="AW119" s="329"/>
      <c r="AX119" s="329"/>
      <c r="AY119" s="329"/>
    </row>
    <row r="120" spans="3:51" ht="14" customHeight="1">
      <c r="C120" s="274"/>
      <c r="D120" s="274"/>
      <c r="E120" s="274"/>
      <c r="F120" s="274"/>
      <c r="G120" s="274"/>
      <c r="H120" s="274"/>
      <c r="I120" s="274"/>
      <c r="J120" s="274"/>
      <c r="K120" s="274"/>
      <c r="L120" s="274"/>
      <c r="M120" s="274"/>
      <c r="N120" s="274"/>
      <c r="O120" s="274"/>
      <c r="P120" s="274"/>
      <c r="Q120" s="310"/>
      <c r="AC120"/>
      <c r="AD120"/>
      <c r="AE120" s="381" t="s">
        <v>402</v>
      </c>
      <c r="AF120" s="479">
        <f>AC51 + AC52*AF117 + AC53*AG117 + AC54*AH117 + AC55*AF117^2 + AC56*AF117*AG117 + AC57*AG117^2 + AC58*AF117*AH117 + AC59*AG117*AH117 + AC62*AF117*AG117^2 + AC63*AG117^3 + AC64*AF117*AG117*AH117 + AC65*AG117^2*AH117</f>
        <v>5.1247628044121349E-2</v>
      </c>
      <c r="AG120" s="481">
        <f>AD51 + AD52*AF117 + AD53*AG117 + AD54*AH117 + AD55*AF117^2 + AD56*AF117*AG117 + AD57*AG117^2 + AD58*AF117*AH117 + AD59*AG117*AH117 + AD60*AH117^2 + AD61*AF117^2*AG117 + AD62*AF117*AG117^2 + AD64*AF117*AG117*AH117 + AD65*AG117^2*AH117 + AD66*AF117*AH117^2 + AD67*AG117*AH117^2</f>
        <v>0.42286692890945532</v>
      </c>
      <c r="AH120" s="478">
        <f>IF(AF117&lt;=0,AF120, AG120)</f>
        <v>5.1247628044121349E-2</v>
      </c>
      <c r="AI120" s="274" t="s">
        <v>420</v>
      </c>
    </row>
    <row r="121" spans="3:51" ht="14" customHeight="1">
      <c r="C121" s="274"/>
      <c r="D121" s="274"/>
      <c r="E121" s="274"/>
      <c r="F121" s="274"/>
      <c r="G121" s="274"/>
      <c r="H121" s="274"/>
      <c r="I121" s="274"/>
      <c r="J121" s="274"/>
      <c r="K121" s="274"/>
      <c r="L121" s="274"/>
      <c r="M121" s="274"/>
      <c r="N121" s="274"/>
      <c r="O121" s="274"/>
      <c r="P121" s="274"/>
      <c r="Q121" s="310"/>
      <c r="AC121"/>
      <c r="AD121"/>
      <c r="AH121" s="494" t="str">
        <f>IF(AF115&gt;0,"Flexors","Extensors")</f>
        <v>Extensors</v>
      </c>
      <c r="AI121" s="274" t="s">
        <v>406</v>
      </c>
    </row>
    <row r="122" spans="3:51" ht="14" customHeight="1">
      <c r="C122" s="274"/>
      <c r="D122" s="274"/>
      <c r="E122" s="274"/>
      <c r="F122" s="274"/>
      <c r="G122" s="274"/>
      <c r="H122" s="274"/>
      <c r="I122" s="274"/>
      <c r="J122" s="274"/>
      <c r="K122" s="274"/>
      <c r="L122" s="274"/>
      <c r="M122" s="274"/>
      <c r="N122" s="274"/>
      <c r="O122" s="274"/>
      <c r="P122" s="274"/>
      <c r="Q122" s="310"/>
      <c r="AC122"/>
      <c r="AD122"/>
    </row>
    <row r="123" spans="3:51" ht="14" customHeight="1">
      <c r="C123" s="274"/>
      <c r="D123" s="274"/>
      <c r="E123" s="274"/>
      <c r="F123" s="274"/>
      <c r="G123" s="274"/>
      <c r="H123" s="274"/>
      <c r="I123" s="274"/>
      <c r="J123" s="274"/>
      <c r="K123" s="274"/>
      <c r="L123" s="274"/>
      <c r="M123" s="274"/>
      <c r="N123" s="274"/>
      <c r="O123" s="274"/>
      <c r="P123" s="274"/>
      <c r="Q123" s="310"/>
      <c r="AC123"/>
      <c r="AD123"/>
      <c r="AF123" s="274" t="s">
        <v>403</v>
      </c>
    </row>
    <row r="124" spans="3:51" ht="14" customHeight="1">
      <c r="C124" s="274"/>
      <c r="D124" s="274"/>
      <c r="E124" s="274"/>
      <c r="F124" s="274"/>
      <c r="G124" s="274"/>
      <c r="H124" s="274"/>
      <c r="I124" s="274"/>
      <c r="J124" s="274"/>
      <c r="K124" s="274"/>
      <c r="L124" s="274"/>
      <c r="M124" s="274"/>
      <c r="N124" s="274"/>
      <c r="O124" s="274"/>
      <c r="P124" s="274"/>
      <c r="Q124" s="310"/>
      <c r="AC124"/>
      <c r="AD124"/>
      <c r="AF124" s="413">
        <f>AI115/AF120</f>
        <v>1526.1228277284326</v>
      </c>
    </row>
    <row r="125" spans="3:51" ht="14" customHeight="1">
      <c r="C125" s="274"/>
      <c r="D125" s="274"/>
      <c r="E125" s="274"/>
      <c r="F125" s="274"/>
      <c r="G125" s="274"/>
      <c r="H125" s="274"/>
      <c r="I125" s="274"/>
      <c r="J125" s="274"/>
      <c r="K125" s="274"/>
      <c r="L125" s="274"/>
      <c r="M125" s="274"/>
      <c r="N125" s="274"/>
      <c r="O125" s="274"/>
      <c r="P125" s="274"/>
      <c r="Q125" s="310"/>
      <c r="AC125"/>
      <c r="AD125"/>
    </row>
    <row r="126" spans="3:51" ht="14" customHeight="1">
      <c r="C126" s="274"/>
      <c r="D126" s="274"/>
      <c r="E126" s="274"/>
      <c r="F126" s="274"/>
      <c r="G126" s="274"/>
      <c r="H126" s="274"/>
      <c r="I126" s="274"/>
      <c r="J126" s="274"/>
      <c r="K126" s="274"/>
      <c r="L126" s="274"/>
      <c r="M126" s="274"/>
      <c r="N126" s="274"/>
      <c r="O126" s="274"/>
      <c r="P126" s="274"/>
      <c r="Q126" s="310"/>
      <c r="AC126"/>
      <c r="AD126"/>
      <c r="AF126" s="274" t="s">
        <v>415</v>
      </c>
      <c r="AI126" s="274" t="s">
        <v>415</v>
      </c>
    </row>
    <row r="127" spans="3:51" ht="14" customHeight="1">
      <c r="C127" s="274"/>
      <c r="D127" s="274"/>
      <c r="E127" s="274"/>
      <c r="F127" s="274"/>
      <c r="G127" s="274"/>
      <c r="H127" s="274"/>
      <c r="I127" s="274"/>
      <c r="J127" s="274"/>
      <c r="K127" s="274"/>
      <c r="L127" s="274"/>
      <c r="M127" s="274"/>
      <c r="N127" s="274"/>
      <c r="O127" s="274"/>
      <c r="P127" s="274"/>
      <c r="Q127" s="310"/>
      <c r="AC127"/>
      <c r="AD127"/>
      <c r="AF127" s="440">
        <f>AF55</f>
        <v>36.633593098762084</v>
      </c>
      <c r="AH127" s="321"/>
      <c r="AI127" s="440">
        <f>AI55</f>
        <v>-8.354651843357523</v>
      </c>
    </row>
    <row r="128" spans="3:51" ht="14" customHeight="1">
      <c r="C128" s="274"/>
      <c r="D128" s="274"/>
      <c r="E128" s="274"/>
      <c r="F128" s="274"/>
      <c r="G128" s="274"/>
      <c r="H128" s="274"/>
      <c r="I128" s="274"/>
      <c r="J128" s="274"/>
      <c r="K128" s="274"/>
      <c r="L128" s="274"/>
      <c r="M128" s="274"/>
      <c r="N128" s="274"/>
      <c r="O128" s="274"/>
      <c r="P128" s="274"/>
      <c r="Q128" s="310"/>
      <c r="AC128"/>
      <c r="AD128"/>
    </row>
    <row r="129" spans="3:38" ht="14" customHeight="1">
      <c r="C129" s="274"/>
      <c r="D129" s="274"/>
      <c r="E129" s="274"/>
      <c r="F129" s="274"/>
      <c r="G129" s="274"/>
      <c r="H129" s="274"/>
      <c r="I129" s="274"/>
      <c r="J129" s="274"/>
      <c r="K129" s="274"/>
      <c r="L129" s="274"/>
      <c r="M129" s="274"/>
      <c r="N129" s="274"/>
      <c r="O129" s="274"/>
      <c r="P129" s="274"/>
      <c r="Q129" s="310"/>
      <c r="AC129"/>
      <c r="AD129"/>
      <c r="AF129" s="274" t="s">
        <v>404</v>
      </c>
    </row>
    <row r="130" spans="3:38" ht="14" customHeight="1">
      <c r="C130" s="274"/>
      <c r="D130" s="274"/>
      <c r="E130" s="274"/>
      <c r="F130" s="274"/>
      <c r="G130" s="274"/>
      <c r="H130" s="274"/>
      <c r="I130" s="274"/>
      <c r="J130" s="274"/>
      <c r="K130" s="274"/>
      <c r="L130" s="274"/>
      <c r="M130" s="274"/>
      <c r="N130" s="274"/>
      <c r="O130" s="274"/>
      <c r="P130" s="274"/>
      <c r="Q130" s="310"/>
      <c r="AC130"/>
      <c r="AD130"/>
      <c r="AF130" s="440">
        <f>AF58</f>
        <v>261.47513016620741</v>
      </c>
    </row>
    <row r="131" spans="3:38" ht="14" customHeight="1">
      <c r="C131" s="274"/>
      <c r="D131" s="274"/>
      <c r="E131" s="274"/>
      <c r="F131" s="274"/>
      <c r="G131" s="274"/>
      <c r="H131" s="274"/>
      <c r="I131" s="274"/>
      <c r="J131" s="274"/>
      <c r="K131" s="274"/>
      <c r="L131" s="274"/>
      <c r="M131" s="274"/>
      <c r="N131" s="274"/>
      <c r="O131" s="274"/>
      <c r="P131" s="274"/>
      <c r="Q131" s="310"/>
      <c r="AC131"/>
      <c r="AD131"/>
    </row>
    <row r="132" spans="3:38" ht="14" customHeight="1">
      <c r="C132" s="274"/>
      <c r="D132" s="274"/>
      <c r="E132" s="274"/>
      <c r="F132" s="274"/>
      <c r="G132" s="274"/>
      <c r="H132" s="274"/>
      <c r="I132" s="274"/>
      <c r="J132" s="274"/>
      <c r="K132" s="274"/>
      <c r="L132" s="274"/>
      <c r="M132" s="274"/>
      <c r="N132" s="274"/>
      <c r="O132" s="274"/>
      <c r="P132" s="274"/>
      <c r="Q132" s="310"/>
      <c r="AC132"/>
      <c r="AD132"/>
      <c r="AF132" s="274" t="s">
        <v>426</v>
      </c>
    </row>
    <row r="133" spans="3:38" ht="14" customHeight="1">
      <c r="C133" s="274"/>
      <c r="D133" s="274"/>
      <c r="E133" s="274"/>
      <c r="F133" s="274"/>
      <c r="G133" s="274"/>
      <c r="H133" s="274"/>
      <c r="I133" s="274"/>
      <c r="J133" s="274"/>
      <c r="K133" s="274"/>
      <c r="L133" s="274"/>
      <c r="M133" s="274"/>
      <c r="N133" s="274"/>
      <c r="O133" s="274"/>
      <c r="P133" s="274"/>
      <c r="Q133" s="310"/>
      <c r="AA133" s="320"/>
      <c r="AB133" s="320"/>
      <c r="AC133"/>
      <c r="AD133"/>
      <c r="AF133" s="414">
        <f>AF124+AF130 + AF127 + AI127</f>
        <v>1815.8768991500447</v>
      </c>
      <c r="AL133" s="320"/>
    </row>
    <row r="134" spans="3:38" ht="14" customHeight="1">
      <c r="C134" s="274"/>
      <c r="D134" s="274"/>
      <c r="E134" s="274"/>
      <c r="F134" s="274"/>
      <c r="G134" s="274"/>
      <c r="H134" s="274"/>
      <c r="I134" s="274"/>
      <c r="J134" s="274"/>
      <c r="K134" s="274"/>
      <c r="L134" s="274"/>
      <c r="M134" s="274"/>
      <c r="N134" s="274"/>
      <c r="O134" s="274"/>
      <c r="P134" s="274"/>
      <c r="Q134" s="310"/>
      <c r="AA134" s="320"/>
      <c r="AB134" s="320"/>
      <c r="AC134" s="320"/>
      <c r="AD134" s="320"/>
      <c r="AE134" s="320"/>
      <c r="AF134" s="320"/>
      <c r="AG134" s="320"/>
      <c r="AH134" s="320"/>
      <c r="AI134" s="320"/>
      <c r="AJ134" s="320"/>
      <c r="AK134" s="320"/>
      <c r="AL134" s="320"/>
    </row>
    <row r="135" spans="3:38" ht="14" customHeight="1">
      <c r="C135" s="274"/>
      <c r="D135" s="274"/>
      <c r="E135" s="274"/>
      <c r="F135" s="274"/>
      <c r="G135" s="274"/>
      <c r="H135" s="274"/>
      <c r="I135" s="274"/>
      <c r="J135" s="274"/>
      <c r="K135" s="274"/>
      <c r="L135" s="274"/>
      <c r="M135" s="274"/>
      <c r="N135" s="274"/>
      <c r="O135" s="274"/>
      <c r="P135" s="274"/>
      <c r="Q135" s="310"/>
      <c r="AA135" s="320"/>
      <c r="AB135" s="320"/>
      <c r="AE135" s="320"/>
      <c r="AF135" s="320"/>
      <c r="AG135" s="320"/>
      <c r="AH135" s="320"/>
      <c r="AI135" s="320"/>
      <c r="AJ135" s="320"/>
      <c r="AK135" s="320"/>
      <c r="AL135" s="320"/>
    </row>
    <row r="136" spans="3:38" ht="14" customHeight="1">
      <c r="C136" s="274"/>
      <c r="D136" s="274"/>
      <c r="E136" s="274"/>
      <c r="F136" s="274"/>
      <c r="G136" s="274"/>
      <c r="H136" s="274"/>
      <c r="I136" s="274"/>
      <c r="J136" s="274"/>
      <c r="K136" s="274"/>
      <c r="L136" s="274"/>
      <c r="M136" s="274"/>
      <c r="N136" s="274"/>
      <c r="O136" s="274"/>
      <c r="P136" s="274"/>
      <c r="Q136" s="310"/>
      <c r="AD136" s="320" t="s">
        <v>421</v>
      </c>
      <c r="AE136" s="320"/>
      <c r="AF136" s="433">
        <f>AF64</f>
        <v>0</v>
      </c>
      <c r="AG136" s="433">
        <f>AG64</f>
        <v>-23.459276246757785</v>
      </c>
      <c r="AH136" s="433">
        <f>AH64</f>
        <v>-33.503318611419772</v>
      </c>
      <c r="AI136" s="433">
        <f>AI64</f>
        <v>40.900000000000006</v>
      </c>
      <c r="AJ136" s="320"/>
      <c r="AK136" s="320"/>
    </row>
    <row r="137" spans="3:38" ht="14" customHeight="1">
      <c r="C137" s="274"/>
      <c r="D137" s="274"/>
      <c r="E137" s="274"/>
      <c r="F137" s="274"/>
      <c r="G137" s="274"/>
      <c r="H137" s="274"/>
      <c r="I137" s="274"/>
      <c r="J137" s="274"/>
      <c r="K137" s="274"/>
      <c r="L137" s="274"/>
      <c r="M137" s="274"/>
      <c r="N137" s="274"/>
      <c r="O137" s="274"/>
      <c r="P137" s="274"/>
      <c r="Q137" s="310"/>
      <c r="AF137" s="441">
        <f>AF136/$AI136</f>
        <v>0</v>
      </c>
      <c r="AG137" s="441">
        <f>AG136/$AI136</f>
        <v>-0.57357643635104605</v>
      </c>
      <c r="AH137" s="441">
        <f>AH136/$AI136</f>
        <v>-0.81915204428899191</v>
      </c>
    </row>
    <row r="138" spans="3:38" ht="14" customHeight="1">
      <c r="C138" s="274"/>
      <c r="D138" s="274"/>
      <c r="E138" s="274"/>
      <c r="F138" s="274"/>
      <c r="G138" s="274"/>
      <c r="H138" s="274"/>
      <c r="I138" s="274"/>
      <c r="J138" s="274"/>
      <c r="K138" s="274"/>
      <c r="L138" s="274"/>
      <c r="M138" s="274"/>
      <c r="N138" s="274"/>
      <c r="O138" s="274"/>
      <c r="P138" s="274"/>
      <c r="Q138" s="310"/>
    </row>
    <row r="139" spans="3:38" ht="14" customHeight="1">
      <c r="C139" s="274"/>
      <c r="D139" s="274"/>
      <c r="E139" s="274"/>
      <c r="F139" s="274"/>
      <c r="G139" s="274"/>
      <c r="H139" s="274"/>
      <c r="I139" s="274"/>
      <c r="J139" s="274"/>
      <c r="K139" s="274"/>
      <c r="L139" s="274"/>
      <c r="M139" s="274"/>
      <c r="N139" s="274"/>
      <c r="O139" s="274"/>
      <c r="P139" s="274"/>
      <c r="Q139" s="310"/>
    </row>
    <row r="140" spans="3:38" ht="14" customHeight="1">
      <c r="C140" s="274"/>
      <c r="D140" s="274"/>
      <c r="E140" s="274"/>
      <c r="F140" s="274"/>
      <c r="G140" s="274"/>
      <c r="H140" s="274"/>
      <c r="I140" s="274"/>
      <c r="J140" s="274"/>
      <c r="K140" s="274"/>
      <c r="L140" s="274"/>
      <c r="M140" s="274"/>
      <c r="N140" s="274"/>
      <c r="O140" s="274"/>
      <c r="P140" s="274"/>
      <c r="Q140" s="310"/>
    </row>
    <row r="141" spans="3:38" ht="14" customHeight="1">
      <c r="C141" s="274"/>
      <c r="D141" s="274"/>
      <c r="E141" s="274"/>
      <c r="F141" s="274"/>
      <c r="G141" s="274"/>
      <c r="H141" s="274"/>
      <c r="I141" s="274"/>
      <c r="J141" s="274"/>
      <c r="K141" s="274"/>
      <c r="L141" s="274"/>
      <c r="M141" s="274"/>
      <c r="N141" s="274"/>
      <c r="O141" s="274"/>
      <c r="P141" s="274"/>
      <c r="Q141" s="310"/>
    </row>
    <row r="142" spans="3:38" ht="14" customHeight="1">
      <c r="C142" s="274"/>
      <c r="D142" s="274"/>
      <c r="E142" s="274"/>
      <c r="F142" s="274"/>
      <c r="G142" s="274"/>
      <c r="H142" s="274"/>
      <c r="I142" s="274"/>
      <c r="J142" s="274"/>
      <c r="K142" s="274"/>
      <c r="L142" s="274"/>
      <c r="M142" s="274"/>
      <c r="N142" s="274"/>
      <c r="O142" s="274"/>
      <c r="P142" s="274"/>
      <c r="Q142" s="310"/>
      <c r="AD142" s="274" t="s">
        <v>454</v>
      </c>
    </row>
    <row r="143" spans="3:38" ht="14" customHeight="1">
      <c r="C143" s="274"/>
      <c r="D143" s="274"/>
      <c r="E143" s="274"/>
      <c r="F143" s="274"/>
      <c r="G143" s="274"/>
      <c r="H143" s="274"/>
      <c r="I143" s="274"/>
      <c r="J143" s="274"/>
      <c r="K143" s="274"/>
      <c r="L143" s="274"/>
      <c r="M143" s="274"/>
      <c r="N143" s="274"/>
      <c r="O143" s="274"/>
      <c r="P143" s="274"/>
      <c r="Q143" s="310"/>
      <c r="AD143" s="560" t="s">
        <v>72</v>
      </c>
      <c r="AE143" s="560"/>
      <c r="AF143" s="560" t="s">
        <v>71</v>
      </c>
      <c r="AG143" s="560"/>
    </row>
    <row r="144" spans="3:38" ht="14" customHeight="1">
      <c r="C144" s="274"/>
      <c r="D144" s="274"/>
      <c r="E144" s="274"/>
      <c r="F144" s="274"/>
      <c r="G144" s="274"/>
      <c r="H144" s="274"/>
      <c r="I144" s="274"/>
      <c r="J144" s="274"/>
      <c r="K144" s="274"/>
      <c r="L144" s="274"/>
      <c r="M144" s="274"/>
      <c r="N144" s="274"/>
      <c r="O144" s="274"/>
      <c r="P144" s="274"/>
      <c r="Q144" s="310"/>
      <c r="AC144" s="381" t="s">
        <v>53</v>
      </c>
      <c r="AD144" s="273">
        <f>IF(H12&lt;AH144,1,0)</f>
        <v>0</v>
      </c>
      <c r="AE144" s="273">
        <f>IF(H12&gt;AI144,1,0)</f>
        <v>0</v>
      </c>
      <c r="AF144" s="273">
        <f>IF(I12&lt;AH144,1,0)</f>
        <v>0</v>
      </c>
      <c r="AG144" s="273">
        <f>IF(I12&gt;AI144,1,0)</f>
        <v>0</v>
      </c>
      <c r="AH144" s="468">
        <v>-20</v>
      </c>
      <c r="AI144" s="468">
        <v>50</v>
      </c>
    </row>
    <row r="145" spans="3:35" ht="14" customHeight="1">
      <c r="C145" s="274"/>
      <c r="D145" s="274"/>
      <c r="E145" s="274"/>
      <c r="F145" s="274"/>
      <c r="G145" s="274"/>
      <c r="H145" s="274"/>
      <c r="I145" s="274"/>
      <c r="J145" s="274"/>
      <c r="K145" s="274"/>
      <c r="L145" s="274"/>
      <c r="M145" s="274"/>
      <c r="N145" s="274"/>
      <c r="O145" s="274"/>
      <c r="P145" s="274"/>
      <c r="Q145" s="310"/>
      <c r="AC145" s="381" t="s">
        <v>54</v>
      </c>
      <c r="AD145" s="273">
        <f>IF(H13&lt;AH145,1,0)</f>
        <v>0</v>
      </c>
      <c r="AE145" s="273">
        <f>IF(H13&gt;AI145,1,0)</f>
        <v>0</v>
      </c>
      <c r="AF145" s="273">
        <f>IF(I13&lt;AH145,1,0)</f>
        <v>0</v>
      </c>
      <c r="AG145" s="273">
        <f>IF(I13&gt;AI145,1,0)</f>
        <v>0</v>
      </c>
      <c r="AH145" s="468">
        <v>0</v>
      </c>
      <c r="AI145" s="468">
        <v>52</v>
      </c>
    </row>
    <row r="146" spans="3:35" ht="14" customHeight="1">
      <c r="C146" s="274"/>
      <c r="D146" s="274"/>
      <c r="E146" s="274"/>
      <c r="F146" s="274"/>
      <c r="G146" s="274"/>
      <c r="H146" s="274"/>
      <c r="I146" s="274"/>
      <c r="J146" s="274"/>
      <c r="K146" s="274"/>
      <c r="L146" s="274"/>
      <c r="M146" s="274"/>
      <c r="N146" s="274"/>
      <c r="O146" s="274"/>
      <c r="P146" s="274"/>
      <c r="Q146" s="310"/>
      <c r="AC146" s="381" t="s">
        <v>55</v>
      </c>
      <c r="AD146" s="273">
        <f>IF(H14&lt;AH146,1,0)</f>
        <v>0</v>
      </c>
      <c r="AE146" s="273">
        <f>IF(H14&gt;AI146,1,0)</f>
        <v>0</v>
      </c>
      <c r="AF146" s="273">
        <f>IF(I14&lt;AH146,1,0)</f>
        <v>0</v>
      </c>
      <c r="AG146" s="273">
        <f>IF(I14&gt;AI146,1,0)</f>
        <v>0</v>
      </c>
      <c r="AH146" s="468">
        <v>-42</v>
      </c>
      <c r="AI146" s="468">
        <v>50</v>
      </c>
    </row>
    <row r="147" spans="3:35" ht="14" customHeight="1">
      <c r="C147" s="274"/>
      <c r="D147" s="274"/>
      <c r="E147" s="274"/>
      <c r="F147" s="274"/>
      <c r="G147" s="274"/>
      <c r="H147" s="274"/>
      <c r="I147" s="274"/>
      <c r="J147" s="274"/>
      <c r="K147" s="274"/>
      <c r="L147" s="274"/>
      <c r="M147" s="274"/>
      <c r="N147" s="274"/>
      <c r="O147" s="274"/>
      <c r="P147" s="274"/>
      <c r="Q147" s="310"/>
      <c r="AC147" s="381" t="s">
        <v>317</v>
      </c>
      <c r="AD147" s="273">
        <f>IF(D15&lt;AH147,1,0)</f>
        <v>0</v>
      </c>
      <c r="AE147" s="273">
        <f>IF(D15&gt;AI147,1,0)</f>
        <v>0</v>
      </c>
      <c r="AF147" s="273">
        <f>IF(E15&lt;AH147,1,0)</f>
        <v>0</v>
      </c>
      <c r="AG147" s="273">
        <f>IF(E15&gt;AI147,1,0)</f>
        <v>0</v>
      </c>
      <c r="AH147" s="468">
        <v>20</v>
      </c>
      <c r="AI147" s="468">
        <v>60</v>
      </c>
    </row>
    <row r="148" spans="3:35" ht="14" customHeight="1">
      <c r="C148" s="274"/>
      <c r="D148" s="274"/>
      <c r="E148" s="274"/>
      <c r="F148" s="274"/>
      <c r="G148" s="274"/>
      <c r="H148" s="274"/>
      <c r="I148" s="274"/>
      <c r="J148" s="274"/>
      <c r="K148" s="274"/>
      <c r="L148" s="274"/>
      <c r="M148" s="274"/>
      <c r="N148" s="274"/>
      <c r="O148" s="274"/>
      <c r="P148" s="274"/>
      <c r="Q148" s="310"/>
      <c r="AD148" s="446">
        <f>MAX(AD144:AE147)</f>
        <v>0</v>
      </c>
      <c r="AF148" s="446">
        <f>MAX(AF144:AG147)</f>
        <v>0</v>
      </c>
    </row>
    <row r="149" spans="3:35" ht="14" customHeight="1">
      <c r="C149" s="274"/>
      <c r="D149" s="274"/>
      <c r="E149" s="274"/>
      <c r="F149" s="274"/>
      <c r="G149" s="274"/>
      <c r="H149" s="274"/>
      <c r="I149" s="274"/>
      <c r="J149" s="274"/>
      <c r="K149" s="274"/>
      <c r="L149" s="274"/>
      <c r="M149" s="274"/>
      <c r="N149" s="274"/>
      <c r="O149" s="274"/>
      <c r="P149" s="274"/>
      <c r="Q149" s="310"/>
    </row>
    <row r="150" spans="3:35" ht="14" customHeight="1">
      <c r="C150" s="274"/>
      <c r="D150" s="274"/>
      <c r="E150" s="274"/>
      <c r="F150" s="274"/>
      <c r="G150" s="274"/>
      <c r="H150" s="274"/>
      <c r="I150" s="274"/>
      <c r="J150" s="274"/>
      <c r="K150" s="274"/>
      <c r="L150" s="274"/>
      <c r="M150" s="274"/>
      <c r="N150" s="274"/>
      <c r="O150" s="274"/>
      <c r="P150" s="274"/>
      <c r="Q150" s="310"/>
    </row>
    <row r="151" spans="3:35" ht="14" customHeight="1">
      <c r="C151" s="274"/>
      <c r="D151" s="274"/>
      <c r="E151" s="274"/>
      <c r="F151" s="274"/>
      <c r="G151" s="274"/>
      <c r="H151" s="274"/>
      <c r="I151" s="274"/>
      <c r="J151" s="274"/>
      <c r="K151" s="274"/>
      <c r="L151" s="274"/>
      <c r="M151" s="274"/>
      <c r="N151" s="274"/>
      <c r="O151" s="274"/>
      <c r="P151" s="274"/>
      <c r="Q151" s="310"/>
    </row>
    <row r="152" spans="3:35" ht="14" customHeight="1">
      <c r="C152" s="274"/>
      <c r="D152" s="274"/>
      <c r="E152" s="274"/>
      <c r="F152" s="274"/>
      <c r="G152" s="274"/>
      <c r="H152" s="274"/>
      <c r="I152" s="274"/>
      <c r="J152" s="274"/>
      <c r="K152" s="274"/>
      <c r="L152" s="274"/>
      <c r="M152" s="274"/>
      <c r="N152" s="274"/>
      <c r="O152" s="274"/>
      <c r="P152" s="274"/>
      <c r="Q152" s="310"/>
    </row>
    <row r="153" spans="3:35" ht="14" customHeight="1">
      <c r="C153" s="274"/>
      <c r="D153" s="274"/>
      <c r="E153" s="274"/>
      <c r="F153" s="274"/>
      <c r="G153" s="274"/>
      <c r="H153" s="274"/>
      <c r="I153" s="274"/>
      <c r="J153" s="274"/>
      <c r="K153" s="274"/>
      <c r="L153" s="274"/>
      <c r="M153" s="274"/>
      <c r="N153" s="274"/>
      <c r="O153" s="274"/>
      <c r="P153" s="274"/>
      <c r="Q153" s="310"/>
    </row>
    <row r="154" spans="3:35" ht="14" customHeight="1">
      <c r="C154" s="274"/>
      <c r="D154" s="274"/>
      <c r="E154" s="274"/>
      <c r="F154" s="274"/>
      <c r="G154" s="274"/>
      <c r="H154" s="274"/>
      <c r="I154" s="274"/>
      <c r="J154" s="274"/>
      <c r="K154" s="274"/>
      <c r="L154" s="274"/>
      <c r="M154" s="274"/>
      <c r="N154" s="274"/>
      <c r="O154" s="274"/>
      <c r="P154" s="274"/>
      <c r="Q154" s="310"/>
    </row>
    <row r="155" spans="3:35" ht="14" customHeight="1">
      <c r="C155" s="274"/>
      <c r="D155" s="274"/>
      <c r="E155" s="274"/>
      <c r="F155" s="274"/>
      <c r="G155" s="274"/>
      <c r="H155" s="274"/>
      <c r="I155" s="274"/>
      <c r="J155" s="274"/>
      <c r="K155" s="274"/>
      <c r="L155" s="274"/>
      <c r="M155" s="274"/>
      <c r="N155" s="274"/>
      <c r="O155" s="274"/>
      <c r="P155" s="274"/>
      <c r="Q155" s="310"/>
    </row>
    <row r="156" spans="3:35" ht="14" customHeight="1">
      <c r="C156" s="274"/>
      <c r="D156" s="274"/>
      <c r="E156" s="274"/>
      <c r="F156" s="274"/>
      <c r="G156" s="274"/>
      <c r="H156" s="274"/>
      <c r="I156" s="274"/>
      <c r="J156" s="274"/>
      <c r="K156" s="274"/>
      <c r="L156" s="274"/>
      <c r="M156" s="274"/>
      <c r="N156" s="274"/>
      <c r="O156" s="274"/>
      <c r="P156" s="274"/>
      <c r="Q156" s="310"/>
    </row>
    <row r="157" spans="3:35" ht="14" customHeight="1">
      <c r="C157" s="274"/>
      <c r="D157" s="274"/>
      <c r="E157" s="274"/>
      <c r="F157" s="274"/>
      <c r="G157" s="274"/>
      <c r="H157" s="274"/>
      <c r="I157" s="274"/>
      <c r="J157" s="274"/>
      <c r="K157" s="274"/>
      <c r="L157" s="274"/>
      <c r="M157" s="274"/>
      <c r="N157" s="274"/>
      <c r="O157" s="274"/>
      <c r="P157" s="274"/>
      <c r="Q157" s="310"/>
    </row>
    <row r="158" spans="3:35" ht="14" customHeight="1">
      <c r="C158" s="274"/>
      <c r="D158" s="274"/>
      <c r="E158" s="274"/>
      <c r="F158" s="274"/>
      <c r="G158" s="274"/>
      <c r="H158" s="274"/>
      <c r="I158" s="274"/>
      <c r="J158" s="274"/>
      <c r="K158" s="274"/>
      <c r="L158" s="274"/>
      <c r="M158" s="274"/>
      <c r="N158" s="274"/>
      <c r="O158" s="274"/>
      <c r="P158" s="274"/>
      <c r="Q158" s="310"/>
    </row>
    <row r="159" spans="3:35" ht="14" customHeight="1">
      <c r="C159" s="274"/>
      <c r="D159" s="274"/>
      <c r="E159" s="274"/>
      <c r="F159" s="274"/>
      <c r="G159" s="274"/>
      <c r="H159" s="274"/>
      <c r="I159" s="274"/>
      <c r="J159" s="274"/>
      <c r="K159" s="274"/>
      <c r="L159" s="274"/>
      <c r="M159" s="274"/>
      <c r="N159" s="274"/>
      <c r="O159" s="274"/>
      <c r="P159" s="274"/>
      <c r="Q159" s="310"/>
    </row>
    <row r="160" spans="3:35" ht="14" customHeight="1">
      <c r="C160" s="274"/>
      <c r="D160" s="274"/>
      <c r="E160" s="274"/>
      <c r="F160" s="274"/>
      <c r="G160" s="274"/>
      <c r="H160" s="274"/>
      <c r="I160" s="274"/>
      <c r="J160" s="274"/>
      <c r="K160" s="274"/>
      <c r="L160" s="274"/>
      <c r="M160" s="274"/>
      <c r="N160" s="274"/>
      <c r="O160" s="274"/>
      <c r="P160" s="274"/>
      <c r="Q160" s="310"/>
    </row>
    <row r="161" spans="3:17" ht="14" customHeight="1">
      <c r="C161" s="274"/>
      <c r="D161" s="274"/>
      <c r="E161" s="274"/>
      <c r="F161" s="274"/>
      <c r="G161" s="274"/>
      <c r="H161" s="274"/>
      <c r="I161" s="274"/>
      <c r="J161" s="274"/>
      <c r="K161" s="274"/>
      <c r="L161" s="274"/>
      <c r="M161" s="274"/>
      <c r="N161" s="274"/>
      <c r="O161" s="274"/>
      <c r="P161" s="274"/>
      <c r="Q161" s="310"/>
    </row>
    <row r="162" spans="3:17" ht="14" customHeight="1">
      <c r="C162" s="274"/>
      <c r="D162" s="274"/>
      <c r="E162" s="274"/>
      <c r="F162" s="274"/>
      <c r="G162" s="274"/>
      <c r="H162" s="274"/>
      <c r="I162" s="274"/>
      <c r="J162" s="274"/>
      <c r="K162" s="274"/>
      <c r="L162" s="274"/>
      <c r="M162" s="274"/>
      <c r="N162" s="274"/>
      <c r="O162" s="274"/>
      <c r="P162" s="274"/>
      <c r="Q162" s="310"/>
    </row>
    <row r="163" spans="3:17" ht="14" customHeight="1">
      <c r="C163" s="274"/>
      <c r="D163" s="274"/>
      <c r="E163" s="274"/>
      <c r="F163" s="274"/>
      <c r="G163" s="274"/>
      <c r="H163" s="274"/>
      <c r="I163" s="274"/>
      <c r="J163" s="274"/>
      <c r="K163" s="274"/>
      <c r="L163" s="274"/>
      <c r="M163" s="274"/>
      <c r="N163" s="274"/>
      <c r="O163" s="274"/>
      <c r="P163" s="274"/>
      <c r="Q163" s="310"/>
    </row>
    <row r="164" spans="3:17" ht="14" customHeight="1">
      <c r="C164" s="274"/>
      <c r="D164" s="274"/>
      <c r="E164" s="274"/>
      <c r="F164" s="274"/>
      <c r="G164" s="274"/>
      <c r="H164" s="274"/>
      <c r="I164" s="274"/>
      <c r="J164" s="274"/>
      <c r="K164" s="274"/>
      <c r="L164" s="274"/>
      <c r="M164" s="274"/>
      <c r="N164" s="274"/>
      <c r="O164" s="274"/>
      <c r="P164" s="274"/>
      <c r="Q164" s="310"/>
    </row>
    <row r="165" spans="3:17" ht="14" customHeight="1">
      <c r="C165" s="274"/>
      <c r="D165" s="274"/>
      <c r="E165" s="274"/>
      <c r="F165" s="274"/>
      <c r="G165" s="274"/>
      <c r="H165" s="274"/>
      <c r="I165" s="274"/>
      <c r="J165" s="274"/>
      <c r="K165" s="274"/>
      <c r="L165" s="274"/>
      <c r="M165" s="274"/>
      <c r="N165" s="274"/>
      <c r="O165" s="274"/>
      <c r="P165" s="274"/>
      <c r="Q165" s="310"/>
    </row>
    <row r="166" spans="3:17" ht="14" customHeight="1">
      <c r="C166" s="274"/>
      <c r="D166" s="274"/>
      <c r="E166" s="274"/>
      <c r="F166" s="274"/>
      <c r="G166" s="274"/>
      <c r="H166" s="274"/>
      <c r="I166" s="274"/>
      <c r="J166" s="274"/>
      <c r="K166" s="274"/>
      <c r="L166" s="274"/>
      <c r="M166" s="274"/>
      <c r="N166" s="274"/>
      <c r="O166" s="274"/>
      <c r="P166" s="274"/>
      <c r="Q166" s="310"/>
    </row>
    <row r="167" spans="3:17" ht="14" customHeight="1">
      <c r="C167" s="274"/>
      <c r="D167" s="274"/>
      <c r="E167" s="274"/>
      <c r="F167" s="274"/>
      <c r="G167" s="274"/>
      <c r="H167" s="274"/>
      <c r="I167" s="274"/>
      <c r="J167" s="274"/>
      <c r="K167" s="274"/>
      <c r="L167" s="274"/>
      <c r="M167" s="274"/>
      <c r="N167" s="274"/>
      <c r="O167" s="274"/>
      <c r="P167" s="274"/>
      <c r="Q167" s="310"/>
    </row>
    <row r="168" spans="3:17" ht="14" customHeight="1">
      <c r="C168" s="274"/>
      <c r="D168" s="274"/>
      <c r="E168" s="274"/>
      <c r="F168" s="274"/>
      <c r="G168" s="274"/>
      <c r="H168" s="274"/>
      <c r="I168" s="274"/>
      <c r="J168" s="274"/>
      <c r="K168" s="274"/>
      <c r="L168" s="274"/>
      <c r="M168" s="274"/>
      <c r="N168" s="274"/>
      <c r="O168" s="274"/>
      <c r="P168" s="274"/>
      <c r="Q168" s="310"/>
    </row>
    <row r="169" spans="3:17" ht="14" customHeight="1">
      <c r="C169" s="274"/>
      <c r="D169" s="274"/>
      <c r="E169" s="274"/>
      <c r="F169" s="274"/>
      <c r="G169" s="274"/>
      <c r="H169" s="274"/>
      <c r="I169" s="274"/>
      <c r="J169" s="274"/>
      <c r="K169" s="274"/>
      <c r="L169" s="274"/>
      <c r="M169" s="274"/>
      <c r="N169" s="274"/>
      <c r="O169" s="274"/>
      <c r="P169" s="274"/>
      <c r="Q169" s="310"/>
    </row>
    <row r="170" spans="3:17" ht="14" customHeight="1">
      <c r="C170" s="274"/>
      <c r="D170" s="274"/>
      <c r="E170" s="274"/>
      <c r="F170" s="274"/>
      <c r="G170" s="274"/>
      <c r="H170" s="274"/>
      <c r="I170" s="274"/>
      <c r="J170" s="274"/>
      <c r="K170" s="274"/>
      <c r="L170" s="274"/>
      <c r="M170" s="274"/>
      <c r="N170" s="274"/>
      <c r="O170" s="274"/>
      <c r="P170" s="274"/>
      <c r="Q170" s="310"/>
    </row>
    <row r="171" spans="3:17" ht="14" customHeight="1">
      <c r="C171" s="274"/>
      <c r="D171" s="274"/>
      <c r="E171" s="274"/>
      <c r="F171" s="274"/>
      <c r="G171" s="274"/>
      <c r="H171" s="274"/>
      <c r="I171" s="274"/>
      <c r="J171" s="274"/>
      <c r="K171" s="274"/>
      <c r="L171" s="274"/>
      <c r="M171" s="274"/>
      <c r="N171" s="274"/>
      <c r="O171" s="274"/>
      <c r="P171" s="274"/>
      <c r="Q171" s="310"/>
    </row>
    <row r="172" spans="3:17" ht="14" customHeight="1">
      <c r="C172" s="274"/>
      <c r="D172" s="274"/>
      <c r="E172" s="274"/>
      <c r="F172" s="274"/>
      <c r="G172" s="274"/>
      <c r="H172" s="274"/>
      <c r="I172" s="274"/>
      <c r="J172" s="274"/>
      <c r="K172" s="274"/>
      <c r="L172" s="274"/>
      <c r="M172" s="274"/>
      <c r="N172" s="274"/>
      <c r="O172" s="274"/>
      <c r="P172" s="274"/>
      <c r="Q172" s="310"/>
    </row>
    <row r="173" spans="3:17" ht="14" customHeight="1">
      <c r="C173" s="274"/>
      <c r="D173" s="274"/>
      <c r="E173" s="274"/>
      <c r="F173" s="274"/>
      <c r="G173" s="274"/>
      <c r="H173" s="274"/>
      <c r="I173" s="274"/>
      <c r="J173" s="274"/>
      <c r="K173" s="274"/>
      <c r="L173" s="274"/>
      <c r="M173" s="274"/>
      <c r="N173" s="274"/>
      <c r="O173" s="274"/>
      <c r="P173" s="274"/>
      <c r="Q173" s="310"/>
    </row>
    <row r="174" spans="3:17" ht="14" customHeight="1">
      <c r="C174" s="274"/>
      <c r="D174" s="274"/>
      <c r="E174" s="274"/>
      <c r="F174" s="274"/>
      <c r="G174" s="274"/>
      <c r="H174" s="274"/>
      <c r="I174" s="274"/>
      <c r="J174" s="274"/>
      <c r="K174" s="274"/>
      <c r="L174" s="274"/>
      <c r="M174" s="274"/>
      <c r="N174" s="274"/>
      <c r="O174" s="274"/>
      <c r="P174" s="274"/>
      <c r="Q174" s="310"/>
    </row>
    <row r="175" spans="3:17" ht="14" customHeight="1">
      <c r="C175" s="274"/>
      <c r="D175" s="274"/>
      <c r="E175" s="274"/>
      <c r="F175" s="274"/>
      <c r="G175" s="274"/>
      <c r="H175" s="274"/>
      <c r="I175" s="274"/>
      <c r="J175" s="274"/>
      <c r="K175" s="274"/>
      <c r="L175" s="274"/>
      <c r="M175" s="274"/>
      <c r="N175" s="274"/>
      <c r="O175" s="274"/>
      <c r="P175" s="274"/>
      <c r="Q175" s="310"/>
    </row>
    <row r="176" spans="3:17" ht="14" customHeight="1">
      <c r="C176" s="274"/>
      <c r="D176" s="274"/>
      <c r="E176" s="274"/>
      <c r="F176" s="274"/>
      <c r="G176" s="274"/>
      <c r="H176" s="274"/>
      <c r="I176" s="274"/>
      <c r="J176" s="274"/>
      <c r="K176" s="274"/>
      <c r="L176" s="274"/>
      <c r="M176" s="274"/>
      <c r="N176" s="274"/>
      <c r="O176" s="274"/>
      <c r="P176" s="274"/>
      <c r="Q176" s="310"/>
    </row>
    <row r="177" spans="3:17" ht="14" customHeight="1">
      <c r="C177" s="274"/>
      <c r="D177" s="274"/>
      <c r="E177" s="274"/>
      <c r="F177" s="274"/>
      <c r="G177" s="274"/>
      <c r="H177" s="274"/>
      <c r="I177" s="274"/>
      <c r="J177" s="274"/>
      <c r="K177" s="274"/>
      <c r="L177" s="274"/>
      <c r="M177" s="274"/>
      <c r="N177" s="274"/>
      <c r="O177" s="274"/>
      <c r="P177" s="274"/>
      <c r="Q177" s="310"/>
    </row>
    <row r="178" spans="3:17" ht="14" customHeight="1">
      <c r="C178" s="274"/>
      <c r="D178" s="274"/>
      <c r="E178" s="274"/>
      <c r="F178" s="274"/>
      <c r="G178" s="274"/>
      <c r="H178" s="274"/>
      <c r="I178" s="274"/>
      <c r="J178" s="274"/>
      <c r="K178" s="274"/>
      <c r="L178" s="274"/>
      <c r="M178" s="274"/>
      <c r="N178" s="274"/>
      <c r="O178" s="274"/>
      <c r="P178" s="274"/>
      <c r="Q178" s="310"/>
    </row>
    <row r="179" spans="3:17" ht="14" customHeight="1">
      <c r="C179" s="274"/>
      <c r="D179" s="274"/>
      <c r="E179" s="274"/>
      <c r="F179" s="274"/>
      <c r="G179" s="274"/>
      <c r="H179" s="274"/>
      <c r="I179" s="274"/>
      <c r="J179" s="274"/>
      <c r="K179" s="274"/>
      <c r="L179" s="274"/>
      <c r="M179" s="274"/>
      <c r="N179" s="274"/>
      <c r="O179" s="274"/>
      <c r="P179" s="274"/>
      <c r="Q179" s="310"/>
    </row>
    <row r="180" spans="3:17" ht="14" customHeight="1">
      <c r="C180" s="274"/>
      <c r="D180" s="274"/>
      <c r="E180" s="274"/>
      <c r="F180" s="274"/>
      <c r="G180" s="274"/>
      <c r="H180" s="274"/>
      <c r="I180" s="274"/>
      <c r="J180" s="274"/>
      <c r="K180" s="274"/>
      <c r="L180" s="274"/>
      <c r="M180" s="274"/>
      <c r="N180" s="274"/>
      <c r="O180" s="274"/>
      <c r="P180" s="274"/>
      <c r="Q180" s="310"/>
    </row>
    <row r="181" spans="3:17" ht="14" customHeight="1">
      <c r="C181" s="274"/>
      <c r="D181" s="274"/>
      <c r="E181" s="274"/>
      <c r="F181" s="274"/>
      <c r="G181" s="274"/>
      <c r="H181" s="274"/>
      <c r="I181" s="274"/>
      <c r="J181" s="274"/>
      <c r="K181" s="274"/>
      <c r="L181" s="274"/>
      <c r="M181" s="274"/>
      <c r="N181" s="274"/>
      <c r="O181" s="274"/>
      <c r="P181" s="274"/>
      <c r="Q181" s="310"/>
    </row>
    <row r="182" spans="3:17" ht="14" customHeight="1">
      <c r="C182" s="274"/>
      <c r="D182" s="274"/>
      <c r="E182" s="274"/>
      <c r="F182" s="274"/>
      <c r="G182" s="274"/>
      <c r="H182" s="274"/>
      <c r="I182" s="274"/>
      <c r="J182" s="274"/>
      <c r="K182" s="274"/>
      <c r="L182" s="274"/>
      <c r="M182" s="274"/>
      <c r="N182" s="274"/>
      <c r="O182" s="274"/>
      <c r="P182" s="274"/>
      <c r="Q182" s="310"/>
    </row>
    <row r="183" spans="3:17" ht="14" customHeight="1">
      <c r="C183" s="274"/>
      <c r="D183" s="274"/>
      <c r="E183" s="274"/>
      <c r="F183" s="274"/>
      <c r="G183" s="274"/>
      <c r="H183" s="274"/>
      <c r="I183" s="274"/>
      <c r="J183" s="274"/>
      <c r="K183" s="274"/>
      <c r="L183" s="274"/>
      <c r="M183" s="274"/>
      <c r="N183" s="274"/>
      <c r="O183" s="274"/>
      <c r="P183" s="274"/>
      <c r="Q183" s="310"/>
    </row>
    <row r="184" spans="3:17" ht="14" customHeight="1">
      <c r="C184" s="274"/>
      <c r="D184" s="274"/>
      <c r="E184" s="274"/>
      <c r="F184" s="274"/>
      <c r="G184" s="274"/>
      <c r="H184" s="274"/>
      <c r="I184" s="274"/>
      <c r="J184" s="274"/>
      <c r="K184" s="274"/>
      <c r="L184" s="274"/>
      <c r="M184" s="274"/>
      <c r="N184" s="274"/>
      <c r="O184" s="274"/>
      <c r="P184" s="274"/>
      <c r="Q184" s="310"/>
    </row>
    <row r="185" spans="3:17" ht="14" customHeight="1">
      <c r="C185" s="274"/>
      <c r="D185" s="274"/>
      <c r="E185" s="274"/>
      <c r="F185" s="274"/>
      <c r="G185" s="274"/>
      <c r="H185" s="274"/>
      <c r="I185" s="274"/>
      <c r="J185" s="274"/>
      <c r="K185" s="274"/>
      <c r="L185" s="274"/>
      <c r="M185" s="274"/>
      <c r="N185" s="274"/>
      <c r="O185" s="274"/>
      <c r="P185" s="274"/>
      <c r="Q185" s="310"/>
    </row>
    <row r="186" spans="3:17" ht="14" customHeight="1">
      <c r="C186" s="274"/>
      <c r="D186" s="274"/>
      <c r="E186" s="274"/>
      <c r="F186" s="274"/>
      <c r="G186" s="274"/>
      <c r="H186" s="274"/>
      <c r="I186" s="274"/>
      <c r="J186" s="274"/>
      <c r="K186" s="274"/>
      <c r="L186" s="274"/>
      <c r="M186" s="274"/>
      <c r="N186" s="274"/>
      <c r="O186" s="274"/>
      <c r="P186" s="274"/>
      <c r="Q186" s="310"/>
    </row>
    <row r="187" spans="3:17" ht="14" customHeight="1">
      <c r="C187" s="274"/>
      <c r="D187" s="274"/>
      <c r="E187" s="274"/>
      <c r="F187" s="274"/>
      <c r="G187" s="274"/>
      <c r="H187" s="274"/>
      <c r="I187" s="274"/>
      <c r="J187" s="274"/>
      <c r="K187" s="274"/>
      <c r="L187" s="274"/>
      <c r="M187" s="274"/>
      <c r="N187" s="274"/>
      <c r="O187" s="274"/>
      <c r="P187" s="274"/>
      <c r="Q187" s="310"/>
    </row>
    <row r="188" spans="3:17" ht="14" customHeight="1">
      <c r="C188" s="274"/>
      <c r="D188" s="274"/>
      <c r="E188" s="274"/>
      <c r="F188" s="274"/>
      <c r="G188" s="274"/>
      <c r="H188" s="274"/>
      <c r="I188" s="274"/>
      <c r="J188" s="274"/>
      <c r="K188" s="274"/>
      <c r="L188" s="274"/>
      <c r="M188" s="274"/>
      <c r="N188" s="274"/>
      <c r="O188" s="274"/>
      <c r="P188" s="274"/>
      <c r="Q188" s="310"/>
    </row>
    <row r="189" spans="3:17" ht="14" customHeight="1">
      <c r="C189" s="274"/>
      <c r="D189" s="274"/>
      <c r="E189" s="274"/>
      <c r="F189" s="274"/>
      <c r="G189" s="274"/>
      <c r="H189" s="274"/>
      <c r="I189" s="274"/>
      <c r="J189" s="274"/>
      <c r="K189" s="274"/>
      <c r="L189" s="274"/>
      <c r="M189" s="274"/>
      <c r="N189" s="274"/>
      <c r="O189" s="274"/>
      <c r="P189" s="274"/>
      <c r="Q189" s="310"/>
    </row>
    <row r="190" spans="3:17" ht="14" customHeight="1">
      <c r="C190" s="274"/>
      <c r="D190" s="274"/>
      <c r="E190" s="274"/>
      <c r="F190" s="274"/>
      <c r="G190" s="274"/>
      <c r="H190" s="274"/>
      <c r="I190" s="274"/>
      <c r="J190" s="274"/>
      <c r="K190" s="274"/>
      <c r="L190" s="274"/>
      <c r="M190" s="274"/>
      <c r="N190" s="274"/>
      <c r="O190" s="274"/>
      <c r="P190" s="274"/>
      <c r="Q190" s="310"/>
    </row>
    <row r="191" spans="3:17" ht="14" customHeight="1">
      <c r="C191" s="274"/>
      <c r="D191" s="274"/>
      <c r="E191" s="274"/>
      <c r="F191" s="274"/>
      <c r="G191" s="274"/>
      <c r="H191" s="274"/>
      <c r="I191" s="274"/>
      <c r="J191" s="274"/>
      <c r="K191" s="274"/>
      <c r="L191" s="274"/>
      <c r="M191" s="274"/>
      <c r="N191" s="274"/>
      <c r="O191" s="274"/>
      <c r="P191" s="274"/>
      <c r="Q191" s="310"/>
    </row>
    <row r="192" spans="3:17" ht="14" customHeight="1">
      <c r="C192" s="274"/>
      <c r="D192" s="274"/>
      <c r="E192" s="274"/>
      <c r="F192" s="274"/>
      <c r="G192" s="274"/>
      <c r="H192" s="274"/>
      <c r="I192" s="274"/>
      <c r="J192" s="274"/>
      <c r="K192" s="274"/>
      <c r="L192" s="274"/>
      <c r="M192" s="274"/>
      <c r="N192" s="274"/>
      <c r="O192" s="274"/>
      <c r="P192" s="274"/>
      <c r="Q192" s="310"/>
    </row>
    <row r="193" spans="3:17" ht="14" customHeight="1">
      <c r="C193" s="274"/>
      <c r="D193" s="274"/>
      <c r="E193" s="274"/>
      <c r="F193" s="274"/>
      <c r="G193" s="274"/>
      <c r="H193" s="274"/>
      <c r="I193" s="274"/>
      <c r="J193" s="274"/>
      <c r="K193" s="274"/>
      <c r="L193" s="274"/>
      <c r="M193" s="274"/>
      <c r="N193" s="274"/>
      <c r="O193" s="274"/>
      <c r="P193" s="274"/>
      <c r="Q193" s="310"/>
    </row>
    <row r="194" spans="3:17" ht="14" customHeight="1">
      <c r="C194" s="274"/>
      <c r="D194" s="274"/>
      <c r="E194" s="274"/>
      <c r="F194" s="274"/>
      <c r="G194" s="274"/>
      <c r="H194" s="274"/>
      <c r="I194" s="274"/>
      <c r="J194" s="274"/>
      <c r="K194" s="274"/>
      <c r="L194" s="274"/>
      <c r="M194" s="274"/>
      <c r="N194" s="274"/>
      <c r="O194" s="274"/>
      <c r="P194" s="274"/>
      <c r="Q194" s="310"/>
    </row>
    <row r="195" spans="3:17" ht="14" customHeight="1">
      <c r="C195" s="274"/>
      <c r="D195" s="274"/>
      <c r="E195" s="274"/>
      <c r="F195" s="274"/>
      <c r="G195" s="274"/>
      <c r="H195" s="274"/>
      <c r="I195" s="274"/>
      <c r="J195" s="274"/>
      <c r="K195" s="274"/>
      <c r="L195" s="274"/>
      <c r="M195" s="274"/>
      <c r="N195" s="274"/>
      <c r="O195" s="274"/>
      <c r="P195" s="274"/>
      <c r="Q195" s="310"/>
    </row>
    <row r="196" spans="3:17" ht="14" customHeight="1">
      <c r="C196" s="274"/>
      <c r="D196" s="274"/>
      <c r="E196" s="274"/>
      <c r="F196" s="274"/>
      <c r="G196" s="274"/>
      <c r="H196" s="274"/>
      <c r="I196" s="274"/>
      <c r="J196" s="274"/>
      <c r="K196" s="274"/>
      <c r="L196" s="274"/>
      <c r="M196" s="274"/>
      <c r="N196" s="274"/>
      <c r="O196" s="274"/>
      <c r="P196" s="274"/>
      <c r="Q196" s="310"/>
    </row>
    <row r="197" spans="3:17" ht="14" customHeight="1">
      <c r="C197" s="274"/>
      <c r="D197" s="274"/>
      <c r="E197" s="274"/>
      <c r="F197" s="274"/>
      <c r="G197" s="274"/>
      <c r="H197" s="274"/>
      <c r="I197" s="274"/>
      <c r="J197" s="274"/>
      <c r="K197" s="274"/>
      <c r="L197" s="274"/>
      <c r="M197" s="274"/>
      <c r="N197" s="274"/>
      <c r="O197" s="274"/>
      <c r="P197" s="274"/>
      <c r="Q197" s="310"/>
    </row>
    <row r="198" spans="3:17" ht="14" customHeight="1">
      <c r="C198" s="274"/>
      <c r="D198" s="274"/>
      <c r="E198" s="274"/>
      <c r="F198" s="274"/>
      <c r="G198" s="274"/>
      <c r="H198" s="274"/>
      <c r="I198" s="274"/>
      <c r="J198" s="274"/>
      <c r="K198" s="274"/>
      <c r="L198" s="274"/>
      <c r="M198" s="274"/>
      <c r="N198" s="274"/>
      <c r="O198" s="274"/>
      <c r="P198" s="274"/>
      <c r="Q198" s="310"/>
    </row>
    <row r="199" spans="3:17" ht="14" customHeight="1">
      <c r="C199" s="274"/>
      <c r="D199" s="274"/>
      <c r="E199" s="274"/>
      <c r="F199" s="274"/>
      <c r="G199" s="274"/>
      <c r="H199" s="274"/>
      <c r="I199" s="274"/>
      <c r="J199" s="274"/>
      <c r="K199" s="274"/>
      <c r="L199" s="274"/>
      <c r="M199" s="274"/>
      <c r="N199" s="274"/>
      <c r="O199" s="274"/>
      <c r="P199" s="274"/>
      <c r="Q199" s="310"/>
    </row>
    <row r="200" spans="3:17" ht="14" customHeight="1">
      <c r="C200" s="274"/>
      <c r="D200" s="274"/>
      <c r="E200" s="274"/>
      <c r="F200" s="274"/>
      <c r="G200" s="274"/>
      <c r="H200" s="274"/>
      <c r="I200" s="274"/>
      <c r="J200" s="274"/>
      <c r="K200" s="274"/>
      <c r="L200" s="274"/>
      <c r="M200" s="274"/>
      <c r="N200" s="274"/>
      <c r="O200" s="274"/>
      <c r="P200" s="274"/>
      <c r="Q200" s="310"/>
    </row>
    <row r="201" spans="3:17" ht="14" customHeight="1">
      <c r="C201" s="274"/>
      <c r="D201" s="274"/>
      <c r="E201" s="274"/>
      <c r="F201" s="274"/>
      <c r="G201" s="274"/>
      <c r="H201" s="274"/>
      <c r="I201" s="274"/>
      <c r="J201" s="274"/>
      <c r="K201" s="274"/>
      <c r="L201" s="274"/>
      <c r="M201" s="274"/>
      <c r="N201" s="274"/>
      <c r="O201" s="274"/>
      <c r="P201" s="274"/>
      <c r="Q201" s="310"/>
    </row>
    <row r="202" spans="3:17" ht="14" customHeight="1">
      <c r="C202" s="274"/>
      <c r="D202" s="274"/>
      <c r="E202" s="274"/>
      <c r="F202" s="274"/>
      <c r="G202" s="274"/>
      <c r="H202" s="274"/>
      <c r="I202" s="274"/>
      <c r="J202" s="274"/>
      <c r="K202" s="274"/>
      <c r="L202" s="274"/>
      <c r="M202" s="274"/>
      <c r="N202" s="274"/>
      <c r="O202" s="274"/>
      <c r="P202" s="274"/>
      <c r="Q202" s="310"/>
    </row>
    <row r="203" spans="3:17" ht="14" customHeight="1">
      <c r="C203" s="274"/>
      <c r="D203" s="274"/>
      <c r="E203" s="274"/>
      <c r="F203" s="274"/>
      <c r="G203" s="274"/>
      <c r="H203" s="274"/>
      <c r="I203" s="274"/>
      <c r="J203" s="274"/>
      <c r="K203" s="274"/>
      <c r="L203" s="274"/>
      <c r="M203" s="274"/>
      <c r="N203" s="274"/>
      <c r="O203" s="274"/>
      <c r="P203" s="274"/>
      <c r="Q203" s="310"/>
    </row>
    <row r="204" spans="3:17" ht="14" customHeight="1">
      <c r="C204" s="274"/>
      <c r="D204" s="274"/>
      <c r="E204" s="274"/>
      <c r="F204" s="274"/>
      <c r="G204" s="274"/>
      <c r="H204" s="274"/>
      <c r="I204" s="274"/>
      <c r="J204" s="274"/>
      <c r="K204" s="274"/>
      <c r="L204" s="274"/>
      <c r="M204" s="274"/>
      <c r="N204" s="274"/>
      <c r="O204" s="274"/>
      <c r="P204" s="274"/>
      <c r="Q204" s="310"/>
    </row>
    <row r="205" spans="3:17" ht="14" customHeight="1">
      <c r="C205" s="274"/>
      <c r="D205" s="274"/>
      <c r="E205" s="274"/>
      <c r="F205" s="274"/>
      <c r="G205" s="274"/>
      <c r="H205" s="274"/>
      <c r="I205" s="274"/>
      <c r="J205" s="274"/>
      <c r="K205" s="274"/>
      <c r="L205" s="274"/>
      <c r="M205" s="274"/>
      <c r="N205" s="274"/>
      <c r="O205" s="274"/>
      <c r="P205" s="274"/>
      <c r="Q205" s="310"/>
    </row>
    <row r="206" spans="3:17" ht="14" customHeight="1">
      <c r="C206" s="274"/>
      <c r="D206" s="274"/>
      <c r="E206" s="274"/>
      <c r="F206" s="274"/>
      <c r="G206" s="274"/>
      <c r="H206" s="274"/>
      <c r="I206" s="274"/>
      <c r="J206" s="274"/>
      <c r="K206" s="274"/>
      <c r="L206" s="274"/>
      <c r="M206" s="274"/>
      <c r="N206" s="274"/>
      <c r="O206" s="274"/>
      <c r="P206" s="274"/>
      <c r="Q206" s="310"/>
    </row>
    <row r="207" spans="3:17" ht="14" customHeight="1">
      <c r="C207" s="274"/>
      <c r="D207" s="274"/>
      <c r="E207" s="274"/>
      <c r="F207" s="274"/>
      <c r="G207" s="274"/>
      <c r="H207" s="274"/>
      <c r="I207" s="274"/>
      <c r="J207" s="274"/>
      <c r="K207" s="274"/>
      <c r="L207" s="274"/>
      <c r="M207" s="274"/>
      <c r="N207" s="274"/>
      <c r="O207" s="274"/>
      <c r="P207" s="274"/>
      <c r="Q207" s="310"/>
    </row>
    <row r="208" spans="3:17" ht="14" customHeight="1">
      <c r="C208" s="274"/>
      <c r="D208" s="274"/>
      <c r="E208" s="274"/>
      <c r="F208" s="274"/>
      <c r="G208" s="274"/>
      <c r="H208" s="274"/>
      <c r="I208" s="274"/>
      <c r="J208" s="274"/>
      <c r="K208" s="274"/>
      <c r="L208" s="274"/>
      <c r="M208" s="274"/>
      <c r="N208" s="274"/>
      <c r="O208" s="274"/>
      <c r="P208" s="274"/>
      <c r="Q208" s="310"/>
    </row>
    <row r="209" spans="3:17" ht="14" customHeight="1">
      <c r="C209" s="274"/>
      <c r="D209" s="274"/>
      <c r="E209" s="274"/>
      <c r="F209" s="274"/>
      <c r="G209" s="274"/>
      <c r="H209" s="274"/>
      <c r="I209" s="274"/>
      <c r="J209" s="274"/>
      <c r="K209" s="274"/>
      <c r="L209" s="274"/>
      <c r="M209" s="274"/>
      <c r="N209" s="274"/>
      <c r="O209" s="274"/>
      <c r="P209" s="274"/>
      <c r="Q209" s="310"/>
    </row>
    <row r="210" spans="3:17" ht="14" customHeight="1">
      <c r="C210" s="274"/>
      <c r="D210" s="274"/>
      <c r="E210" s="274"/>
      <c r="F210" s="274"/>
      <c r="G210" s="274"/>
      <c r="H210" s="274"/>
      <c r="I210" s="274"/>
      <c r="J210" s="274"/>
      <c r="K210" s="274"/>
      <c r="L210" s="274"/>
      <c r="M210" s="274"/>
      <c r="N210" s="274"/>
      <c r="O210" s="274"/>
      <c r="P210" s="274"/>
      <c r="Q210" s="310"/>
    </row>
    <row r="211" spans="3:17" ht="14" customHeight="1">
      <c r="C211" s="274"/>
      <c r="D211" s="274"/>
      <c r="E211" s="274"/>
      <c r="F211" s="274"/>
      <c r="G211" s="274"/>
      <c r="H211" s="274"/>
      <c r="I211" s="274"/>
      <c r="J211" s="274"/>
      <c r="K211" s="274"/>
      <c r="L211" s="274"/>
      <c r="M211" s="274"/>
      <c r="N211" s="274"/>
      <c r="O211" s="274"/>
      <c r="P211" s="274"/>
      <c r="Q211" s="310"/>
    </row>
    <row r="212" spans="3:17" ht="14" customHeight="1">
      <c r="C212" s="274"/>
      <c r="D212" s="274"/>
      <c r="E212" s="274"/>
      <c r="F212" s="274"/>
      <c r="G212" s="274"/>
      <c r="H212" s="274"/>
      <c r="I212" s="274"/>
      <c r="J212" s="274"/>
      <c r="K212" s="274"/>
      <c r="L212" s="274"/>
      <c r="M212" s="274"/>
      <c r="N212" s="274"/>
      <c r="O212" s="274"/>
      <c r="P212" s="274"/>
      <c r="Q212" s="310"/>
    </row>
    <row r="213" spans="3:17" ht="14" customHeight="1">
      <c r="C213" s="274"/>
      <c r="D213" s="274"/>
      <c r="E213" s="274"/>
      <c r="F213" s="274"/>
      <c r="G213" s="274"/>
      <c r="H213" s="274"/>
      <c r="I213" s="274"/>
      <c r="J213" s="274"/>
      <c r="K213" s="274"/>
      <c r="L213" s="274"/>
      <c r="M213" s="274"/>
      <c r="N213" s="274"/>
      <c r="O213" s="274"/>
      <c r="P213" s="274"/>
      <c r="Q213" s="310"/>
    </row>
    <row r="214" spans="3:17" ht="14" customHeight="1">
      <c r="C214" s="274"/>
      <c r="D214" s="274"/>
      <c r="E214" s="274"/>
      <c r="F214" s="274"/>
      <c r="G214" s="274"/>
      <c r="H214" s="274"/>
      <c r="I214" s="274"/>
      <c r="J214" s="274"/>
      <c r="K214" s="274"/>
      <c r="L214" s="274"/>
      <c r="M214" s="274"/>
      <c r="N214" s="274"/>
      <c r="O214" s="274"/>
      <c r="P214" s="274"/>
      <c r="Q214" s="310"/>
    </row>
    <row r="215" spans="3:17" ht="14" customHeight="1">
      <c r="C215" s="274"/>
      <c r="D215" s="274"/>
      <c r="E215" s="274"/>
      <c r="F215" s="274"/>
      <c r="G215" s="274"/>
      <c r="H215" s="274"/>
      <c r="I215" s="274"/>
      <c r="J215" s="274"/>
      <c r="K215" s="274"/>
      <c r="L215" s="274"/>
      <c r="M215" s="274"/>
      <c r="N215" s="274"/>
      <c r="O215" s="274"/>
      <c r="P215" s="274"/>
      <c r="Q215" s="310"/>
    </row>
    <row r="216" spans="3:17" ht="14" customHeight="1">
      <c r="C216" s="274"/>
      <c r="D216" s="274"/>
      <c r="E216" s="274"/>
      <c r="F216" s="274"/>
      <c r="G216" s="274"/>
      <c r="H216" s="274"/>
      <c r="I216" s="274"/>
      <c r="J216" s="274"/>
      <c r="K216" s="274"/>
      <c r="L216" s="274"/>
      <c r="M216" s="274"/>
      <c r="N216" s="274"/>
      <c r="O216" s="274"/>
      <c r="P216" s="274"/>
      <c r="Q216" s="310"/>
    </row>
    <row r="217" spans="3:17" ht="14" customHeight="1">
      <c r="C217" s="274"/>
      <c r="D217" s="274"/>
      <c r="E217" s="274"/>
      <c r="F217" s="274"/>
      <c r="G217" s="274"/>
      <c r="H217" s="274"/>
      <c r="I217" s="274"/>
      <c r="J217" s="274"/>
      <c r="K217" s="274"/>
      <c r="L217" s="274"/>
      <c r="M217" s="274"/>
      <c r="N217" s="274"/>
      <c r="O217" s="274"/>
      <c r="P217" s="274"/>
      <c r="Q217" s="310"/>
    </row>
    <row r="218" spans="3:17" ht="14" customHeight="1">
      <c r="C218" s="274"/>
      <c r="D218" s="274"/>
      <c r="E218" s="274"/>
      <c r="F218" s="274"/>
      <c r="G218" s="274"/>
      <c r="H218" s="274"/>
      <c r="I218" s="274"/>
      <c r="J218" s="274"/>
      <c r="K218" s="274"/>
      <c r="L218" s="274"/>
      <c r="M218" s="274"/>
      <c r="N218" s="274"/>
      <c r="O218" s="274"/>
      <c r="P218" s="274"/>
      <c r="Q218" s="310"/>
    </row>
    <row r="219" spans="3:17" ht="14" customHeight="1">
      <c r="C219" s="274"/>
      <c r="D219" s="274"/>
      <c r="E219" s="274"/>
      <c r="F219" s="274"/>
      <c r="G219" s="274"/>
      <c r="H219" s="274"/>
      <c r="I219" s="274"/>
      <c r="J219" s="274"/>
      <c r="K219" s="274"/>
      <c r="L219" s="274"/>
      <c r="M219" s="274"/>
      <c r="N219" s="274"/>
      <c r="O219" s="274"/>
      <c r="P219" s="274"/>
      <c r="Q219" s="310"/>
    </row>
    <row r="220" spans="3:17" ht="14" customHeight="1">
      <c r="C220" s="274"/>
      <c r="D220" s="274"/>
      <c r="E220" s="274"/>
      <c r="F220" s="274"/>
      <c r="G220" s="274"/>
      <c r="H220" s="274"/>
      <c r="I220" s="274"/>
      <c r="J220" s="274"/>
      <c r="K220" s="274"/>
      <c r="L220" s="274"/>
      <c r="M220" s="274"/>
      <c r="N220" s="274"/>
      <c r="O220" s="274"/>
      <c r="P220" s="274"/>
      <c r="Q220" s="310"/>
    </row>
    <row r="221" spans="3:17" ht="14" customHeight="1">
      <c r="C221" s="274"/>
      <c r="D221" s="274"/>
      <c r="E221" s="274"/>
      <c r="F221" s="274"/>
      <c r="G221" s="274"/>
      <c r="H221" s="274"/>
      <c r="I221" s="274"/>
      <c r="J221" s="274"/>
      <c r="K221" s="274"/>
      <c r="L221" s="274"/>
      <c r="M221" s="274"/>
      <c r="N221" s="274"/>
      <c r="O221" s="274"/>
      <c r="P221" s="274"/>
      <c r="Q221" s="310"/>
    </row>
    <row r="222" spans="3:17" ht="14" customHeight="1">
      <c r="C222" s="274"/>
      <c r="D222" s="274"/>
      <c r="E222" s="274"/>
      <c r="F222" s="274"/>
      <c r="G222" s="274"/>
      <c r="H222" s="274"/>
      <c r="I222" s="274"/>
      <c r="J222" s="274"/>
      <c r="K222" s="274"/>
      <c r="L222" s="274"/>
      <c r="M222" s="274"/>
      <c r="N222" s="274"/>
      <c r="O222" s="274"/>
      <c r="P222" s="274"/>
      <c r="Q222" s="310"/>
    </row>
    <row r="223" spans="3:17" ht="14" customHeight="1">
      <c r="C223" s="274"/>
      <c r="D223" s="274"/>
      <c r="E223" s="274"/>
      <c r="F223" s="274"/>
      <c r="G223" s="274"/>
      <c r="H223" s="274"/>
      <c r="I223" s="274"/>
      <c r="J223" s="274"/>
      <c r="K223" s="274"/>
      <c r="L223" s="274"/>
      <c r="M223" s="274"/>
      <c r="N223" s="274"/>
      <c r="O223" s="274"/>
      <c r="P223" s="274"/>
      <c r="Q223" s="310"/>
    </row>
    <row r="224" spans="3:17" ht="14" customHeight="1">
      <c r="C224" s="274"/>
      <c r="D224" s="274"/>
      <c r="E224" s="274"/>
      <c r="F224" s="274"/>
      <c r="G224" s="274"/>
      <c r="H224" s="274"/>
      <c r="I224" s="274"/>
      <c r="J224" s="274"/>
      <c r="K224" s="274"/>
      <c r="L224" s="274"/>
      <c r="M224" s="274"/>
      <c r="N224" s="274"/>
      <c r="O224" s="274"/>
      <c r="P224" s="274"/>
      <c r="Q224" s="310"/>
    </row>
    <row r="225" spans="3:17" ht="14" customHeight="1">
      <c r="C225" s="274"/>
      <c r="D225" s="274"/>
      <c r="E225" s="274"/>
      <c r="F225" s="274"/>
      <c r="G225" s="274"/>
      <c r="H225" s="274"/>
      <c r="I225" s="274"/>
      <c r="J225" s="274"/>
      <c r="K225" s="274"/>
      <c r="L225" s="274"/>
      <c r="M225" s="274"/>
      <c r="N225" s="274"/>
      <c r="O225" s="274"/>
      <c r="P225" s="274"/>
      <c r="Q225" s="310"/>
    </row>
    <row r="226" spans="3:17" ht="14" customHeight="1">
      <c r="C226" s="274"/>
      <c r="D226" s="274"/>
      <c r="E226" s="274"/>
      <c r="F226" s="274"/>
      <c r="G226" s="274"/>
      <c r="H226" s="274"/>
      <c r="I226" s="274"/>
      <c r="J226" s="274"/>
      <c r="K226" s="274"/>
      <c r="L226" s="274"/>
      <c r="M226" s="274"/>
      <c r="N226" s="274"/>
      <c r="O226" s="274"/>
      <c r="P226" s="274"/>
      <c r="Q226" s="310"/>
    </row>
    <row r="227" spans="3:17" ht="14" customHeight="1">
      <c r="C227" s="274"/>
      <c r="D227" s="274"/>
      <c r="E227" s="274"/>
      <c r="F227" s="274"/>
      <c r="G227" s="274"/>
      <c r="H227" s="274"/>
      <c r="I227" s="274"/>
      <c r="J227" s="274"/>
      <c r="K227" s="274"/>
      <c r="L227" s="274"/>
      <c r="M227" s="274"/>
      <c r="N227" s="274"/>
      <c r="O227" s="274"/>
      <c r="P227" s="274"/>
      <c r="Q227" s="310"/>
    </row>
    <row r="228" spans="3:17" ht="14" customHeight="1">
      <c r="C228" s="274"/>
      <c r="D228" s="274"/>
      <c r="E228" s="274"/>
      <c r="F228" s="274"/>
      <c r="G228" s="274"/>
      <c r="H228" s="274"/>
      <c r="I228" s="274"/>
      <c r="J228" s="274"/>
      <c r="K228" s="274"/>
      <c r="L228" s="274"/>
      <c r="M228" s="274"/>
      <c r="N228" s="274"/>
      <c r="O228" s="274"/>
      <c r="P228" s="274"/>
      <c r="Q228" s="310"/>
    </row>
    <row r="229" spans="3:17" ht="14" customHeight="1">
      <c r="C229" s="274"/>
      <c r="D229" s="274"/>
      <c r="E229" s="274"/>
      <c r="F229" s="274"/>
      <c r="G229" s="274"/>
      <c r="H229" s="274"/>
      <c r="I229" s="274"/>
      <c r="J229" s="274"/>
      <c r="K229" s="274"/>
      <c r="L229" s="274"/>
      <c r="M229" s="274"/>
      <c r="N229" s="274"/>
      <c r="O229" s="274"/>
      <c r="P229" s="274"/>
      <c r="Q229" s="310"/>
    </row>
    <row r="230" spans="3:17" ht="14" customHeight="1">
      <c r="C230" s="274"/>
      <c r="D230" s="274"/>
      <c r="E230" s="274"/>
      <c r="F230" s="274"/>
      <c r="G230" s="274"/>
      <c r="H230" s="274"/>
      <c r="I230" s="274"/>
      <c r="J230" s="274"/>
      <c r="K230" s="274"/>
      <c r="L230" s="274"/>
      <c r="M230" s="274"/>
      <c r="N230" s="274"/>
      <c r="O230" s="274"/>
      <c r="P230" s="274"/>
      <c r="Q230" s="310"/>
    </row>
    <row r="231" spans="3:17" ht="14" customHeight="1">
      <c r="C231" s="274"/>
      <c r="D231" s="274"/>
      <c r="E231" s="274"/>
      <c r="F231" s="274"/>
      <c r="G231" s="274"/>
      <c r="H231" s="274"/>
      <c r="I231" s="274"/>
      <c r="J231" s="274"/>
      <c r="K231" s="274"/>
      <c r="L231" s="274"/>
      <c r="M231" s="274"/>
      <c r="N231" s="274"/>
      <c r="O231" s="274"/>
      <c r="P231" s="274"/>
      <c r="Q231" s="310"/>
    </row>
    <row r="232" spans="3:17" ht="14" customHeight="1">
      <c r="C232" s="274"/>
      <c r="D232" s="274"/>
      <c r="E232" s="274"/>
      <c r="F232" s="274"/>
      <c r="G232" s="274"/>
      <c r="H232" s="274"/>
      <c r="I232" s="274"/>
      <c r="J232" s="274"/>
      <c r="K232" s="274"/>
      <c r="L232" s="274"/>
      <c r="M232" s="274"/>
      <c r="N232" s="274"/>
      <c r="O232" s="274"/>
      <c r="P232" s="274"/>
      <c r="Q232" s="310"/>
    </row>
    <row r="233" spans="3:17" ht="14" customHeight="1">
      <c r="C233" s="274"/>
      <c r="D233" s="274"/>
      <c r="E233" s="274"/>
      <c r="F233" s="274"/>
      <c r="G233" s="274"/>
      <c r="H233" s="274"/>
      <c r="I233" s="274"/>
      <c r="J233" s="274"/>
      <c r="K233" s="274"/>
      <c r="L233" s="274"/>
      <c r="M233" s="274"/>
      <c r="N233" s="274"/>
      <c r="O233" s="274"/>
      <c r="P233" s="274"/>
      <c r="Q233" s="310"/>
    </row>
    <row r="234" spans="3:17" ht="14" customHeight="1">
      <c r="C234" s="274"/>
      <c r="D234" s="274"/>
      <c r="E234" s="274"/>
      <c r="F234" s="274"/>
      <c r="G234" s="274"/>
      <c r="H234" s="274"/>
      <c r="I234" s="274"/>
      <c r="J234" s="274"/>
      <c r="K234" s="274"/>
      <c r="L234" s="274"/>
      <c r="M234" s="274"/>
      <c r="N234" s="274"/>
      <c r="O234" s="274"/>
      <c r="P234" s="274"/>
      <c r="Q234" s="310"/>
    </row>
    <row r="235" spans="3:17" ht="14" customHeight="1">
      <c r="C235" s="274"/>
      <c r="D235" s="274"/>
      <c r="E235" s="274"/>
      <c r="F235" s="274"/>
      <c r="G235" s="274"/>
      <c r="H235" s="274"/>
      <c r="I235" s="274"/>
      <c r="J235" s="274"/>
      <c r="K235" s="274"/>
      <c r="L235" s="274"/>
      <c r="M235" s="274"/>
      <c r="N235" s="274"/>
      <c r="O235" s="274"/>
      <c r="P235" s="274"/>
      <c r="Q235" s="310"/>
    </row>
    <row r="236" spans="3:17" ht="14" customHeight="1">
      <c r="C236" s="274"/>
      <c r="D236" s="274"/>
      <c r="E236" s="274"/>
      <c r="F236" s="274"/>
      <c r="G236" s="274"/>
      <c r="H236" s="274"/>
      <c r="I236" s="274"/>
      <c r="J236" s="274"/>
      <c r="K236" s="274"/>
      <c r="L236" s="274"/>
      <c r="M236" s="274"/>
      <c r="N236" s="274"/>
      <c r="O236" s="274"/>
      <c r="P236" s="274"/>
      <c r="Q236" s="310"/>
    </row>
    <row r="237" spans="3:17" ht="14" customHeight="1">
      <c r="C237" s="274"/>
      <c r="D237" s="274"/>
      <c r="E237" s="274"/>
      <c r="F237" s="274"/>
      <c r="G237" s="274"/>
      <c r="H237" s="274"/>
      <c r="I237" s="274"/>
      <c r="J237" s="274"/>
      <c r="K237" s="274"/>
      <c r="L237" s="274"/>
      <c r="M237" s="274"/>
      <c r="N237" s="274"/>
      <c r="O237" s="274"/>
      <c r="P237" s="274"/>
      <c r="Q237" s="310"/>
    </row>
    <row r="238" spans="3:17" ht="14" customHeight="1">
      <c r="C238" s="274"/>
      <c r="D238" s="274"/>
      <c r="E238" s="274"/>
      <c r="F238" s="274"/>
      <c r="G238" s="274"/>
      <c r="H238" s="274"/>
      <c r="I238" s="274"/>
      <c r="J238" s="274"/>
      <c r="K238" s="274"/>
      <c r="L238" s="274"/>
      <c r="M238" s="274"/>
      <c r="N238" s="274"/>
      <c r="O238" s="274"/>
      <c r="P238" s="274"/>
      <c r="Q238" s="310"/>
    </row>
    <row r="239" spans="3:17" ht="14" customHeight="1">
      <c r="C239" s="274"/>
      <c r="D239" s="274"/>
      <c r="E239" s="274"/>
      <c r="F239" s="274"/>
      <c r="G239" s="274"/>
      <c r="H239" s="274"/>
      <c r="I239" s="274"/>
      <c r="J239" s="274"/>
      <c r="K239" s="274"/>
      <c r="L239" s="274"/>
      <c r="M239" s="274"/>
      <c r="N239" s="274"/>
      <c r="O239" s="274"/>
      <c r="P239" s="274"/>
      <c r="Q239" s="310"/>
    </row>
    <row r="240" spans="3:17" ht="14" customHeight="1">
      <c r="C240" s="274"/>
      <c r="D240" s="274"/>
      <c r="E240" s="274"/>
      <c r="F240" s="274"/>
      <c r="G240" s="274"/>
      <c r="H240" s="274"/>
      <c r="I240" s="274"/>
      <c r="J240" s="274"/>
      <c r="K240" s="274"/>
      <c r="L240" s="274"/>
      <c r="M240" s="274"/>
      <c r="N240" s="274"/>
      <c r="O240" s="274"/>
      <c r="P240" s="274"/>
      <c r="Q240" s="310"/>
    </row>
    <row r="241" spans="3:17" ht="14" customHeight="1">
      <c r="C241" s="274"/>
      <c r="D241" s="274"/>
      <c r="E241" s="274"/>
      <c r="F241" s="274"/>
      <c r="G241" s="274"/>
      <c r="H241" s="274"/>
      <c r="I241" s="274"/>
      <c r="J241" s="274"/>
      <c r="K241" s="274"/>
      <c r="L241" s="274"/>
      <c r="M241" s="274"/>
      <c r="N241" s="274"/>
      <c r="O241" s="274"/>
      <c r="P241" s="274"/>
      <c r="Q241" s="310"/>
    </row>
    <row r="242" spans="3:17" ht="14" customHeight="1">
      <c r="C242" s="274"/>
      <c r="D242" s="274"/>
      <c r="E242" s="274"/>
      <c r="F242" s="274"/>
      <c r="G242" s="274"/>
      <c r="H242" s="274"/>
      <c r="I242" s="274"/>
      <c r="J242" s="274"/>
      <c r="K242" s="274"/>
      <c r="L242" s="274"/>
      <c r="M242" s="274"/>
      <c r="N242" s="274"/>
      <c r="O242" s="274"/>
      <c r="P242" s="274"/>
      <c r="Q242" s="310"/>
    </row>
    <row r="243" spans="3:17" ht="14" customHeight="1">
      <c r="C243" s="274"/>
      <c r="D243" s="274"/>
      <c r="E243" s="274"/>
      <c r="F243" s="274"/>
      <c r="G243" s="274"/>
      <c r="H243" s="274"/>
      <c r="I243" s="274"/>
      <c r="J243" s="274"/>
      <c r="K243" s="274"/>
      <c r="L243" s="274"/>
      <c r="M243" s="274"/>
      <c r="N243" s="274"/>
      <c r="O243" s="274"/>
      <c r="P243" s="274"/>
      <c r="Q243" s="310"/>
    </row>
    <row r="244" spans="3:17" ht="14" customHeight="1">
      <c r="C244" s="274"/>
      <c r="D244" s="274"/>
      <c r="E244" s="274"/>
      <c r="F244" s="274"/>
      <c r="G244" s="274"/>
      <c r="H244" s="274"/>
      <c r="I244" s="274"/>
      <c r="J244" s="274"/>
      <c r="K244" s="274"/>
      <c r="L244" s="274"/>
      <c r="M244" s="274"/>
      <c r="N244" s="274"/>
      <c r="O244" s="274"/>
      <c r="P244" s="274"/>
      <c r="Q244" s="310"/>
    </row>
    <row r="245" spans="3:17" ht="14" customHeight="1">
      <c r="C245" s="274"/>
      <c r="D245" s="274"/>
      <c r="E245" s="274"/>
      <c r="F245" s="274"/>
      <c r="G245" s="274"/>
      <c r="H245" s="274"/>
      <c r="I245" s="274"/>
      <c r="J245" s="274"/>
      <c r="K245" s="274"/>
      <c r="L245" s="274"/>
      <c r="M245" s="274"/>
      <c r="N245" s="274"/>
      <c r="O245" s="274"/>
      <c r="P245" s="274"/>
      <c r="Q245" s="310"/>
    </row>
    <row r="246" spans="3:17" ht="14" customHeight="1">
      <c r="C246" s="274"/>
      <c r="D246" s="274"/>
      <c r="E246" s="274"/>
      <c r="F246" s="274"/>
      <c r="G246" s="274"/>
      <c r="H246" s="274"/>
      <c r="I246" s="274"/>
      <c r="J246" s="274"/>
      <c r="K246" s="274"/>
      <c r="L246" s="274"/>
      <c r="M246" s="274"/>
      <c r="N246" s="274"/>
      <c r="O246" s="274"/>
      <c r="P246" s="274"/>
      <c r="Q246" s="310"/>
    </row>
    <row r="247" spans="3:17" ht="14" customHeight="1">
      <c r="C247" s="274"/>
      <c r="D247" s="274"/>
      <c r="E247" s="274"/>
      <c r="F247" s="274"/>
      <c r="G247" s="274"/>
      <c r="H247" s="274"/>
      <c r="I247" s="274"/>
      <c r="J247" s="274"/>
      <c r="K247" s="274"/>
      <c r="L247" s="274"/>
      <c r="M247" s="274"/>
      <c r="N247" s="274"/>
      <c r="O247" s="274"/>
      <c r="P247" s="274"/>
      <c r="Q247" s="310"/>
    </row>
    <row r="248" spans="3:17" ht="14" customHeight="1">
      <c r="C248" s="274"/>
      <c r="D248" s="274"/>
      <c r="E248" s="274"/>
      <c r="F248" s="274"/>
      <c r="G248" s="274"/>
      <c r="H248" s="274"/>
      <c r="I248" s="274"/>
      <c r="J248" s="274"/>
      <c r="K248" s="274"/>
      <c r="L248" s="274"/>
      <c r="M248" s="274"/>
      <c r="N248" s="274"/>
      <c r="O248" s="274"/>
      <c r="P248" s="274"/>
      <c r="Q248" s="310"/>
    </row>
    <row r="249" spans="3:17" ht="14" customHeight="1">
      <c r="C249" s="274"/>
      <c r="D249" s="274"/>
      <c r="E249" s="274"/>
      <c r="F249" s="274"/>
      <c r="G249" s="274"/>
      <c r="H249" s="274"/>
      <c r="I249" s="274"/>
      <c r="J249" s="274"/>
      <c r="K249" s="274"/>
      <c r="L249" s="274"/>
      <c r="M249" s="274"/>
      <c r="N249" s="274"/>
      <c r="O249" s="274"/>
      <c r="P249" s="274"/>
      <c r="Q249" s="310"/>
    </row>
    <row r="250" spans="3:17" ht="14" customHeight="1">
      <c r="C250" s="274"/>
      <c r="D250" s="274"/>
      <c r="E250" s="274"/>
      <c r="F250" s="274"/>
      <c r="G250" s="274"/>
      <c r="H250" s="274"/>
      <c r="I250" s="274"/>
      <c r="J250" s="274"/>
      <c r="K250" s="274"/>
      <c r="L250" s="274"/>
      <c r="M250" s="274"/>
      <c r="N250" s="274"/>
      <c r="O250" s="274"/>
      <c r="P250" s="274"/>
      <c r="Q250" s="310"/>
    </row>
    <row r="251" spans="3:17" ht="14" customHeight="1">
      <c r="C251" s="274"/>
      <c r="D251" s="274"/>
      <c r="E251" s="274"/>
      <c r="F251" s="274"/>
      <c r="G251" s="274"/>
      <c r="H251" s="274"/>
      <c r="I251" s="274"/>
      <c r="J251" s="274"/>
      <c r="K251" s="274"/>
      <c r="L251" s="274"/>
      <c r="M251" s="274"/>
      <c r="N251" s="274"/>
      <c r="O251" s="274"/>
      <c r="P251" s="274"/>
      <c r="Q251" s="310"/>
    </row>
    <row r="252" spans="3:17" ht="14" customHeight="1">
      <c r="C252" s="274"/>
      <c r="D252" s="274"/>
      <c r="E252" s="274"/>
      <c r="F252" s="274"/>
      <c r="G252" s="274"/>
      <c r="H252" s="274"/>
      <c r="I252" s="274"/>
      <c r="J252" s="274"/>
      <c r="K252" s="274"/>
      <c r="L252" s="274"/>
      <c r="M252" s="274"/>
      <c r="N252" s="274"/>
      <c r="O252" s="274"/>
      <c r="P252" s="274"/>
      <c r="Q252" s="310"/>
    </row>
    <row r="253" spans="3:17" ht="14" customHeight="1">
      <c r="C253" s="274"/>
      <c r="D253" s="274"/>
      <c r="E253" s="274"/>
      <c r="F253" s="274"/>
      <c r="G253" s="274"/>
      <c r="H253" s="274"/>
      <c r="I253" s="274"/>
      <c r="J253" s="274"/>
      <c r="K253" s="274"/>
      <c r="L253" s="274"/>
      <c r="M253" s="274"/>
      <c r="N253" s="274"/>
      <c r="O253" s="274"/>
      <c r="P253" s="274"/>
      <c r="Q253" s="310"/>
    </row>
    <row r="254" spans="3:17" ht="14" customHeight="1">
      <c r="C254" s="274"/>
      <c r="D254" s="274"/>
      <c r="E254" s="274"/>
      <c r="F254" s="274"/>
      <c r="G254" s="274"/>
      <c r="H254" s="274"/>
      <c r="I254" s="274"/>
      <c r="J254" s="274"/>
      <c r="K254" s="274"/>
      <c r="L254" s="274"/>
      <c r="M254" s="274"/>
      <c r="N254" s="274"/>
      <c r="O254" s="274"/>
      <c r="P254" s="274"/>
      <c r="Q254" s="310"/>
    </row>
    <row r="255" spans="3:17" ht="14" customHeight="1">
      <c r="C255" s="274"/>
      <c r="D255" s="274"/>
      <c r="E255" s="274"/>
      <c r="F255" s="274"/>
      <c r="G255" s="274"/>
      <c r="H255" s="274"/>
      <c r="I255" s="274"/>
      <c r="J255" s="274"/>
      <c r="K255" s="274"/>
      <c r="L255" s="274"/>
      <c r="M255" s="274"/>
      <c r="N255" s="274"/>
      <c r="O255" s="274"/>
      <c r="P255" s="274"/>
      <c r="Q255" s="310"/>
    </row>
    <row r="256" spans="3:17" ht="14" customHeight="1">
      <c r="C256" s="274"/>
      <c r="D256" s="274"/>
      <c r="E256" s="274"/>
      <c r="F256" s="274"/>
      <c r="G256" s="274"/>
      <c r="H256" s="274"/>
      <c r="I256" s="274"/>
      <c r="J256" s="274"/>
      <c r="K256" s="274"/>
      <c r="L256" s="274"/>
      <c r="M256" s="274"/>
      <c r="N256" s="274"/>
      <c r="O256" s="274"/>
      <c r="P256" s="274"/>
      <c r="Q256" s="310"/>
    </row>
    <row r="257" spans="3:17" ht="14" customHeight="1">
      <c r="C257" s="274"/>
      <c r="D257" s="274"/>
      <c r="E257" s="274"/>
      <c r="F257" s="274"/>
      <c r="G257" s="274"/>
      <c r="H257" s="274"/>
      <c r="I257" s="274"/>
      <c r="J257" s="274"/>
      <c r="K257" s="274"/>
      <c r="L257" s="274"/>
      <c r="M257" s="274"/>
      <c r="N257" s="274"/>
      <c r="O257" s="274"/>
      <c r="P257" s="274"/>
      <c r="Q257" s="310"/>
    </row>
    <row r="258" spans="3:17" ht="14" customHeight="1">
      <c r="C258" s="274"/>
      <c r="D258" s="274"/>
      <c r="E258" s="274"/>
      <c r="F258" s="274"/>
      <c r="G258" s="274"/>
      <c r="H258" s="274"/>
      <c r="I258" s="274"/>
      <c r="J258" s="274"/>
      <c r="K258" s="274"/>
      <c r="L258" s="274"/>
      <c r="M258" s="274"/>
      <c r="N258" s="274"/>
      <c r="O258" s="274"/>
      <c r="P258" s="274"/>
      <c r="Q258" s="310"/>
    </row>
    <row r="259" spans="3:17" ht="14" customHeight="1">
      <c r="C259" s="274"/>
      <c r="D259" s="274"/>
      <c r="E259" s="274"/>
      <c r="F259" s="274"/>
      <c r="G259" s="274"/>
      <c r="H259" s="274"/>
      <c r="I259" s="274"/>
      <c r="J259" s="274"/>
      <c r="K259" s="274"/>
      <c r="L259" s="274"/>
      <c r="M259" s="274"/>
      <c r="N259" s="274"/>
      <c r="O259" s="274"/>
      <c r="P259" s="274"/>
      <c r="Q259" s="310"/>
    </row>
    <row r="260" spans="3:17" ht="14" customHeight="1">
      <c r="C260" s="274"/>
      <c r="D260" s="274"/>
      <c r="E260" s="274"/>
      <c r="F260" s="274"/>
      <c r="G260" s="274"/>
      <c r="H260" s="274"/>
      <c r="I260" s="274"/>
      <c r="J260" s="274"/>
      <c r="K260" s="274"/>
      <c r="L260" s="274"/>
      <c r="M260" s="274"/>
      <c r="N260" s="274"/>
      <c r="O260" s="274"/>
      <c r="P260" s="274"/>
      <c r="Q260" s="310"/>
    </row>
    <row r="261" spans="3:17" ht="14" customHeight="1">
      <c r="C261" s="274"/>
      <c r="D261" s="274"/>
      <c r="E261" s="274"/>
      <c r="F261" s="274"/>
      <c r="G261" s="274"/>
      <c r="H261" s="274"/>
      <c r="I261" s="274"/>
      <c r="J261" s="274"/>
      <c r="K261" s="274"/>
      <c r="L261" s="274"/>
      <c r="M261" s="274"/>
      <c r="N261" s="274"/>
      <c r="O261" s="274"/>
      <c r="P261" s="274"/>
      <c r="Q261" s="310"/>
    </row>
    <row r="262" spans="3:17" ht="14" customHeight="1">
      <c r="C262" s="274"/>
      <c r="D262" s="274"/>
      <c r="E262" s="274"/>
      <c r="F262" s="274"/>
      <c r="G262" s="274"/>
      <c r="H262" s="274"/>
      <c r="I262" s="274"/>
      <c r="J262" s="274"/>
      <c r="K262" s="274"/>
      <c r="L262" s="274"/>
      <c r="M262" s="274"/>
      <c r="N262" s="274"/>
      <c r="O262" s="274"/>
      <c r="P262" s="274"/>
      <c r="Q262" s="310"/>
    </row>
    <row r="263" spans="3:17" ht="14" customHeight="1">
      <c r="D263" s="2"/>
    </row>
    <row r="264" spans="3:17" ht="14" customHeight="1">
      <c r="D264" s="2"/>
    </row>
    <row r="265" spans="3:17" ht="14" customHeight="1">
      <c r="D265" s="2"/>
    </row>
    <row r="266" spans="3:17" ht="14" customHeight="1">
      <c r="D266" s="2"/>
    </row>
    <row r="267" spans="3:17" ht="14" customHeight="1">
      <c r="D267" s="2"/>
    </row>
    <row r="268" spans="3:17" ht="14" customHeight="1">
      <c r="D268" s="2"/>
    </row>
    <row r="269" spans="3:17" ht="14" customHeight="1">
      <c r="D269" s="2"/>
    </row>
    <row r="270" spans="3:17" ht="14" customHeight="1">
      <c r="D270" s="2"/>
    </row>
    <row r="271" spans="3:17" ht="14" customHeight="1">
      <c r="D271" s="2"/>
    </row>
    <row r="272" spans="3:17" ht="14" customHeight="1">
      <c r="D272" s="2"/>
    </row>
    <row r="273" spans="4:4" ht="14" customHeight="1">
      <c r="D273" s="2"/>
    </row>
    <row r="274" spans="4:4" ht="14" customHeight="1">
      <c r="D274" s="2"/>
    </row>
    <row r="275" spans="4:4" ht="14" customHeight="1">
      <c r="D275" s="2"/>
    </row>
    <row r="276" spans="4:4" ht="14" customHeight="1">
      <c r="D276" s="2"/>
    </row>
    <row r="277" spans="4:4" ht="14" customHeight="1">
      <c r="D277" s="2"/>
    </row>
    <row r="278" spans="4:4" ht="14" customHeight="1">
      <c r="D278" s="2"/>
    </row>
    <row r="279" spans="4:4" ht="14" customHeight="1">
      <c r="D279" s="2"/>
    </row>
    <row r="280" spans="4:4" ht="14" customHeight="1">
      <c r="D280" s="2"/>
    </row>
    <row r="281" spans="4:4" ht="14" customHeight="1">
      <c r="D281" s="2"/>
    </row>
    <row r="282" spans="4:4" ht="14" customHeight="1">
      <c r="D282" s="2"/>
    </row>
    <row r="283" spans="4:4" ht="14" customHeight="1">
      <c r="D283" s="2"/>
    </row>
    <row r="284" spans="4:4" ht="14" customHeight="1">
      <c r="D284" s="2"/>
    </row>
    <row r="285" spans="4:4" ht="14" customHeight="1">
      <c r="D285" s="2"/>
    </row>
    <row r="286" spans="4:4" ht="14" customHeight="1">
      <c r="D286" s="2"/>
    </row>
    <row r="287" spans="4:4" ht="14" customHeight="1">
      <c r="D287" s="2"/>
    </row>
    <row r="288" spans="4:4" ht="14" customHeight="1">
      <c r="D288" s="2"/>
    </row>
    <row r="289" spans="4:4" ht="14" customHeight="1">
      <c r="D289" s="2"/>
    </row>
    <row r="290" spans="4:4" ht="14" customHeight="1">
      <c r="D290" s="2"/>
    </row>
    <row r="291" spans="4:4" ht="14" customHeight="1">
      <c r="D291" s="2"/>
    </row>
    <row r="292" spans="4:4" ht="14" customHeight="1">
      <c r="D292" s="2"/>
    </row>
    <row r="293" spans="4:4" ht="14" customHeight="1">
      <c r="D293" s="2"/>
    </row>
    <row r="294" spans="4:4" ht="14" customHeight="1">
      <c r="D294" s="2"/>
    </row>
    <row r="295" spans="4:4" ht="14" customHeight="1">
      <c r="D295" s="2"/>
    </row>
    <row r="296" spans="4:4" ht="14" customHeight="1">
      <c r="D296" s="2"/>
    </row>
    <row r="297" spans="4:4" ht="14" customHeight="1">
      <c r="D297" s="2"/>
    </row>
    <row r="298" spans="4:4" ht="14" customHeight="1">
      <c r="D298" s="2"/>
    </row>
    <row r="299" spans="4:4" ht="14" customHeight="1">
      <c r="D299" s="2"/>
    </row>
    <row r="300" spans="4:4" ht="14" customHeight="1">
      <c r="D300" s="2"/>
    </row>
    <row r="301" spans="4:4" ht="14" customHeight="1">
      <c r="D301" s="2"/>
    </row>
    <row r="302" spans="4:4" ht="14" customHeight="1">
      <c r="D302" s="2"/>
    </row>
    <row r="303" spans="4:4" ht="14" customHeight="1">
      <c r="D303" s="2"/>
    </row>
    <row r="304" spans="4:4" ht="14" customHeight="1">
      <c r="D304" s="2"/>
    </row>
    <row r="305" spans="4:4" ht="14" customHeight="1">
      <c r="D305" s="2"/>
    </row>
    <row r="306" spans="4:4" ht="14" customHeight="1">
      <c r="D306" s="2"/>
    </row>
    <row r="307" spans="4:4" ht="14" customHeight="1">
      <c r="D307" s="2"/>
    </row>
    <row r="308" spans="4:4" ht="14" customHeight="1">
      <c r="D308" s="2"/>
    </row>
    <row r="309" spans="4:4" ht="14" customHeight="1">
      <c r="D309" s="2"/>
    </row>
    <row r="310" spans="4:4" ht="14" customHeight="1">
      <c r="D310" s="2"/>
    </row>
    <row r="311" spans="4:4" ht="14" customHeight="1">
      <c r="D311" s="2"/>
    </row>
    <row r="312" spans="4:4" ht="14" customHeight="1">
      <c r="D312" s="2"/>
    </row>
    <row r="313" spans="4:4" ht="14" customHeight="1">
      <c r="D313" s="2"/>
    </row>
    <row r="314" spans="4:4" ht="14" customHeight="1">
      <c r="D314" s="2"/>
    </row>
    <row r="315" spans="4:4" ht="14" customHeight="1">
      <c r="D315" s="2"/>
    </row>
    <row r="316" spans="4:4" ht="14" customHeight="1">
      <c r="D316" s="2"/>
    </row>
    <row r="317" spans="4:4" ht="14" customHeight="1">
      <c r="D317" s="2"/>
    </row>
    <row r="318" spans="4:4" ht="14" customHeight="1">
      <c r="D318" s="2"/>
    </row>
    <row r="319" spans="4:4" ht="14" customHeight="1">
      <c r="D319" s="2"/>
    </row>
    <row r="320" spans="4:4" ht="14" customHeight="1">
      <c r="D320" s="2"/>
    </row>
    <row r="321" spans="4:4" ht="14" customHeight="1">
      <c r="D321" s="2"/>
    </row>
    <row r="322" spans="4:4" ht="14" customHeight="1">
      <c r="D322" s="2"/>
    </row>
    <row r="323" spans="4:4" ht="14" customHeight="1">
      <c r="D323" s="2"/>
    </row>
    <row r="324" spans="4:4" ht="14" customHeight="1">
      <c r="D324" s="2"/>
    </row>
    <row r="325" spans="4:4" ht="14" customHeight="1">
      <c r="D325" s="2"/>
    </row>
    <row r="326" spans="4:4" ht="14" customHeight="1">
      <c r="D326" s="2"/>
    </row>
    <row r="327" spans="4:4" ht="14" customHeight="1">
      <c r="D327" s="2"/>
    </row>
    <row r="328" spans="4:4" ht="14" customHeight="1">
      <c r="D328" s="2"/>
    </row>
    <row r="329" spans="4:4" ht="14" customHeight="1">
      <c r="D329" s="2"/>
    </row>
    <row r="330" spans="4:4" ht="14" customHeight="1">
      <c r="D330" s="2"/>
    </row>
    <row r="331" spans="4:4" ht="14" customHeight="1">
      <c r="D331" s="2"/>
    </row>
    <row r="332" spans="4:4" ht="14" customHeight="1">
      <c r="D332" s="2"/>
    </row>
    <row r="333" spans="4:4" ht="14" customHeight="1">
      <c r="D333" s="2"/>
    </row>
    <row r="334" spans="4:4" ht="14" customHeight="1">
      <c r="D334" s="2"/>
    </row>
    <row r="335" spans="4:4" ht="14" customHeight="1">
      <c r="D335" s="2"/>
    </row>
    <row r="336" spans="4:4" ht="14" customHeight="1">
      <c r="D336" s="2"/>
    </row>
    <row r="337" spans="4:4" ht="14" customHeight="1">
      <c r="D337" s="2"/>
    </row>
    <row r="338" spans="4:4" ht="14" customHeight="1">
      <c r="D338" s="2"/>
    </row>
    <row r="339" spans="4:4" ht="14" customHeight="1">
      <c r="D339" s="2"/>
    </row>
    <row r="340" spans="4:4" ht="14" customHeight="1">
      <c r="D340" s="2"/>
    </row>
    <row r="341" spans="4:4" ht="14" customHeight="1">
      <c r="D341" s="2"/>
    </row>
    <row r="342" spans="4:4" ht="14" customHeight="1">
      <c r="D342" s="2"/>
    </row>
    <row r="343" spans="4:4" ht="14" customHeight="1">
      <c r="D343" s="2"/>
    </row>
    <row r="344" spans="4:4" ht="14" customHeight="1">
      <c r="D344" s="2"/>
    </row>
    <row r="345" spans="4:4" ht="14" customHeight="1">
      <c r="D345" s="2"/>
    </row>
    <row r="346" spans="4:4" ht="14" customHeight="1">
      <c r="D346" s="2"/>
    </row>
    <row r="347" spans="4:4" ht="14" customHeight="1">
      <c r="D347" s="2"/>
    </row>
    <row r="348" spans="4:4" ht="14" customHeight="1">
      <c r="D348" s="2"/>
    </row>
    <row r="349" spans="4:4" ht="14" customHeight="1">
      <c r="D349" s="2"/>
    </row>
    <row r="350" spans="4:4" ht="14" customHeight="1">
      <c r="D350" s="2"/>
    </row>
    <row r="351" spans="4:4" ht="14" customHeight="1">
      <c r="D351" s="2"/>
    </row>
    <row r="352" spans="4:4" ht="14" customHeight="1">
      <c r="D352" s="2"/>
    </row>
    <row r="353" spans="4:4" ht="14" customHeight="1">
      <c r="D353" s="2"/>
    </row>
    <row r="354" spans="4:4" ht="14" customHeight="1">
      <c r="D354" s="2"/>
    </row>
    <row r="355" spans="4:4" ht="14" customHeight="1">
      <c r="D355" s="2"/>
    </row>
    <row r="356" spans="4:4" ht="14" customHeight="1">
      <c r="D356" s="2"/>
    </row>
    <row r="357" spans="4:4" ht="14" customHeight="1">
      <c r="D357" s="2"/>
    </row>
    <row r="358" spans="4:4" ht="14" customHeight="1">
      <c r="D358" s="2"/>
    </row>
    <row r="359" spans="4:4" ht="14" customHeight="1">
      <c r="D359" s="2"/>
    </row>
    <row r="360" spans="4:4" ht="14" customHeight="1">
      <c r="D360" s="2"/>
    </row>
    <row r="361" spans="4:4" ht="14" customHeight="1">
      <c r="D361" s="2"/>
    </row>
    <row r="362" spans="4:4" ht="14" customHeight="1">
      <c r="D362" s="2"/>
    </row>
    <row r="363" spans="4:4" ht="14" customHeight="1">
      <c r="D363" s="2"/>
    </row>
    <row r="364" spans="4:4" ht="14" customHeight="1">
      <c r="D364" s="2"/>
    </row>
    <row r="365" spans="4:4" ht="14" customHeight="1">
      <c r="D365" s="2"/>
    </row>
    <row r="366" spans="4:4" ht="14" customHeight="1">
      <c r="D366" s="2"/>
    </row>
    <row r="367" spans="4:4" ht="14" customHeight="1">
      <c r="D367" s="2"/>
    </row>
    <row r="368" spans="4:4" ht="14" customHeight="1">
      <c r="D368" s="2"/>
    </row>
    <row r="369" spans="4:4" ht="14" customHeight="1">
      <c r="D369" s="2"/>
    </row>
    <row r="370" spans="4:4" ht="14" customHeight="1">
      <c r="D370" s="2"/>
    </row>
    <row r="371" spans="4:4">
      <c r="D371" s="2"/>
    </row>
    <row r="372" spans="4:4">
      <c r="D372" s="2"/>
    </row>
    <row r="373" spans="4:4">
      <c r="D373" s="2"/>
    </row>
    <row r="374" spans="4:4">
      <c r="D374" s="2"/>
    </row>
    <row r="375" spans="4:4">
      <c r="D375" s="2"/>
    </row>
    <row r="376" spans="4:4">
      <c r="D376" s="2"/>
    </row>
    <row r="377" spans="4:4">
      <c r="D377" s="2"/>
    </row>
    <row r="378" spans="4:4">
      <c r="D378" s="2"/>
    </row>
    <row r="379" spans="4:4">
      <c r="D379" s="2"/>
    </row>
    <row r="380" spans="4:4">
      <c r="D380" s="2"/>
    </row>
    <row r="381" spans="4:4">
      <c r="D381" s="2"/>
    </row>
    <row r="382" spans="4:4">
      <c r="D382" s="2"/>
    </row>
    <row r="383" spans="4:4">
      <c r="D383" s="2"/>
    </row>
    <row r="384" spans="4:4">
      <c r="D384" s="2"/>
    </row>
    <row r="385" spans="4:4">
      <c r="D385" s="2"/>
    </row>
    <row r="386" spans="4:4">
      <c r="D386" s="2"/>
    </row>
    <row r="387" spans="4:4">
      <c r="D387" s="2"/>
    </row>
    <row r="388" spans="4:4">
      <c r="D388" s="2"/>
    </row>
    <row r="389" spans="4:4">
      <c r="D389" s="2"/>
    </row>
    <row r="390" spans="4:4">
      <c r="D390" s="2"/>
    </row>
    <row r="391" spans="4:4">
      <c r="D391" s="2"/>
    </row>
    <row r="392" spans="4:4">
      <c r="D392" s="2"/>
    </row>
    <row r="393" spans="4:4">
      <c r="D393" s="2"/>
    </row>
    <row r="394" spans="4:4">
      <c r="D394" s="2"/>
    </row>
    <row r="395" spans="4:4">
      <c r="D395" s="2"/>
    </row>
    <row r="396" spans="4:4">
      <c r="D396" s="2"/>
    </row>
    <row r="397" spans="4:4">
      <c r="D397" s="2"/>
    </row>
    <row r="398" spans="4:4">
      <c r="D398" s="2"/>
    </row>
    <row r="399" spans="4:4">
      <c r="D399" s="2"/>
    </row>
    <row r="400" spans="4:4">
      <c r="D400" s="2"/>
    </row>
    <row r="401" spans="4:4">
      <c r="D401" s="2"/>
    </row>
    <row r="402" spans="4:4">
      <c r="D402" s="2"/>
    </row>
    <row r="403" spans="4:4">
      <c r="D403" s="2"/>
    </row>
    <row r="404" spans="4:4">
      <c r="D404" s="2"/>
    </row>
    <row r="405" spans="4:4">
      <c r="D405" s="2"/>
    </row>
    <row r="406" spans="4:4">
      <c r="D406" s="2"/>
    </row>
    <row r="407" spans="4:4">
      <c r="D407" s="2"/>
    </row>
    <row r="408" spans="4:4">
      <c r="D408" s="2"/>
    </row>
    <row r="409" spans="4:4">
      <c r="D409" s="2"/>
    </row>
    <row r="410" spans="4:4">
      <c r="D410" s="2"/>
    </row>
    <row r="411" spans="4:4">
      <c r="D411" s="2"/>
    </row>
    <row r="412" spans="4:4">
      <c r="D412" s="2"/>
    </row>
    <row r="413" spans="4:4">
      <c r="D413" s="2"/>
    </row>
    <row r="414" spans="4:4">
      <c r="D414" s="2"/>
    </row>
    <row r="415" spans="4:4">
      <c r="D415" s="2"/>
    </row>
    <row r="416" spans="4:4">
      <c r="D416" s="2"/>
    </row>
    <row r="417" spans="4:4">
      <c r="D417" s="2"/>
    </row>
    <row r="418" spans="4:4">
      <c r="D418" s="2"/>
    </row>
    <row r="419" spans="4:4">
      <c r="D419" s="2"/>
    </row>
    <row r="420" spans="4:4">
      <c r="D420" s="2"/>
    </row>
    <row r="421" spans="4:4">
      <c r="D421" s="2"/>
    </row>
    <row r="422" spans="4:4">
      <c r="D422" s="2"/>
    </row>
  </sheetData>
  <sheetProtection algorithmName="SHA-512" hashValue="Gi1lVt7afj4vcg4GJ2CXlAE3fK17bvpXRm01Q3d7PxrHX1kgCLIHGjT3HIllv4qAq0f02NkPK2giXoM4hfPi5g==" saltValue="IkVcef3VmkuIZnTG7GCV/Q==" spinCount="100000" sheet="1" selectLockedCells="1"/>
  <mergeCells count="88">
    <mergeCell ref="D37:E37"/>
    <mergeCell ref="H37:I37"/>
    <mergeCell ref="J12:K12"/>
    <mergeCell ref="J13:K13"/>
    <mergeCell ref="J14:K14"/>
    <mergeCell ref="D35:E35"/>
    <mergeCell ref="C42:I44"/>
    <mergeCell ref="AQ23:AR23"/>
    <mergeCell ref="D36:E36"/>
    <mergeCell ref="H36:I36"/>
    <mergeCell ref="B31:B39"/>
    <mergeCell ref="AJ35:AL35"/>
    <mergeCell ref="AF34:AL34"/>
    <mergeCell ref="D31:E31"/>
    <mergeCell ref="F39:G39"/>
    <mergeCell ref="U34:V34"/>
    <mergeCell ref="K29:R29"/>
    <mergeCell ref="H33:I33"/>
    <mergeCell ref="H34:I34"/>
    <mergeCell ref="H29:I29"/>
    <mergeCell ref="H28:I28"/>
    <mergeCell ref="C39:E39"/>
    <mergeCell ref="AB9:AC10"/>
    <mergeCell ref="AE10:AH10"/>
    <mergeCell ref="AI10:AL10"/>
    <mergeCell ref="AE9:AL9"/>
    <mergeCell ref="AD17:AE17"/>
    <mergeCell ref="AD18:AE18"/>
    <mergeCell ref="AC26:AC30"/>
    <mergeCell ref="AD143:AE143"/>
    <mergeCell ref="AF143:AG143"/>
    <mergeCell ref="H35:I35"/>
    <mergeCell ref="H31:I31"/>
    <mergeCell ref="L33:M35"/>
    <mergeCell ref="AF35:AH35"/>
    <mergeCell ref="U35:V35"/>
    <mergeCell ref="U33:V33"/>
    <mergeCell ref="AD44:AE44"/>
    <mergeCell ref="AC37:AC41"/>
    <mergeCell ref="AD88:AE88"/>
    <mergeCell ref="AD89:AE89"/>
    <mergeCell ref="AD45:AE45"/>
    <mergeCell ref="AB80:AC81"/>
    <mergeCell ref="AE80:AL80"/>
    <mergeCell ref="AE81:AH81"/>
    <mergeCell ref="AI81:AL81"/>
    <mergeCell ref="AD46:AE46"/>
    <mergeCell ref="AB69:AD70"/>
    <mergeCell ref="AB47:AC49"/>
    <mergeCell ref="AH70:AI70"/>
    <mergeCell ref="AD117:AE117"/>
    <mergeCell ref="AC97:AC101"/>
    <mergeCell ref="AF105:AL105"/>
    <mergeCell ref="AF106:AH106"/>
    <mergeCell ref="AJ106:AL106"/>
    <mergeCell ref="AC108:AC112"/>
    <mergeCell ref="AD115:AE115"/>
    <mergeCell ref="AD116:AE116"/>
    <mergeCell ref="C2:E2"/>
    <mergeCell ref="H9:I10"/>
    <mergeCell ref="F27:G27"/>
    <mergeCell ref="F28:G28"/>
    <mergeCell ref="U5:X5"/>
    <mergeCell ref="D18:F18"/>
    <mergeCell ref="H18:J18"/>
    <mergeCell ref="J11:K11"/>
    <mergeCell ref="F2:J3"/>
    <mergeCell ref="F4:J5"/>
    <mergeCell ref="F6:J6"/>
    <mergeCell ref="F7:J7"/>
    <mergeCell ref="H27:I27"/>
    <mergeCell ref="H25:I25"/>
    <mergeCell ref="H15:I15"/>
    <mergeCell ref="F8:J8"/>
    <mergeCell ref="U20:X20"/>
    <mergeCell ref="H32:I32"/>
    <mergeCell ref="D34:E34"/>
    <mergeCell ref="B5:B6"/>
    <mergeCell ref="D29:E29"/>
    <mergeCell ref="B27:B29"/>
    <mergeCell ref="C18:C20"/>
    <mergeCell ref="D33:E33"/>
    <mergeCell ref="D27:E27"/>
    <mergeCell ref="D28:E28"/>
    <mergeCell ref="C16:E16"/>
    <mergeCell ref="D32:E32"/>
    <mergeCell ref="C10:E10"/>
    <mergeCell ref="D25:E25"/>
  </mergeCells>
  <conditionalFormatting sqref="D15:E15">
    <cfRule type="cellIs" dxfId="65" priority="67" operator="greaterThan">
      <formula>60</formula>
    </cfRule>
    <cfRule type="cellIs" dxfId="64" priority="61" operator="lessThan">
      <formula>20</formula>
    </cfRule>
  </conditionalFormatting>
  <conditionalFormatting sqref="D34:E35 D31:E32 D37:E37">
    <cfRule type="expression" dxfId="63" priority="6">
      <formula>$D$25&lt;$V$18</formula>
    </cfRule>
  </conditionalFormatting>
  <conditionalFormatting sqref="D35:E35">
    <cfRule type="expression" dxfId="62" priority="3">
      <formula>$D$35&lt;$D$3</formula>
    </cfRule>
  </conditionalFormatting>
  <conditionalFormatting sqref="D23:F23">
    <cfRule type="containsBlanks" dxfId="61" priority="39">
      <formula>LEN(TRIM(D23))=0</formula>
    </cfRule>
  </conditionalFormatting>
  <conditionalFormatting sqref="F31 F34 F37">
    <cfRule type="expression" dxfId="60" priority="151">
      <formula>$D$25&lt;$V$18</formula>
    </cfRule>
    <cfRule type="expression" dxfId="59" priority="150">
      <formula>$AD$148&gt;0</formula>
    </cfRule>
  </conditionalFormatting>
  <conditionalFormatting sqref="H12:I12">
    <cfRule type="cellIs" dxfId="58" priority="57" operator="between">
      <formula>-20</formula>
      <formula>50</formula>
    </cfRule>
  </conditionalFormatting>
  <conditionalFormatting sqref="H13:I13">
    <cfRule type="cellIs" dxfId="57" priority="56" operator="between">
      <formula>0</formula>
      <formula>52</formula>
    </cfRule>
  </conditionalFormatting>
  <conditionalFormatting sqref="H14:I14">
    <cfRule type="cellIs" dxfId="56" priority="55" operator="between">
      <formula>-42</formula>
      <formula>50</formula>
    </cfRule>
  </conditionalFormatting>
  <conditionalFormatting sqref="H34:I35 H31:I32 H37:I37">
    <cfRule type="expression" dxfId="55" priority="4">
      <formula>$H$25&lt;$V$18</formula>
    </cfRule>
  </conditionalFormatting>
  <conditionalFormatting sqref="H35:I35">
    <cfRule type="expression" dxfId="54" priority="2">
      <formula>$H$35&lt;$D$3</formula>
    </cfRule>
  </conditionalFormatting>
  <conditionalFormatting sqref="H23:J23">
    <cfRule type="containsBlanks" dxfId="53" priority="50">
      <formula>LEN(TRIM(H23))=0</formula>
    </cfRule>
  </conditionalFormatting>
  <conditionalFormatting sqref="J12:J14">
    <cfRule type="expression" dxfId="52" priority="53">
      <formula>AY13&gt;0</formula>
    </cfRule>
  </conditionalFormatting>
  <conditionalFormatting sqref="J31 J34 J37">
    <cfRule type="expression" dxfId="51" priority="155">
      <formula>$H$25&lt;$V$18</formula>
    </cfRule>
    <cfRule type="expression" dxfId="50" priority="154">
      <formula>$AF$148&gt;0</formula>
    </cfRule>
  </conditionalFormatting>
  <conditionalFormatting sqref="M65">
    <cfRule type="cellIs" dxfId="49" priority="69" operator="greaterThan">
      <formula>0</formula>
    </cfRule>
  </conditionalFormatting>
  <conditionalFormatting sqref="AC51:AD67">
    <cfRule type="containsBlanks" dxfId="48" priority="12">
      <formula>LEN(TRIM(AC51))=0</formula>
    </cfRule>
  </conditionalFormatting>
  <conditionalFormatting sqref="AD148">
    <cfRule type="cellIs" dxfId="47" priority="38" operator="greaterThan">
      <formula>0</formula>
    </cfRule>
  </conditionalFormatting>
  <conditionalFormatting sqref="AF148">
    <cfRule type="cellIs" dxfId="46" priority="23" operator="greaterThan">
      <formula>0</formula>
    </cfRule>
  </conditionalFormatting>
  <conditionalFormatting sqref="AH50">
    <cfRule type="containsText" dxfId="45" priority="11" operator="containsText" text="Flexors">
      <formula>NOT(ISERROR(SEARCH("Flexors",AH50)))</formula>
    </cfRule>
  </conditionalFormatting>
  <conditionalFormatting sqref="AH121">
    <cfRule type="containsText" dxfId="44" priority="1" operator="containsText" text="Flexors">
      <formula>NOT(ISERROR(SEARCH("Flexors",AH121)))</formula>
    </cfRule>
  </conditionalFormatting>
  <dataValidations xWindow="701" yWindow="589" count="6">
    <dataValidation type="list" allowBlank="1" showInputMessage="1" showErrorMessage="1" sqref="D4" xr:uid="{00000000-0002-0000-0000-000006000000}">
      <formula1>$AO$42:$AO$43</formula1>
    </dataValidation>
    <dataValidation type="decimal" allowBlank="1" showInputMessage="1" showErrorMessage="1" errorTitle="Input Range Error" error="Value must range from -20 cm (left/medial) to +50 cm (right/lateral)" sqref="E12" xr:uid="{16245683-1556-D247-963B-E0801865887B}">
      <formula1>-20</formula1>
      <formula2>50</formula2>
    </dataValidation>
    <dataValidation type="decimal" allowBlank="1" showInputMessage="1" showErrorMessage="1" errorTitle="Input Range Error" error="Value must range from -50 cm (left/lateral) to +20 cm (right/medial)" sqref="D12" xr:uid="{BA1B491B-E064-9F4C-88AB-D254826F786D}">
      <formula1>-50</formula1>
      <formula2>20</formula2>
    </dataValidation>
    <dataValidation type="decimal" allowBlank="1" showInputMessage="1" showErrorMessage="1" errorTitle="1 is the minimum" sqref="H27:I27 D27:E27" xr:uid="{AB82D9CB-748D-AC4C-A5B7-3CF8C252AFEF}">
      <formula1>1</formula1>
      <formula2>99999</formula2>
    </dataValidation>
    <dataValidation type="decimal" operator="greaterThanOrEqual" allowBlank="1" showInputMessage="1" showErrorMessage="1" error="Must be &gt;= 0.1 s (100 ms)" sqref="D28:E28 H28:I28" xr:uid="{0F2F4394-FD1E-3C4A-B7D8-20BCDEB4B723}">
      <formula1>0.1</formula1>
    </dataValidation>
    <dataValidation type="decimal" allowBlank="1" showInputMessage="1" showErrorMessage="1" error="Must be between -30 (extended) to 85 (flexed)" sqref="D8" xr:uid="{4EB92BE3-E45E-9446-98BB-BBF38082D328}">
      <formula1>-30</formula1>
      <formula2>85</formula2>
    </dataValidation>
  </dataValidations>
  <printOptions horizontalCentered="1" verticalCentered="1"/>
  <pageMargins left="0.75" right="0.75" top="1" bottom="1" header="0.5" footer="0.5"/>
  <pageSetup scale="46" orientation="landscape"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9B25-6777-C74A-845D-D36E9DF321E7}">
  <sheetPr codeName="Sheet2">
    <tabColor rgb="FFE0FEB6"/>
  </sheetPr>
  <dimension ref="AQ91"/>
  <sheetViews>
    <sheetView showGridLines="0" showRowColHeaders="0" zoomScale="110" zoomScaleNormal="110" workbookViewId="0">
      <selection activeCell="U69" sqref="U69"/>
    </sheetView>
  </sheetViews>
  <sheetFormatPr baseColWidth="10" defaultRowHeight="14"/>
  <cols>
    <col min="1" max="1" width="3.83203125" customWidth="1"/>
  </cols>
  <sheetData>
    <row r="91" spans="43:43">
      <c r="AQ91" t="s">
        <v>450</v>
      </c>
    </row>
  </sheetData>
  <sheetProtection algorithmName="SHA-512" hashValue="Qq6qTeIXa6EpOPKG4sevANqfPbhutD2qfJy1L8OO45RHawBajeLqan2CJMpYjBvaqSK1QhP9nonWENzOtqeUiA==" saltValue="5VLH6fkXuYGku/Q9HbB97w==" spinCount="100000" sheet="1" objects="1" scenarios="1"/>
  <pageMargins left="0.7" right="0.7" top="0.75" bottom="0.75" header="0.3" footer="0.3"/>
  <pageSetup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8"/>
  <sheetViews>
    <sheetView showGridLines="0" zoomScale="130" zoomScaleNormal="130" zoomScalePageLayoutView="130" workbookViewId="0">
      <selection activeCell="C46" sqref="C46"/>
    </sheetView>
  </sheetViews>
  <sheetFormatPr baseColWidth="10" defaultColWidth="10.6640625" defaultRowHeight="14"/>
  <cols>
    <col min="1" max="1" width="11.5" style="2" customWidth="1"/>
    <col min="2" max="2" width="16.5" style="2" bestFit="1" customWidth="1"/>
    <col min="3" max="5" width="6.5" style="2" customWidth="1"/>
    <col min="6" max="6" width="10.1640625" style="2" customWidth="1"/>
    <col min="7" max="7" width="8.33203125" style="2" customWidth="1"/>
    <col min="8" max="8" width="5.6640625" style="2" customWidth="1"/>
    <col min="9" max="9" width="9.83203125" style="2" bestFit="1" customWidth="1"/>
    <col min="10" max="10" width="16.5" style="2" bestFit="1" customWidth="1"/>
    <col min="11" max="13" width="6.5" style="2" customWidth="1"/>
    <col min="14" max="14" width="8.1640625" style="2" customWidth="1"/>
    <col min="15" max="15" width="8.5" style="2" customWidth="1"/>
    <col min="16" max="17" width="10.6640625" style="2"/>
    <col min="18" max="20" width="6.33203125" style="2" customWidth="1"/>
    <col min="21" max="16384" width="10.6640625" style="2"/>
  </cols>
  <sheetData>
    <row r="1" spans="1:13">
      <c r="C1" s="133" t="s">
        <v>265</v>
      </c>
      <c r="D1" s="242" t="s">
        <v>266</v>
      </c>
      <c r="E1" s="242" t="s">
        <v>267</v>
      </c>
    </row>
    <row r="2" spans="1:13">
      <c r="C2" s="67" t="s">
        <v>53</v>
      </c>
      <c r="D2" s="67" t="s">
        <v>54</v>
      </c>
      <c r="E2" s="67" t="s">
        <v>55</v>
      </c>
      <c r="J2"/>
      <c r="K2"/>
      <c r="L2"/>
      <c r="M2"/>
    </row>
    <row r="3" spans="1:13">
      <c r="A3" s="591" t="s">
        <v>71</v>
      </c>
      <c r="B3" s="81" t="s">
        <v>89</v>
      </c>
      <c r="C3" s="109">
        <f>'Input Data'!V22/100</f>
        <v>0.37040000000000001</v>
      </c>
      <c r="D3" s="109">
        <f>'Input Data'!W22/100</f>
        <v>0.63122607882925275</v>
      </c>
      <c r="E3" s="109">
        <f>'Input Data'!X22/100</f>
        <v>1.31439338311597</v>
      </c>
      <c r="J3"/>
      <c r="K3"/>
      <c r="L3"/>
      <c r="M3"/>
    </row>
    <row r="4" spans="1:13">
      <c r="A4" s="591"/>
      <c r="B4" s="94" t="s">
        <v>63</v>
      </c>
      <c r="C4" s="287" t="str">
        <f>IF('Input Data'!V8="","",'Input Data'!V8)</f>
        <v/>
      </c>
      <c r="D4" s="287" t="str">
        <f>IF('Input Data'!W8="","",'Input Data'!W8)</f>
        <v/>
      </c>
      <c r="E4" s="287" t="str">
        <f>IF('Input Data'!X8="","",'Input Data'!X8)</f>
        <v/>
      </c>
      <c r="F4" s="287" t="str">
        <f>IF(C4="","",C4^2+D4^2+E4^2)</f>
        <v/>
      </c>
      <c r="J4"/>
      <c r="K4"/>
      <c r="L4"/>
      <c r="M4"/>
    </row>
    <row r="5" spans="1:13">
      <c r="A5" s="591"/>
      <c r="B5" s="94" t="s">
        <v>61</v>
      </c>
      <c r="C5" s="287" t="str">
        <f>IF('Input Data'!V9="","",'Input Data'!V9)</f>
        <v/>
      </c>
      <c r="D5" s="287" t="str">
        <f>IF('Input Data'!W9="","",'Input Data'!W9)</f>
        <v/>
      </c>
      <c r="E5" s="287" t="str">
        <f>IF('Input Data'!X9="","",'Input Data'!X9)</f>
        <v/>
      </c>
      <c r="F5" s="287" t="str">
        <f>IF(C5="","",C5^2+D5^2+E5^2)</f>
        <v/>
      </c>
      <c r="J5"/>
      <c r="K5"/>
      <c r="L5"/>
      <c r="M5"/>
    </row>
    <row r="6" spans="1:13">
      <c r="A6" s="591"/>
      <c r="B6" s="81" t="s">
        <v>59</v>
      </c>
      <c r="C6" s="109">
        <f>'Input Data'!V25/100</f>
        <v>0.1704</v>
      </c>
      <c r="D6" s="109">
        <f>'Input Data'!W25/100</f>
        <v>0.23122607882925283</v>
      </c>
      <c r="E6" s="109">
        <f>'Input Data'!X25/100</f>
        <v>1.2143933831159701</v>
      </c>
      <c r="J6"/>
      <c r="K6"/>
      <c r="L6"/>
      <c r="M6"/>
    </row>
    <row r="7" spans="1:13">
      <c r="C7" s="108"/>
      <c r="D7" s="108"/>
      <c r="E7" s="108"/>
      <c r="J7"/>
      <c r="K7"/>
      <c r="L7"/>
      <c r="M7"/>
    </row>
    <row r="8" spans="1:13">
      <c r="A8" s="592" t="s">
        <v>72</v>
      </c>
      <c r="B8" s="82" t="s">
        <v>89</v>
      </c>
      <c r="C8" s="110">
        <f>'Input Data'!V7/100</f>
        <v>-0.32040000000000002</v>
      </c>
      <c r="D8" s="110">
        <f>'Input Data'!W7/100</f>
        <v>0.43122607882925279</v>
      </c>
      <c r="E8" s="110">
        <f>'Input Data'!X7/100</f>
        <v>0.71439338311597012</v>
      </c>
      <c r="J8"/>
      <c r="K8"/>
      <c r="L8"/>
      <c r="M8"/>
    </row>
    <row r="9" spans="1:13">
      <c r="A9" s="592"/>
      <c r="B9" s="94" t="s">
        <v>63</v>
      </c>
      <c r="C9" s="287" t="str">
        <f>IF('Input Data'!V23="","",'Input Data'!V23)</f>
        <v/>
      </c>
      <c r="D9" s="287" t="str">
        <f>IF('Input Data'!W23="","",'Input Data'!W23)</f>
        <v/>
      </c>
      <c r="E9" s="287" t="str">
        <f>IF('Input Data'!X23="","",'Input Data'!X23)</f>
        <v/>
      </c>
      <c r="F9" s="287" t="str">
        <f>IF(C9="","",C9^2+D9^2+E9^2)</f>
        <v/>
      </c>
      <c r="J9"/>
      <c r="K9"/>
      <c r="L9"/>
      <c r="M9"/>
    </row>
    <row r="10" spans="1:13">
      <c r="A10" s="592"/>
      <c r="B10" s="94" t="s">
        <v>61</v>
      </c>
      <c r="C10" s="287" t="str">
        <f>IF('Input Data'!V24="","",'Input Data'!V24)</f>
        <v/>
      </c>
      <c r="D10" s="287" t="str">
        <f>IF('Input Data'!W24="","",'Input Data'!W24)</f>
        <v/>
      </c>
      <c r="E10" s="287" t="str">
        <f>IF('Input Data'!X24="","",'Input Data'!X24)</f>
        <v/>
      </c>
      <c r="F10" s="287" t="str">
        <f>IF(C10="","",C10^2+D10^2+E10^2)</f>
        <v/>
      </c>
      <c r="J10"/>
      <c r="K10"/>
      <c r="L10"/>
      <c r="M10"/>
    </row>
    <row r="11" spans="1:13">
      <c r="A11" s="592"/>
      <c r="B11" s="82" t="s">
        <v>59</v>
      </c>
      <c r="C11" s="110">
        <f>'Input Data'!V10/100</f>
        <v>-0.1704</v>
      </c>
      <c r="D11" s="110">
        <f>'Input Data'!W10/100</f>
        <v>0.23122607882925283</v>
      </c>
      <c r="E11" s="110">
        <f>'Input Data'!X10/100</f>
        <v>1.2143933831159701</v>
      </c>
      <c r="J11"/>
      <c r="K11"/>
      <c r="L11"/>
      <c r="M11"/>
    </row>
    <row r="12" spans="1:13">
      <c r="C12" s="108"/>
      <c r="D12" s="108"/>
      <c r="E12" s="108"/>
    </row>
    <row r="13" spans="1:13">
      <c r="B13" s="24" t="s">
        <v>67</v>
      </c>
      <c r="C13" s="111">
        <f>'Input Data'!V12/100</f>
        <v>0</v>
      </c>
      <c r="D13" s="111">
        <f>'Input Data'!W12/100</f>
        <v>0.23459276246757785</v>
      </c>
      <c r="E13" s="111">
        <f>'Input Data'!X12/100</f>
        <v>1.2706331861141977</v>
      </c>
      <c r="K13" s="108"/>
      <c r="L13" s="108"/>
      <c r="M13" s="108"/>
    </row>
    <row r="14" spans="1:13">
      <c r="B14" s="24" t="s">
        <v>68</v>
      </c>
      <c r="C14" s="111">
        <f>'Input Data'!V14/100</f>
        <v>0</v>
      </c>
      <c r="D14" s="111">
        <f>'Input Data'!W14/100</f>
        <v>0</v>
      </c>
      <c r="E14" s="111">
        <f>'Input Data'!X14/100</f>
        <v>0.93559999999999999</v>
      </c>
      <c r="K14" s="108"/>
      <c r="L14" s="108"/>
      <c r="M14" s="108"/>
    </row>
    <row r="15" spans="1:13">
      <c r="C15" s="77"/>
      <c r="D15" s="77"/>
      <c r="E15" s="77"/>
    </row>
    <row r="17" spans="1:15">
      <c r="A17" s="599" t="s">
        <v>259</v>
      </c>
      <c r="B17" s="604" t="s">
        <v>74</v>
      </c>
      <c r="C17" s="605"/>
      <c r="D17" s="605"/>
      <c r="E17" s="606"/>
      <c r="I17" s="599" t="s">
        <v>259</v>
      </c>
      <c r="J17" s="595" t="s">
        <v>73</v>
      </c>
      <c r="K17" s="596"/>
      <c r="L17" s="596"/>
      <c r="M17" s="597"/>
    </row>
    <row r="18" spans="1:15">
      <c r="A18" s="600"/>
      <c r="B18" s="68" t="s">
        <v>186</v>
      </c>
      <c r="C18" s="73">
        <f>C6-C11</f>
        <v>0.34079999999999999</v>
      </c>
      <c r="D18" s="73">
        <f t="shared" ref="D18:E18" si="0">D6-D11</f>
        <v>0</v>
      </c>
      <c r="E18" s="73">
        <f t="shared" si="0"/>
        <v>0</v>
      </c>
      <c r="F18" s="78">
        <f>(C18^2+D18^2+E18^2)^0.5</f>
        <v>0.34079999999999999</v>
      </c>
      <c r="I18" s="600"/>
      <c r="J18" s="68" t="s">
        <v>186</v>
      </c>
      <c r="K18" s="73">
        <f>C6-C11</f>
        <v>0.34079999999999999</v>
      </c>
      <c r="L18" s="73">
        <f t="shared" ref="L18:M18" si="1">D6-D11</f>
        <v>0</v>
      </c>
      <c r="M18" s="73">
        <f t="shared" si="1"/>
        <v>0</v>
      </c>
      <c r="N18" s="78">
        <f>(K18^2+L18^2+M18^2)^0.5</f>
        <v>0.34079999999999999</v>
      </c>
    </row>
    <row r="19" spans="1:15">
      <c r="A19" s="76" t="s">
        <v>179</v>
      </c>
      <c r="B19" s="69" t="s">
        <v>180</v>
      </c>
      <c r="C19" s="70">
        <f>C18/$F18</f>
        <v>1</v>
      </c>
      <c r="D19" s="70">
        <f t="shared" ref="D19:E19" si="2">D18/$F18</f>
        <v>0</v>
      </c>
      <c r="E19" s="70">
        <f t="shared" si="2"/>
        <v>0</v>
      </c>
      <c r="F19" s="271">
        <f t="shared" ref="F19" si="3">(C19^2+D19^2+E19^2)^0.5</f>
        <v>1</v>
      </c>
      <c r="I19" s="76" t="s">
        <v>179</v>
      </c>
      <c r="J19" s="69" t="s">
        <v>180</v>
      </c>
      <c r="K19" s="70">
        <f>K18/$N18</f>
        <v>1</v>
      </c>
      <c r="L19" s="70">
        <f t="shared" ref="L19:M19" si="4">L18/$N18</f>
        <v>0</v>
      </c>
      <c r="M19" s="70">
        <f t="shared" si="4"/>
        <v>0</v>
      </c>
      <c r="N19" s="271">
        <f t="shared" ref="N19" si="5">(K19^2+L19^2+M19^2)^0.5</f>
        <v>1</v>
      </c>
    </row>
    <row r="20" spans="1:15">
      <c r="A20" s="19"/>
      <c r="B20" s="71" t="s">
        <v>181</v>
      </c>
      <c r="C20" s="73">
        <f>C13-C14</f>
        <v>0</v>
      </c>
      <c r="D20" s="73">
        <f t="shared" ref="D20:E20" si="6">D13-D14</f>
        <v>0.23459276246757785</v>
      </c>
      <c r="E20" s="73">
        <f t="shared" si="6"/>
        <v>0.33503318611419775</v>
      </c>
      <c r="F20" s="78">
        <f>(C20^2+D20^2+E20^2)^0.5</f>
        <v>0.40900000000000009</v>
      </c>
      <c r="I20" s="19"/>
      <c r="J20" s="71" t="s">
        <v>181</v>
      </c>
      <c r="K20" s="73">
        <f>C13-C14</f>
        <v>0</v>
      </c>
      <c r="L20" s="73">
        <f t="shared" ref="L20:M20" si="7">D13-D14</f>
        <v>0.23459276246757785</v>
      </c>
      <c r="M20" s="73">
        <f t="shared" si="7"/>
        <v>0.33503318611419775</v>
      </c>
      <c r="N20" s="78">
        <f>(K20^2+L20^2+M20^2)^0.5</f>
        <v>0.40900000000000009</v>
      </c>
    </row>
    <row r="21" spans="1:15">
      <c r="A21" s="72"/>
      <c r="B21" s="71" t="s">
        <v>182</v>
      </c>
      <c r="C21" s="73">
        <f>C20/$F20</f>
        <v>0</v>
      </c>
      <c r="D21" s="73">
        <f t="shared" ref="D21:E21" si="8">D20/$F20</f>
        <v>0.57357643635104594</v>
      </c>
      <c r="E21" s="73">
        <f t="shared" si="8"/>
        <v>0.81915204428899191</v>
      </c>
      <c r="F21" s="271">
        <f>(C21^2+D21^2+E21^2)^0.5</f>
        <v>1</v>
      </c>
      <c r="I21" s="72"/>
      <c r="J21" s="71" t="s">
        <v>182</v>
      </c>
      <c r="K21" s="73">
        <f>K20/$N20</f>
        <v>0</v>
      </c>
      <c r="L21" s="73">
        <f t="shared" ref="L21:M21" si="9">L20/$N20</f>
        <v>0.57357643635104594</v>
      </c>
      <c r="M21" s="73">
        <f t="shared" si="9"/>
        <v>0.81915204428899191</v>
      </c>
      <c r="N21" s="271">
        <f>(K21^2+L21^2+M21^2)^0.5</f>
        <v>1</v>
      </c>
    </row>
    <row r="22" spans="1:15">
      <c r="A22" s="607" t="s">
        <v>79</v>
      </c>
      <c r="B22" s="71" t="s">
        <v>183</v>
      </c>
      <c r="C22" s="73">
        <f>D21*E19-E21*D19</f>
        <v>0</v>
      </c>
      <c r="D22" s="73">
        <f>(E21*C19-C21*E19)</f>
        <v>0.81915204428899191</v>
      </c>
      <c r="E22" s="73">
        <f>C21*D19-D21*C19</f>
        <v>-0.57357643635104594</v>
      </c>
      <c r="F22" s="79">
        <f t="shared" ref="F22" si="10">(C22^2+D22^2+E22^2)^0.5</f>
        <v>1</v>
      </c>
      <c r="I22" s="607" t="s">
        <v>79</v>
      </c>
      <c r="J22" s="71" t="s">
        <v>183</v>
      </c>
      <c r="K22" s="73">
        <f>L21*M19-M21*L19</f>
        <v>0</v>
      </c>
      <c r="L22" s="73">
        <f>(M21*K19-K21*M19)</f>
        <v>0.81915204428899191</v>
      </c>
      <c r="M22" s="73">
        <f>K21*L19-L21*K19</f>
        <v>-0.57357643635104594</v>
      </c>
      <c r="N22" s="79">
        <f t="shared" ref="N22:N24" si="11">(K22^2+L22^2+M22^2)^0.5</f>
        <v>1</v>
      </c>
    </row>
    <row r="23" spans="1:15">
      <c r="A23" s="608"/>
      <c r="B23" s="74" t="s">
        <v>184</v>
      </c>
      <c r="C23" s="75">
        <f>C22/$N22</f>
        <v>0</v>
      </c>
      <c r="D23" s="75">
        <f t="shared" ref="D23" si="12">D22/$N22</f>
        <v>0.81915204428899191</v>
      </c>
      <c r="E23" s="75">
        <f t="shared" ref="E23" si="13">E22/$N22</f>
        <v>-0.57357643635104594</v>
      </c>
      <c r="F23" s="271">
        <f>(C23^2+D23^2+E23^2)^0.5</f>
        <v>1</v>
      </c>
      <c r="I23" s="608"/>
      <c r="J23" s="74" t="s">
        <v>184</v>
      </c>
      <c r="K23" s="75">
        <f>K22/$N22</f>
        <v>0</v>
      </c>
      <c r="L23" s="75">
        <f t="shared" ref="L23:M23" si="14">L22/$N22</f>
        <v>0.81915204428899191</v>
      </c>
      <c r="M23" s="75">
        <f t="shared" si="14"/>
        <v>-0.57357643635104594</v>
      </c>
      <c r="N23" s="271">
        <f>(K23^2+L23^2+M23^2)^0.5</f>
        <v>1</v>
      </c>
    </row>
    <row r="24" spans="1:15">
      <c r="A24" s="76" t="s">
        <v>78</v>
      </c>
      <c r="B24" s="74" t="s">
        <v>185</v>
      </c>
      <c r="C24" s="75">
        <f>(D19*E23-E19*D23)</f>
        <v>0</v>
      </c>
      <c r="D24" s="75">
        <f>E19*C23-C19*E23</f>
        <v>0.57357643635104594</v>
      </c>
      <c r="E24" s="75">
        <f>+C19*D23-D19*C23</f>
        <v>0.81915204428899191</v>
      </c>
      <c r="F24" s="271">
        <f t="shared" ref="F24" si="15">(C24^2+D24^2+E24^2)^0.5</f>
        <v>1</v>
      </c>
      <c r="I24" s="76" t="s">
        <v>78</v>
      </c>
      <c r="J24" s="74" t="s">
        <v>185</v>
      </c>
      <c r="K24" s="75">
        <f>(L19*M23-M19*L23)</f>
        <v>0</v>
      </c>
      <c r="L24" s="75">
        <f>M19*K23-K19*M23</f>
        <v>0.57357643635104594</v>
      </c>
      <c r="M24" s="75">
        <f>+K19*L23-L19*K23</f>
        <v>0.81915204428899191</v>
      </c>
      <c r="N24" s="271">
        <f t="shared" si="11"/>
        <v>1</v>
      </c>
    </row>
    <row r="25" spans="1:15">
      <c r="A25" s="80"/>
      <c r="B25" s="80"/>
      <c r="C25" s="80"/>
      <c r="D25" s="80"/>
      <c r="E25" s="80"/>
      <c r="F25" s="80"/>
      <c r="G25" s="80"/>
      <c r="I25" s="80"/>
      <c r="J25" s="80"/>
      <c r="K25" s="80"/>
      <c r="L25" s="80"/>
      <c r="M25" s="80"/>
      <c r="N25" s="80"/>
      <c r="O25" s="80"/>
    </row>
    <row r="26" spans="1:15">
      <c r="A26" s="593" t="s">
        <v>75</v>
      </c>
      <c r="B26" s="594"/>
      <c r="C26" s="110">
        <f>C8-C11</f>
        <v>-0.15000000000000002</v>
      </c>
      <c r="D26" s="110">
        <f t="shared" ref="D26:E26" si="16">D8-D11</f>
        <v>0.19999999999999996</v>
      </c>
      <c r="E26" s="110">
        <f t="shared" si="16"/>
        <v>-0.5</v>
      </c>
      <c r="J26" s="126" t="s">
        <v>168</v>
      </c>
      <c r="K26" s="109">
        <f>C3-C6</f>
        <v>0.2</v>
      </c>
      <c r="L26" s="109">
        <f t="shared" ref="L26:M26" si="17">D3-D6</f>
        <v>0.39999999999999991</v>
      </c>
      <c r="M26" s="109">
        <f t="shared" si="17"/>
        <v>9.9999999999999867E-2</v>
      </c>
    </row>
    <row r="27" spans="1:15" ht="16">
      <c r="A27" s="598" t="s">
        <v>9</v>
      </c>
      <c r="B27" s="84" t="s">
        <v>69</v>
      </c>
      <c r="C27" s="601" t="s">
        <v>70</v>
      </c>
      <c r="D27" s="602"/>
      <c r="E27" s="603"/>
      <c r="F27" s="293" t="s">
        <v>76</v>
      </c>
      <c r="J27" s="83" t="s">
        <v>69</v>
      </c>
      <c r="K27" s="601" t="s">
        <v>70</v>
      </c>
      <c r="L27" s="602"/>
      <c r="M27" s="603"/>
      <c r="N27" s="296" t="s">
        <v>77</v>
      </c>
    </row>
    <row r="28" spans="1:15">
      <c r="A28" s="598"/>
      <c r="B28" s="289">
        <f>C26</f>
        <v>-0.15000000000000002</v>
      </c>
      <c r="C28" s="70">
        <f>C23</f>
        <v>0</v>
      </c>
      <c r="D28" s="70">
        <f t="shared" ref="D28:E28" si="18">D23</f>
        <v>0.81915204428899191</v>
      </c>
      <c r="E28" s="70">
        <f t="shared" si="18"/>
        <v>-0.57357643635104594</v>
      </c>
      <c r="F28" s="294">
        <f>B28*C28+B29*D28+B30*E28</f>
        <v>0.45061862703332134</v>
      </c>
      <c r="G28" s="85" t="s">
        <v>79</v>
      </c>
      <c r="J28" s="112">
        <f>K26</f>
        <v>0.2</v>
      </c>
      <c r="K28" s="70">
        <f>K23</f>
        <v>0</v>
      </c>
      <c r="L28" s="70">
        <f t="shared" ref="L28:M28" si="19">L23</f>
        <v>0.81915204428899191</v>
      </c>
      <c r="M28" s="70">
        <f t="shared" si="19"/>
        <v>-0.57357643635104594</v>
      </c>
      <c r="N28" s="297">
        <f>J28*K28+J29*L28+J30*M28</f>
        <v>0.27030317408049215</v>
      </c>
      <c r="O28" s="85" t="s">
        <v>79</v>
      </c>
    </row>
    <row r="29" spans="1:15">
      <c r="A29" s="598"/>
      <c r="B29" s="289">
        <f>D26</f>
        <v>0.19999999999999996</v>
      </c>
      <c r="C29" s="70">
        <f>C24</f>
        <v>0</v>
      </c>
      <c r="D29" s="70">
        <f t="shared" ref="D29:E29" si="20">D24</f>
        <v>0.57357643635104594</v>
      </c>
      <c r="E29" s="70">
        <f t="shared" si="20"/>
        <v>0.81915204428899191</v>
      </c>
      <c r="F29" s="294">
        <f>B28*C29+B29*D29+B30*E29</f>
        <v>-0.29486073487428677</v>
      </c>
      <c r="G29" s="85" t="s">
        <v>232</v>
      </c>
      <c r="J29" s="113">
        <f>L26</f>
        <v>0.39999999999999991</v>
      </c>
      <c r="K29" s="70">
        <f>K24</f>
        <v>0</v>
      </c>
      <c r="L29" s="70">
        <f t="shared" ref="L29:M29" si="21">L24</f>
        <v>0.57357643635104594</v>
      </c>
      <c r="M29" s="70">
        <f t="shared" si="21"/>
        <v>0.81915204428899191</v>
      </c>
      <c r="N29" s="297">
        <f>J28*K29+J29*L29+J30*M29</f>
        <v>0.31134577896931742</v>
      </c>
      <c r="O29" s="85" t="s">
        <v>232</v>
      </c>
    </row>
    <row r="30" spans="1:15">
      <c r="A30" s="598"/>
      <c r="B30" s="289">
        <f>E26</f>
        <v>-0.5</v>
      </c>
      <c r="C30" s="70">
        <f>C19</f>
        <v>1</v>
      </c>
      <c r="D30" s="70">
        <f t="shared" ref="D30:E30" si="22">D19</f>
        <v>0</v>
      </c>
      <c r="E30" s="70">
        <f t="shared" si="22"/>
        <v>0</v>
      </c>
      <c r="F30" s="294">
        <f>(B28*C30+B29*D30+B30*E30) *H30</f>
        <v>0.15000000000000002</v>
      </c>
      <c r="G30" s="86" t="s">
        <v>187</v>
      </c>
      <c r="H30" s="88">
        <v>-1</v>
      </c>
      <c r="J30" s="114">
        <f>M26</f>
        <v>9.9999999999999867E-2</v>
      </c>
      <c r="K30" s="70">
        <f>K19</f>
        <v>1</v>
      </c>
      <c r="L30" s="70">
        <f t="shared" ref="L30:M30" si="23">L19</f>
        <v>0</v>
      </c>
      <c r="M30" s="70">
        <f t="shared" si="23"/>
        <v>0</v>
      </c>
      <c r="N30" s="297">
        <f>J28*K30+J29*L30+J30*M30</f>
        <v>0.2</v>
      </c>
      <c r="O30" s="86" t="s">
        <v>177</v>
      </c>
    </row>
    <row r="31" spans="1:15">
      <c r="F31" s="291" t="s">
        <v>88</v>
      </c>
      <c r="N31" s="80"/>
    </row>
    <row r="32" spans="1:15">
      <c r="A32" s="593" t="s">
        <v>167</v>
      </c>
      <c r="B32" s="594"/>
      <c r="C32" s="287" t="str">
        <f>IF(C9="","",C9-C11)</f>
        <v/>
      </c>
      <c r="D32" s="287" t="str">
        <f t="shared" ref="D32:E32" si="24">IF(D9="","",D9-D11)</f>
        <v/>
      </c>
      <c r="E32" s="287" t="str">
        <f t="shared" si="24"/>
        <v/>
      </c>
      <c r="F32" s="80"/>
      <c r="J32" s="126" t="s">
        <v>169</v>
      </c>
      <c r="K32" s="287" t="str">
        <f>IF(C4="","",C4-C6)</f>
        <v/>
      </c>
      <c r="L32" s="287" t="str">
        <f t="shared" ref="L32:M32" si="25">IF(D4="","",D4-D6)</f>
        <v/>
      </c>
      <c r="M32" s="287" t="str">
        <f t="shared" si="25"/>
        <v/>
      </c>
      <c r="N32" s="80"/>
    </row>
    <row r="33" spans="1:15" ht="16">
      <c r="A33" s="598" t="s">
        <v>63</v>
      </c>
      <c r="B33" s="84" t="s">
        <v>161</v>
      </c>
      <c r="C33" s="601" t="s">
        <v>70</v>
      </c>
      <c r="D33" s="602"/>
      <c r="E33" s="603"/>
      <c r="F33" s="293" t="s">
        <v>163</v>
      </c>
      <c r="J33" s="83" t="s">
        <v>161</v>
      </c>
      <c r="K33" s="601" t="s">
        <v>70</v>
      </c>
      <c r="L33" s="602"/>
      <c r="M33" s="603"/>
      <c r="N33" s="296" t="s">
        <v>165</v>
      </c>
    </row>
    <row r="34" spans="1:15">
      <c r="A34" s="598"/>
      <c r="B34" s="287" t="str">
        <f>C32</f>
        <v/>
      </c>
      <c r="C34" s="288">
        <f>C28</f>
        <v>0</v>
      </c>
      <c r="D34" s="288">
        <f t="shared" ref="D34:E34" si="26">D28</f>
        <v>0.81915204428899191</v>
      </c>
      <c r="E34" s="288">
        <f t="shared" si="26"/>
        <v>-0.57357643635104594</v>
      </c>
      <c r="F34" s="292" t="str">
        <f>IF(B34="", "", B34*C34+B35*D34+B36*E34)</f>
        <v/>
      </c>
      <c r="G34" s="85" t="s">
        <v>79</v>
      </c>
      <c r="J34" s="287" t="str">
        <f>K32</f>
        <v/>
      </c>
      <c r="K34" s="288">
        <f>K28</f>
        <v>0</v>
      </c>
      <c r="L34" s="288">
        <f t="shared" ref="L34:M34" si="27">L28</f>
        <v>0.81915204428899191</v>
      </c>
      <c r="M34" s="288">
        <f t="shared" si="27"/>
        <v>-0.57357643635104594</v>
      </c>
      <c r="N34" s="292" t="str">
        <f>IF(J34="", "", J34*K34+J35*L34+J36*M34)</f>
        <v/>
      </c>
      <c r="O34" s="85" t="s">
        <v>79</v>
      </c>
    </row>
    <row r="35" spans="1:15">
      <c r="A35" s="598"/>
      <c r="B35" s="287" t="str">
        <f>D32</f>
        <v/>
      </c>
      <c r="C35" s="288">
        <f t="shared" ref="C35:E36" si="28">C29</f>
        <v>0</v>
      </c>
      <c r="D35" s="288">
        <f t="shared" si="28"/>
        <v>0.57357643635104594</v>
      </c>
      <c r="E35" s="288">
        <f t="shared" si="28"/>
        <v>0.81915204428899191</v>
      </c>
      <c r="F35" s="292" t="str">
        <f t="shared" ref="F35:F36" si="29">IF(B35="", "", B35*C35+B36*D35+B37*E35)</f>
        <v/>
      </c>
      <c r="G35" s="85" t="s">
        <v>232</v>
      </c>
      <c r="J35" s="287" t="str">
        <f>L32</f>
        <v/>
      </c>
      <c r="K35" s="288">
        <f t="shared" ref="K35:M35" si="30">K29</f>
        <v>0</v>
      </c>
      <c r="L35" s="288">
        <f t="shared" si="30"/>
        <v>0.57357643635104594</v>
      </c>
      <c r="M35" s="288">
        <f t="shared" si="30"/>
        <v>0.81915204428899191</v>
      </c>
      <c r="N35" s="292" t="str">
        <f t="shared" ref="N35:N36" si="31">IF(J35="", "", J35*K35+J36*L35+J37*M35)</f>
        <v/>
      </c>
      <c r="O35" s="85" t="s">
        <v>232</v>
      </c>
    </row>
    <row r="36" spans="1:15">
      <c r="A36" s="598"/>
      <c r="B36" s="287" t="str">
        <f>E32</f>
        <v/>
      </c>
      <c r="C36" s="288">
        <f t="shared" si="28"/>
        <v>1</v>
      </c>
      <c r="D36" s="288">
        <f t="shared" si="28"/>
        <v>0</v>
      </c>
      <c r="E36" s="288">
        <f t="shared" si="28"/>
        <v>0</v>
      </c>
      <c r="F36" s="292" t="str">
        <f t="shared" si="29"/>
        <v/>
      </c>
      <c r="G36" s="86" t="s">
        <v>187</v>
      </c>
      <c r="H36" s="88">
        <v>-1</v>
      </c>
      <c r="J36" s="287" t="str">
        <f>M32</f>
        <v/>
      </c>
      <c r="K36" s="288">
        <f t="shared" ref="K36:M36" si="32">K30</f>
        <v>1</v>
      </c>
      <c r="L36" s="288">
        <f t="shared" si="32"/>
        <v>0</v>
      </c>
      <c r="M36" s="288">
        <f t="shared" si="32"/>
        <v>0</v>
      </c>
      <c r="N36" s="292" t="str">
        <f t="shared" si="31"/>
        <v/>
      </c>
      <c r="O36" s="86" t="s">
        <v>177</v>
      </c>
    </row>
    <row r="37" spans="1:15">
      <c r="F37" s="291" t="s">
        <v>88</v>
      </c>
      <c r="N37" s="80"/>
    </row>
    <row r="38" spans="1:15">
      <c r="A38" s="593" t="s">
        <v>166</v>
      </c>
      <c r="B38" s="594"/>
      <c r="C38" s="287" t="str">
        <f>IF(C10="","",C10-C11)</f>
        <v/>
      </c>
      <c r="D38" s="287" t="str">
        <f t="shared" ref="D38:E38" si="33">IF(D10="","",D10-D11)</f>
        <v/>
      </c>
      <c r="E38" s="287" t="str">
        <f t="shared" si="33"/>
        <v/>
      </c>
      <c r="F38" s="80"/>
      <c r="J38" s="126" t="s">
        <v>170</v>
      </c>
      <c r="K38" s="287" t="str">
        <f>IF(C5="","",C5-C6)</f>
        <v/>
      </c>
      <c r="L38" s="287" t="str">
        <f t="shared" ref="L38:M38" si="34">IF(D5="","",D5-D6)</f>
        <v/>
      </c>
      <c r="M38" s="287" t="str">
        <f t="shared" si="34"/>
        <v/>
      </c>
      <c r="N38" s="80"/>
    </row>
    <row r="39" spans="1:15" ht="16">
      <c r="A39" s="598" t="s">
        <v>61</v>
      </c>
      <c r="B39" s="84" t="s">
        <v>162</v>
      </c>
      <c r="C39" s="601" t="s">
        <v>70</v>
      </c>
      <c r="D39" s="602"/>
      <c r="E39" s="603"/>
      <c r="F39" s="293" t="s">
        <v>164</v>
      </c>
      <c r="J39" s="83" t="s">
        <v>162</v>
      </c>
      <c r="K39" s="601" t="s">
        <v>70</v>
      </c>
      <c r="L39" s="602"/>
      <c r="M39" s="603"/>
      <c r="N39" s="296" t="s">
        <v>165</v>
      </c>
    </row>
    <row r="40" spans="1:15">
      <c r="A40" s="598"/>
      <c r="B40" s="287" t="str">
        <f>C38</f>
        <v/>
      </c>
      <c r="C40" s="288">
        <f>C28</f>
        <v>0</v>
      </c>
      <c r="D40" s="288">
        <f t="shared" ref="D40:E40" si="35">D28</f>
        <v>0.81915204428899191</v>
      </c>
      <c r="E40" s="288">
        <f t="shared" si="35"/>
        <v>-0.57357643635104594</v>
      </c>
      <c r="F40" s="292" t="str">
        <f>IF(B40="", "", B40*C40+B41*D40+B42*E40)</f>
        <v/>
      </c>
      <c r="G40" s="85" t="s">
        <v>79</v>
      </c>
      <c r="J40" s="287" t="str">
        <f>K38</f>
        <v/>
      </c>
      <c r="K40" s="288">
        <f>K28</f>
        <v>0</v>
      </c>
      <c r="L40" s="288">
        <f t="shared" ref="L40:M40" si="36">L28</f>
        <v>0.81915204428899191</v>
      </c>
      <c r="M40" s="288">
        <f t="shared" si="36"/>
        <v>-0.57357643635104594</v>
      </c>
      <c r="N40" s="292" t="str">
        <f>IF(J40="", "", J40*K40+J41*L40+J42*M40)</f>
        <v/>
      </c>
      <c r="O40" s="85" t="s">
        <v>79</v>
      </c>
    </row>
    <row r="41" spans="1:15">
      <c r="A41" s="598"/>
      <c r="B41" s="287" t="str">
        <f>D38</f>
        <v/>
      </c>
      <c r="C41" s="288">
        <f t="shared" ref="C41:E42" si="37">C29</f>
        <v>0</v>
      </c>
      <c r="D41" s="288">
        <f t="shared" si="37"/>
        <v>0.57357643635104594</v>
      </c>
      <c r="E41" s="288">
        <f t="shared" si="37"/>
        <v>0.81915204428899191</v>
      </c>
      <c r="F41" s="292" t="str">
        <f t="shared" ref="F41:F42" si="38">IF(B41="", "", B41*C41+B42*D41+B43*E41)</f>
        <v/>
      </c>
      <c r="G41" s="85" t="s">
        <v>232</v>
      </c>
      <c r="J41" s="287" t="str">
        <f>L38</f>
        <v/>
      </c>
      <c r="K41" s="288">
        <f t="shared" ref="K41:M41" si="39">K29</f>
        <v>0</v>
      </c>
      <c r="L41" s="288">
        <f t="shared" si="39"/>
        <v>0.57357643635104594</v>
      </c>
      <c r="M41" s="288">
        <f t="shared" si="39"/>
        <v>0.81915204428899191</v>
      </c>
      <c r="N41" s="292" t="str">
        <f t="shared" ref="N41:N42" si="40">IF(J41="", "", J41*K41+J42*L41+J43*M41)</f>
        <v/>
      </c>
      <c r="O41" s="85" t="s">
        <v>232</v>
      </c>
    </row>
    <row r="42" spans="1:15">
      <c r="A42" s="598"/>
      <c r="B42" s="287" t="str">
        <f>E38</f>
        <v/>
      </c>
      <c r="C42" s="288">
        <f t="shared" si="37"/>
        <v>1</v>
      </c>
      <c r="D42" s="288">
        <f t="shared" si="37"/>
        <v>0</v>
      </c>
      <c r="E42" s="288">
        <f t="shared" si="37"/>
        <v>0</v>
      </c>
      <c r="F42" s="292" t="str">
        <f t="shared" si="38"/>
        <v/>
      </c>
      <c r="G42" s="86" t="s">
        <v>187</v>
      </c>
      <c r="H42" s="88">
        <v>-1</v>
      </c>
      <c r="J42" s="287" t="str">
        <f>M38</f>
        <v/>
      </c>
      <c r="K42" s="288">
        <f t="shared" ref="K42:M42" si="41">K30</f>
        <v>1</v>
      </c>
      <c r="L42" s="288">
        <f t="shared" si="41"/>
        <v>0</v>
      </c>
      <c r="M42" s="288">
        <f t="shared" si="41"/>
        <v>0</v>
      </c>
      <c r="N42" s="292" t="str">
        <f t="shared" si="40"/>
        <v/>
      </c>
      <c r="O42" s="86" t="s">
        <v>177</v>
      </c>
    </row>
    <row r="43" spans="1:15">
      <c r="F43" s="87" t="s">
        <v>88</v>
      </c>
    </row>
    <row r="44" spans="1:15">
      <c r="C44" s="247" t="s">
        <v>260</v>
      </c>
      <c r="D44" s="247" t="s">
        <v>78</v>
      </c>
      <c r="E44" s="247" t="s">
        <v>261</v>
      </c>
      <c r="K44" s="247" t="s">
        <v>260</v>
      </c>
      <c r="L44" s="247" t="s">
        <v>78</v>
      </c>
      <c r="M44" s="247" t="s">
        <v>261</v>
      </c>
    </row>
    <row r="45" spans="1:15">
      <c r="A45" s="546" t="s">
        <v>171</v>
      </c>
      <c r="C45" s="127" t="s">
        <v>53</v>
      </c>
      <c r="D45" s="127" t="s">
        <v>54</v>
      </c>
      <c r="E45" s="127" t="s">
        <v>55</v>
      </c>
      <c r="K45" s="128" t="s">
        <v>53</v>
      </c>
      <c r="L45" s="128" t="s">
        <v>54</v>
      </c>
      <c r="M45" s="128" t="s">
        <v>55</v>
      </c>
    </row>
    <row r="46" spans="1:15">
      <c r="A46" s="546"/>
      <c r="B46" s="290" t="s">
        <v>9</v>
      </c>
      <c r="C46" s="295">
        <f>F28</f>
        <v>0.45061862703332134</v>
      </c>
      <c r="D46" s="295">
        <f>F29</f>
        <v>-0.29486073487428677</v>
      </c>
      <c r="E46" s="295">
        <f>F30</f>
        <v>0.15000000000000002</v>
      </c>
      <c r="J46" s="129" t="s">
        <v>9</v>
      </c>
      <c r="K46" s="298">
        <f>N28</f>
        <v>0.27030317408049215</v>
      </c>
      <c r="L46" s="298">
        <f>N29</f>
        <v>0.31134577896931742</v>
      </c>
      <c r="M46" s="298">
        <f>N30</f>
        <v>0.2</v>
      </c>
    </row>
    <row r="47" spans="1:15">
      <c r="A47" s="546"/>
      <c r="B47" s="290" t="s">
        <v>63</v>
      </c>
      <c r="C47" s="287" t="str">
        <f>IF($F9="","",F34)</f>
        <v/>
      </c>
      <c r="D47" s="287" t="str">
        <f t="shared" ref="D47:E47" si="42">IF($F9="","",G34)</f>
        <v/>
      </c>
      <c r="E47" s="287" t="str">
        <f t="shared" si="42"/>
        <v/>
      </c>
      <c r="J47" s="129" t="s">
        <v>63</v>
      </c>
      <c r="K47" s="287" t="str">
        <f>IF(F4=0,0,N34)</f>
        <v/>
      </c>
      <c r="L47" s="287" t="str">
        <f>IF(F4=0,0,N35)</f>
        <v/>
      </c>
      <c r="M47" s="287" t="str">
        <f>IF(F4=0,0,N36)</f>
        <v/>
      </c>
    </row>
    <row r="48" spans="1:15">
      <c r="A48" s="546"/>
      <c r="B48" s="290" t="s">
        <v>61</v>
      </c>
      <c r="C48" s="287" t="str">
        <f>IF($F10="","",F35)</f>
        <v/>
      </c>
      <c r="D48" s="287" t="str">
        <f t="shared" ref="D48:E48" si="43">IF($F10="","",G35)</f>
        <v/>
      </c>
      <c r="E48" s="287" t="str">
        <f t="shared" si="43"/>
        <v/>
      </c>
      <c r="J48" s="129" t="s">
        <v>61</v>
      </c>
      <c r="K48" s="287" t="str">
        <f>IF(F5=0,0,N40)</f>
        <v/>
      </c>
      <c r="L48" s="287" t="str">
        <f>IF(F5=0,0,N41)</f>
        <v/>
      </c>
      <c r="M48" s="287" t="str">
        <f>IF(F5=0,0,N42)</f>
        <v/>
      </c>
    </row>
  </sheetData>
  <sheetProtection selectLockedCells="1" selectUnlockedCells="1"/>
  <mergeCells count="21">
    <mergeCell ref="A32:B32"/>
    <mergeCell ref="A38:B38"/>
    <mergeCell ref="A45:A48"/>
    <mergeCell ref="K27:M27"/>
    <mergeCell ref="B17:E17"/>
    <mergeCell ref="C27:E27"/>
    <mergeCell ref="C33:E33"/>
    <mergeCell ref="K33:M33"/>
    <mergeCell ref="C39:E39"/>
    <mergeCell ref="K39:M39"/>
    <mergeCell ref="A33:A36"/>
    <mergeCell ref="A39:A42"/>
    <mergeCell ref="I22:I23"/>
    <mergeCell ref="A22:A23"/>
    <mergeCell ref="A3:A6"/>
    <mergeCell ref="A8:A11"/>
    <mergeCell ref="A26:B26"/>
    <mergeCell ref="J17:M17"/>
    <mergeCell ref="A27:A30"/>
    <mergeCell ref="A17:A18"/>
    <mergeCell ref="I17:I18"/>
  </mergeCells>
  <conditionalFormatting sqref="B34:B36">
    <cfRule type="containsBlanks" dxfId="43" priority="8">
      <formula>LEN(TRIM(B34))=0</formula>
    </cfRule>
  </conditionalFormatting>
  <conditionalFormatting sqref="B40:B42">
    <cfRule type="containsBlanks" dxfId="42" priority="7">
      <formula>LEN(TRIM(B40))=0</formula>
    </cfRule>
  </conditionalFormatting>
  <conditionalFormatting sqref="C32:E32">
    <cfRule type="containsBlanks" dxfId="41" priority="13">
      <formula>LEN(TRIM(C32))=0</formula>
    </cfRule>
  </conditionalFormatting>
  <conditionalFormatting sqref="C38:E38">
    <cfRule type="containsBlanks" dxfId="40" priority="12">
      <formula>LEN(TRIM(C38))=0</formula>
    </cfRule>
  </conditionalFormatting>
  <conditionalFormatting sqref="C47:E48">
    <cfRule type="containsBlanks" dxfId="39" priority="16">
      <formula>LEN(TRIM(C47))=0</formula>
    </cfRule>
  </conditionalFormatting>
  <conditionalFormatting sqref="C4:F5">
    <cfRule type="containsBlanks" dxfId="38" priority="15">
      <formula>LEN(TRIM(C4))=0</formula>
    </cfRule>
  </conditionalFormatting>
  <conditionalFormatting sqref="C9:F10">
    <cfRule type="containsBlanks" dxfId="37" priority="14">
      <formula>LEN(TRIM(C9))=0</formula>
    </cfRule>
  </conditionalFormatting>
  <conditionalFormatting sqref="F34:F36">
    <cfRule type="containsBlanks" dxfId="36" priority="11">
      <formula>LEN(TRIM(F34))=0</formula>
    </cfRule>
  </conditionalFormatting>
  <conditionalFormatting sqref="F40:F42">
    <cfRule type="containsBlanks" dxfId="35" priority="10">
      <formula>LEN(TRIM(F40))=0</formula>
    </cfRule>
  </conditionalFormatting>
  <conditionalFormatting sqref="J34:J36">
    <cfRule type="containsBlanks" dxfId="34" priority="5">
      <formula>LEN(TRIM(J34))=0</formula>
    </cfRule>
  </conditionalFormatting>
  <conditionalFormatting sqref="J40:J42">
    <cfRule type="containsBlanks" dxfId="33" priority="4">
      <formula>LEN(TRIM(J40))=0</formula>
    </cfRule>
  </conditionalFormatting>
  <conditionalFormatting sqref="K32:M32">
    <cfRule type="containsBlanks" dxfId="32" priority="9">
      <formula>LEN(TRIM(K32))=0</formula>
    </cfRule>
  </conditionalFormatting>
  <conditionalFormatting sqref="K38:M38">
    <cfRule type="containsBlanks" dxfId="31" priority="6">
      <formula>LEN(TRIM(K38))=0</formula>
    </cfRule>
  </conditionalFormatting>
  <conditionalFormatting sqref="K47:M48">
    <cfRule type="containsBlanks" dxfId="30" priority="1">
      <formula>LEN(TRIM(K47))=0</formula>
    </cfRule>
  </conditionalFormatting>
  <conditionalFormatting sqref="N34:N36">
    <cfRule type="containsBlanks" dxfId="29" priority="3">
      <formula>LEN(TRIM(N34))=0</formula>
    </cfRule>
  </conditionalFormatting>
  <conditionalFormatting sqref="N40:N42">
    <cfRule type="containsBlanks" dxfId="28" priority="2">
      <formula>LEN(TRIM(N40))=0</formula>
    </cfRule>
  </conditionalFormatting>
  <pageMargins left="0.75" right="0.75" top="1" bottom="1" header="0.5" footer="0.5"/>
  <pageSetup orientation="portrait" horizontalDpi="4294967292" verticalDpi="4294967292"/>
  <ignoredErrors>
    <ignoredError sqref="C20:E20 K20:M20 K22:M22" formula="1"/>
  </ignoredError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00000"/>
  </sheetPr>
  <dimension ref="A1:AF138"/>
  <sheetViews>
    <sheetView showGridLines="0" zoomScale="110" zoomScaleNormal="110" zoomScalePageLayoutView="125" workbookViewId="0">
      <selection activeCell="O4" sqref="O4"/>
    </sheetView>
  </sheetViews>
  <sheetFormatPr baseColWidth="10" defaultColWidth="10.6640625" defaultRowHeight="14"/>
  <cols>
    <col min="1" max="1" width="49" style="2" bestFit="1" customWidth="1"/>
    <col min="2" max="4" width="9.6640625" style="2" customWidth="1"/>
    <col min="5" max="21" width="7.83203125" style="2" customWidth="1"/>
    <col min="22" max="16384" width="10.6640625" style="2"/>
  </cols>
  <sheetData>
    <row r="1" spans="1:32" ht="18">
      <c r="A1" s="307" t="s">
        <v>159</v>
      </c>
      <c r="B1" s="2" t="s">
        <v>367</v>
      </c>
    </row>
    <row r="2" spans="1:32">
      <c r="A2" s="1" t="s">
        <v>84</v>
      </c>
      <c r="B2" s="618" t="s">
        <v>0</v>
      </c>
      <c r="C2" s="619" t="s">
        <v>1</v>
      </c>
      <c r="D2" s="620" t="s">
        <v>2</v>
      </c>
      <c r="E2" s="620"/>
      <c r="F2" s="620"/>
      <c r="G2" s="621" t="s">
        <v>361</v>
      </c>
      <c r="H2" s="621"/>
      <c r="I2" s="621"/>
      <c r="J2" s="620" t="s">
        <v>4</v>
      </c>
      <c r="K2" s="620"/>
      <c r="L2" s="620"/>
      <c r="M2" s="622" t="s">
        <v>5</v>
      </c>
      <c r="N2" s="622"/>
      <c r="O2" s="622"/>
      <c r="P2" s="611" t="s">
        <v>6</v>
      </c>
      <c r="Q2" s="612" t="s">
        <v>86</v>
      </c>
      <c r="R2" s="612"/>
      <c r="S2" s="612"/>
    </row>
    <row r="3" spans="1:32">
      <c r="B3" s="618"/>
      <c r="C3" s="619"/>
      <c r="D3" s="3" t="s">
        <v>7</v>
      </c>
      <c r="E3" s="3" t="s">
        <v>8</v>
      </c>
      <c r="F3" s="3" t="s">
        <v>9</v>
      </c>
      <c r="G3" s="3" t="s">
        <v>7</v>
      </c>
      <c r="H3" s="3" t="s">
        <v>8</v>
      </c>
      <c r="I3" s="3" t="s">
        <v>9</v>
      </c>
      <c r="J3" s="3" t="s">
        <v>7</v>
      </c>
      <c r="K3" s="3" t="s">
        <v>8</v>
      </c>
      <c r="L3" s="3" t="s">
        <v>9</v>
      </c>
      <c r="M3" s="3" t="s">
        <v>7</v>
      </c>
      <c r="N3" s="3" t="s">
        <v>8</v>
      </c>
      <c r="O3" s="3" t="s">
        <v>9</v>
      </c>
      <c r="P3" s="611"/>
      <c r="Q3" s="3" t="s">
        <v>7</v>
      </c>
      <c r="R3" s="3" t="s">
        <v>8</v>
      </c>
      <c r="S3" s="3" t="s">
        <v>9</v>
      </c>
    </row>
    <row r="4" spans="1:32">
      <c r="A4" s="4" t="s">
        <v>10</v>
      </c>
      <c r="B4" s="122">
        <f>'Input Data'!D5</f>
        <v>73.5</v>
      </c>
      <c r="C4" s="123">
        <f>'Input Data'!D6</f>
        <v>1.619</v>
      </c>
      <c r="D4" s="124">
        <v>0.1817</v>
      </c>
      <c r="E4" s="124">
        <v>0.1439</v>
      </c>
      <c r="F4" s="124">
        <v>4.4299999999999999E-2</v>
      </c>
      <c r="G4" s="124">
        <f>IF('Input Data'!$D4="Female",G6,G7)</f>
        <v>0.53220000000000001</v>
      </c>
      <c r="H4" s="124">
        <f>IF('Input Data'!$D4="Female",H6,H7)</f>
        <v>0.42170000000000002</v>
      </c>
      <c r="I4" s="124">
        <f>IF('Input Data'!$D4="Female",I6,I7)</f>
        <v>0.74632444444444457</v>
      </c>
      <c r="J4" s="124">
        <f>IF('Input Data'!$D4="Female",J6,J7)</f>
        <v>2.7E-2</v>
      </c>
      <c r="K4" s="124">
        <f>IF('Input Data'!$D4="Female",K6,K7)</f>
        <v>1.49E-2</v>
      </c>
      <c r="L4" s="124">
        <f>IF('Input Data'!$D4="Female",L6,L7)</f>
        <v>5.8999999999999999E-3</v>
      </c>
      <c r="M4" s="522">
        <f>D4*C$4</f>
        <v>0.2941723</v>
      </c>
      <c r="N4" s="18">
        <f>E4*C$4</f>
        <v>0.23297409999999999</v>
      </c>
      <c r="O4" s="18">
        <f>F4*C$4</f>
        <v>7.1721699999999999E-2</v>
      </c>
      <c r="P4" s="7">
        <f>SUM(M4:O4)</f>
        <v>0.59886810000000001</v>
      </c>
      <c r="Q4" s="8">
        <f>J4*B$4*9.81</f>
        <v>19.467945</v>
      </c>
      <c r="R4" s="8">
        <f>K4*B$4*9.81</f>
        <v>10.743421500000002</v>
      </c>
      <c r="S4" s="8">
        <f>L4*B$4*9.81</f>
        <v>4.2541064999999998</v>
      </c>
    </row>
    <row r="5" spans="1:32">
      <c r="A5" s="9" t="s">
        <v>11</v>
      </c>
      <c r="D5" s="613" t="s">
        <v>368</v>
      </c>
      <c r="E5" s="613"/>
      <c r="F5" s="613"/>
      <c r="G5" s="613"/>
      <c r="H5" s="613"/>
      <c r="I5" s="613"/>
      <c r="J5" s="613"/>
      <c r="K5" s="613"/>
      <c r="L5" s="613"/>
      <c r="M5" s="93">
        <f>G4*M4</f>
        <v>0.15655849806</v>
      </c>
      <c r="N5" s="93">
        <f t="shared" ref="N5:O5" si="0">H4*N4</f>
        <v>9.824517797E-2</v>
      </c>
      <c r="O5" s="93">
        <f t="shared" si="0"/>
        <v>5.3527657907111122E-2</v>
      </c>
      <c r="Q5" s="93"/>
    </row>
    <row r="6" spans="1:32">
      <c r="A6" s="9"/>
      <c r="C6" s="24" t="s">
        <v>280</v>
      </c>
      <c r="D6" s="124">
        <v>0.18429999999999999</v>
      </c>
      <c r="E6" s="124">
        <v>0.14599999999999999</v>
      </c>
      <c r="F6" s="124">
        <v>4.4999999999999998E-2</v>
      </c>
      <c r="G6" s="124">
        <v>0.53220000000000001</v>
      </c>
      <c r="H6" s="124">
        <v>0.42170000000000002</v>
      </c>
      <c r="I6" s="124">
        <v>0.74632444444444457</v>
      </c>
      <c r="J6" s="124">
        <v>2.7E-2</v>
      </c>
      <c r="K6" s="124">
        <v>1.49E-2</v>
      </c>
      <c r="L6" s="124">
        <v>5.8999999999999999E-3</v>
      </c>
      <c r="M6" s="93"/>
      <c r="N6" s="93"/>
      <c r="O6" s="93"/>
      <c r="Q6" s="93"/>
    </row>
    <row r="7" spans="1:32">
      <c r="C7" s="24" t="s">
        <v>281</v>
      </c>
      <c r="D7" s="124">
        <v>0.18770000000000001</v>
      </c>
      <c r="E7" s="124">
        <v>0.151</v>
      </c>
      <c r="F7" s="124">
        <v>0.05</v>
      </c>
      <c r="G7" s="124">
        <v>0.52690000000000003</v>
      </c>
      <c r="H7" s="124">
        <v>0.41720000000000002</v>
      </c>
      <c r="I7" s="124">
        <v>0.78278399999999992</v>
      </c>
      <c r="J7" s="124">
        <v>2.87E-2</v>
      </c>
      <c r="K7" s="124">
        <v>1.7299999999999999E-2</v>
      </c>
      <c r="L7" s="124">
        <v>6.1999999999999998E-3</v>
      </c>
      <c r="O7" s="264">
        <f>SUM(M4:O4)</f>
        <v>0.59886810000000001</v>
      </c>
    </row>
    <row r="8" spans="1:32">
      <c r="A8"/>
      <c r="B8"/>
      <c r="C8"/>
      <c r="D8"/>
      <c r="H8" s="2" t="s">
        <v>12</v>
      </c>
    </row>
    <row r="9" spans="1:32">
      <c r="A9"/>
      <c r="B9"/>
      <c r="C9"/>
      <c r="D9"/>
      <c r="E9" s="10"/>
      <c r="H9" s="2" t="s">
        <v>13</v>
      </c>
      <c r="L9" s="11" t="s">
        <v>14</v>
      </c>
      <c r="N9" s="12" t="s">
        <v>15</v>
      </c>
    </row>
    <row r="10" spans="1:32">
      <c r="B10" s="3" t="s">
        <v>229</v>
      </c>
      <c r="C10" s="3" t="s">
        <v>230</v>
      </c>
      <c r="D10" s="3" t="s">
        <v>231</v>
      </c>
      <c r="H10" s="13" t="s">
        <v>16</v>
      </c>
      <c r="I10" s="13" t="s">
        <v>17</v>
      </c>
      <c r="J10" s="13" t="s">
        <v>18</v>
      </c>
      <c r="L10" s="14" t="s">
        <v>19</v>
      </c>
      <c r="N10" s="15" t="s">
        <v>20</v>
      </c>
      <c r="Y10"/>
      <c r="Z10"/>
      <c r="AA10"/>
      <c r="AB10"/>
      <c r="AC10"/>
      <c r="AD10"/>
      <c r="AE10"/>
      <c r="AF10"/>
    </row>
    <row r="11" spans="1:32">
      <c r="B11" s="13" t="s">
        <v>21</v>
      </c>
      <c r="C11" s="13" t="s">
        <v>22</v>
      </c>
      <c r="D11" s="13" t="s">
        <v>23</v>
      </c>
      <c r="G11" s="16" t="s">
        <v>24</v>
      </c>
      <c r="H11" s="17">
        <f>'Hands wrt Shoulder Axis System'!C28</f>
        <v>0</v>
      </c>
      <c r="I11" s="17">
        <f>'Hands wrt Shoulder Axis System'!D28</f>
        <v>0.81915204428899191</v>
      </c>
      <c r="J11" s="17">
        <f>'Hands wrt Shoulder Axis System'!E28</f>
        <v>-0.57357643635104594</v>
      </c>
      <c r="K11" s="245">
        <f>(H11^2+I11^2+J11^2)^0.5</f>
        <v>1</v>
      </c>
      <c r="L11" s="5">
        <v>0</v>
      </c>
      <c r="N11" s="18">
        <f>L11*H11+L12*I11+L13*J11</f>
        <v>0.57357643635104594</v>
      </c>
      <c r="O11" s="115" t="s">
        <v>148</v>
      </c>
      <c r="Y11"/>
      <c r="Z11"/>
      <c r="AA11"/>
      <c r="AB11"/>
      <c r="AC11"/>
      <c r="AD11"/>
      <c r="AE11"/>
      <c r="AF11"/>
    </row>
    <row r="12" spans="1:32">
      <c r="A12" s="131" t="s">
        <v>226</v>
      </c>
      <c r="B12" s="132">
        <f>IF('Hands wrt Shoulder Axis System'!C46&lt;0,0,'Hands wrt Shoulder Axis System'!C46)</f>
        <v>0.45061862703332134</v>
      </c>
      <c r="C12" s="132">
        <f>'Hands wrt Shoulder Axis System'!D46</f>
        <v>-0.29486073487428677</v>
      </c>
      <c r="D12" s="132">
        <f>'Hands wrt Shoulder Axis System'!E46</f>
        <v>0.15000000000000002</v>
      </c>
      <c r="G12" s="16" t="s">
        <v>25</v>
      </c>
      <c r="H12" s="17">
        <f>'Hands wrt Shoulder Axis System'!C29</f>
        <v>0</v>
      </c>
      <c r="I12" s="17">
        <f>'Hands wrt Shoulder Axis System'!D29</f>
        <v>0.57357643635104594</v>
      </c>
      <c r="J12" s="17">
        <f>'Hands wrt Shoulder Axis System'!E29</f>
        <v>0.81915204428899191</v>
      </c>
      <c r="K12" s="245">
        <f>(H12^2+I12^2+J12^2)^0.5</f>
        <v>1</v>
      </c>
      <c r="L12" s="5">
        <v>0</v>
      </c>
      <c r="N12" s="18">
        <f>L11*H12+L12*I12+L13*J12</f>
        <v>-0.81915204428899191</v>
      </c>
      <c r="O12" s="115" t="s">
        <v>149</v>
      </c>
      <c r="Y12"/>
      <c r="Z12"/>
      <c r="AA12"/>
      <c r="AB12"/>
      <c r="AC12"/>
      <c r="AD12"/>
      <c r="AE12"/>
      <c r="AF12"/>
    </row>
    <row r="13" spans="1:32">
      <c r="F13" s="19"/>
      <c r="G13" s="16" t="s">
        <v>26</v>
      </c>
      <c r="H13" s="17">
        <f>'Hands wrt Shoulder Axis System'!C30</f>
        <v>1</v>
      </c>
      <c r="I13" s="17">
        <f>'Hands wrt Shoulder Axis System'!D30</f>
        <v>0</v>
      </c>
      <c r="J13" s="17">
        <f>'Hands wrt Shoulder Axis System'!E30</f>
        <v>0</v>
      </c>
      <c r="K13" s="245">
        <f>(H13^2+I13^2+J13^2)^0.5</f>
        <v>1</v>
      </c>
      <c r="L13" s="5">
        <v>-1</v>
      </c>
      <c r="N13" s="18">
        <f>L11*H13+L12*I13+L13*J13</f>
        <v>0</v>
      </c>
      <c r="O13" s="115" t="s">
        <v>150</v>
      </c>
    </row>
    <row r="14" spans="1:32">
      <c r="A14" s="20" t="s">
        <v>27</v>
      </c>
      <c r="B14" s="21">
        <f>((B12)^2+(C12)^2+(D12)^2)^0.5</f>
        <v>0.55901699437494745</v>
      </c>
      <c r="C14" s="22">
        <f>B14/P4</f>
        <v>0.93345595528455672</v>
      </c>
      <c r="F14" s="23"/>
      <c r="H14" s="246">
        <f>(H11^2+H12^2+H13^2)^0.5</f>
        <v>1</v>
      </c>
      <c r="I14" s="246">
        <f>(I11^2+I12^2+I13^2)^0.5</f>
        <v>1</v>
      </c>
      <c r="J14" s="246">
        <f>(J11^2+J12^2+J13^2)^0.5</f>
        <v>1</v>
      </c>
      <c r="L14" s="246">
        <f>(L11^2+L12^2+L13^2)^0.5</f>
        <v>1</v>
      </c>
      <c r="N14" s="246">
        <f>(N11^2+N12^2+N13^2)^0.5</f>
        <v>1</v>
      </c>
      <c r="S14" s="616" t="s">
        <v>504</v>
      </c>
      <c r="T14" s="616"/>
      <c r="U14" s="503">
        <v>30.5</v>
      </c>
      <c r="V14" s="2" t="s">
        <v>508</v>
      </c>
    </row>
    <row r="15" spans="1:32">
      <c r="A15" s="24" t="s">
        <v>28</v>
      </c>
      <c r="B15" s="6">
        <f>(B12^2+D12^2)^0.5</f>
        <v>0.47492857044969988</v>
      </c>
      <c r="F15" s="23"/>
      <c r="G15" s="19"/>
      <c r="S15" s="616" t="s">
        <v>505</v>
      </c>
      <c r="T15" s="616"/>
      <c r="U15" s="503">
        <v>29.4</v>
      </c>
    </row>
    <row r="16" spans="1:32">
      <c r="A16" s="20" t="s">
        <v>83</v>
      </c>
      <c r="B16" s="6">
        <f>IF(B15=0,ATAN(C12/0.00001),ATAN(C12/B15))</f>
        <v>-0.55561150222459332</v>
      </c>
      <c r="C16" s="25">
        <f>DEGREES(ATAN((C12)/(B15)))</f>
        <v>-31.834194126392749</v>
      </c>
      <c r="D16" s="130" t="s">
        <v>85</v>
      </c>
      <c r="F16" s="23"/>
      <c r="G16" s="26"/>
      <c r="H16" s="27"/>
      <c r="I16" s="27"/>
      <c r="J16" s="27"/>
      <c r="K16"/>
      <c r="L16"/>
      <c r="M16"/>
      <c r="N16"/>
      <c r="O16"/>
      <c r="P16"/>
      <c r="U16" s="504">
        <f>SUM(U14:U15)</f>
        <v>59.9</v>
      </c>
      <c r="V16"/>
      <c r="W16" s="505"/>
    </row>
    <row r="17" spans="1:28">
      <c r="D17" s="2" t="s">
        <v>22</v>
      </c>
      <c r="G17" s="28"/>
      <c r="K17" s="197">
        <f>'Input Data'!V18</f>
        <v>1</v>
      </c>
      <c r="L17" s="11" t="s">
        <v>146</v>
      </c>
      <c r="N17" s="12" t="s">
        <v>147</v>
      </c>
      <c r="P17"/>
      <c r="Q17" s="507" t="s">
        <v>507</v>
      </c>
      <c r="U17" s="505"/>
      <c r="V17"/>
      <c r="X17"/>
    </row>
    <row r="18" spans="1:28">
      <c r="G18" s="248" t="s">
        <v>259</v>
      </c>
      <c r="K18" s="349">
        <f>'Input Data'!D25</f>
        <v>50</v>
      </c>
      <c r="L18" s="14" t="s">
        <v>19</v>
      </c>
      <c r="M18" s="349"/>
      <c r="N18" s="15" t="s">
        <v>20</v>
      </c>
      <c r="P18"/>
      <c r="Q18" s="501" t="s">
        <v>240</v>
      </c>
      <c r="R18" s="501" t="s">
        <v>502</v>
      </c>
      <c r="S18" s="501" t="s">
        <v>274</v>
      </c>
      <c r="T18" s="501" t="s">
        <v>503</v>
      </c>
      <c r="U18" s="502" t="s">
        <v>506</v>
      </c>
      <c r="V18"/>
      <c r="X18"/>
    </row>
    <row r="19" spans="1:28">
      <c r="C19" s="29" t="s">
        <v>29</v>
      </c>
      <c r="G19" s="2" t="s">
        <v>53</v>
      </c>
      <c r="H19" s="89" t="s">
        <v>80</v>
      </c>
      <c r="J19" s="351" t="s">
        <v>276</v>
      </c>
      <c r="K19" s="350">
        <f>'Input Data'!D21</f>
        <v>-0.44721359549995793</v>
      </c>
      <c r="L19" s="5">
        <f>IF(K18&lt;K17,0,K19)</f>
        <v>-0.44721359549995793</v>
      </c>
      <c r="M19" s="350"/>
      <c r="N19" s="18">
        <f>L19*H11+L20*I11+L21*J11</f>
        <v>-0.51302236078920804</v>
      </c>
      <c r="O19" s="115" t="s">
        <v>148</v>
      </c>
      <c r="P19"/>
      <c r="Q19" s="261">
        <f>D12*100</f>
        <v>15.000000000000002</v>
      </c>
      <c r="R19" s="261">
        <f>B12*100</f>
        <v>45.061862703332132</v>
      </c>
      <c r="S19" s="261">
        <f>C12*100</f>
        <v>-29.486073487428676</v>
      </c>
      <c r="T19" s="506">
        <f t="shared" ref="T19" si="1">(Q19^2+R19^2+S19^2)^0.5</f>
        <v>55.901699437494742</v>
      </c>
      <c r="U19" s="508">
        <f>IF(AND(T19&gt;=20,T19&lt;=60),DEGREES(RADIANS(90) - ACOS((U$14^2 -T19^ 2 - U$15^2)/(-2*T19*U$15)) + ATAN(S19/(Q19^2+R19^2)^0.5)),"Error")</f>
        <v>36.704310924697701</v>
      </c>
      <c r="V19"/>
      <c r="X19"/>
    </row>
    <row r="20" spans="1:28">
      <c r="A20" s="24" t="s">
        <v>30</v>
      </c>
      <c r="B20" s="30">
        <f>IF(B12=0,PI()/2,ATAN(D12/B12))</f>
        <v>0.32133864603305073</v>
      </c>
      <c r="C20" s="7">
        <f>DEGREES(B20)</f>
        <v>18.41134821214208</v>
      </c>
      <c r="G20" s="2" t="s">
        <v>54</v>
      </c>
      <c r="H20" s="89" t="s">
        <v>81</v>
      </c>
      <c r="J20" s="351" t="s">
        <v>148</v>
      </c>
      <c r="K20" s="350">
        <f>'Input Data'!E21</f>
        <v>0</v>
      </c>
      <c r="L20" s="5">
        <f>IF(K18&lt;K17,0,K20)</f>
        <v>0</v>
      </c>
      <c r="M20" s="350"/>
      <c r="N20" s="18">
        <f>L19*H12+L20*I12+L21*J12</f>
        <v>0.7326718619752417</v>
      </c>
      <c r="O20" s="115" t="s">
        <v>149</v>
      </c>
      <c r="P20"/>
    </row>
    <row r="21" spans="1:28">
      <c r="A21" s="31" t="s">
        <v>31</v>
      </c>
      <c r="B21" s="30">
        <f>ACOS((B14^2 - M4^2 - (N4+O4)^2) / (-2 * M4 * (N4+O4)))</f>
        <v>2.407741341965969</v>
      </c>
      <c r="C21" s="7">
        <f>DEGREES(B21)</f>
        <v>137.95341705381512</v>
      </c>
      <c r="D21" s="2" t="s">
        <v>22</v>
      </c>
      <c r="G21" s="2" t="s">
        <v>55</v>
      </c>
      <c r="H21" s="89" t="s">
        <v>82</v>
      </c>
      <c r="J21" s="351" t="s">
        <v>257</v>
      </c>
      <c r="K21" s="350">
        <f>'Input Data'!F21</f>
        <v>0.89442719099991586</v>
      </c>
      <c r="L21" s="5">
        <f>IF(K18&lt;K17,1,K21)</f>
        <v>0.89442719099991586</v>
      </c>
      <c r="M21" s="350"/>
      <c r="N21" s="18">
        <f>L19*H13+L20*I13+L21*J13</f>
        <v>-0.44721359549995793</v>
      </c>
      <c r="O21" s="115" t="s">
        <v>150</v>
      </c>
      <c r="P21"/>
    </row>
    <row r="22" spans="1:28">
      <c r="A22" s="33" t="s">
        <v>32</v>
      </c>
      <c r="B22" s="30">
        <f>ACOS(((N4+O4)^2 - B14^2 - M4^2) / (-2*B14*M4))</f>
        <v>0.37367913082447135</v>
      </c>
      <c r="C22" s="7">
        <f>DEGREES(B22)</f>
        <v>21.410237088359153</v>
      </c>
      <c r="K22"/>
      <c r="L22"/>
      <c r="P22"/>
    </row>
    <row r="23" spans="1:28">
      <c r="A23" s="33" t="s">
        <v>33</v>
      </c>
      <c r="B23" s="30">
        <f>ACOS((M4^2 - B14^2-(N4+O4)^2) / (-2 * B14*(N4+O4)))</f>
        <v>0.36017218079935276</v>
      </c>
      <c r="C23" s="7">
        <f>DEGREES(B23)</f>
        <v>20.636345857825738</v>
      </c>
      <c r="D23" s="2" t="s">
        <v>22</v>
      </c>
      <c r="E23" s="2" t="s">
        <v>448</v>
      </c>
    </row>
    <row r="24" spans="1:28">
      <c r="A24" s="24" t="s">
        <v>34</v>
      </c>
      <c r="B24" s="34"/>
      <c r="C24" s="458">
        <f>SUM(C21:C23)</f>
        <v>180</v>
      </c>
      <c r="E24" s="460">
        <f>90 + DEGREES(B16) - DEGREES(B22)</f>
        <v>36.755568785248101</v>
      </c>
      <c r="J24" s="36" t="s">
        <v>35</v>
      </c>
      <c r="R24" s="36" t="s">
        <v>36</v>
      </c>
      <c r="X24" s="36" t="s">
        <v>37</v>
      </c>
    </row>
    <row r="25" spans="1:28">
      <c r="A25" s="37" t="s">
        <v>38</v>
      </c>
      <c r="B25" s="30">
        <f>B16-B23</f>
        <v>-0.91578368302394608</v>
      </c>
      <c r="C25" s="7">
        <f>DEGREES(B25)</f>
        <v>-52.470539984218483</v>
      </c>
    </row>
    <row r="26" spans="1:28" ht="13" customHeight="1">
      <c r="I26" s="614" t="s">
        <v>341</v>
      </c>
      <c r="J26" s="614"/>
      <c r="K26" s="614"/>
      <c r="L26" s="614"/>
      <c r="M26" s="614"/>
      <c r="N26" s="614"/>
      <c r="Q26" s="615" t="s">
        <v>343</v>
      </c>
      <c r="R26" s="615"/>
      <c r="S26" s="615"/>
      <c r="T26" s="615"/>
      <c r="U26" s="615"/>
      <c r="V26" s="615"/>
      <c r="W26" s="615"/>
      <c r="X26" s="617" t="s">
        <v>340</v>
      </c>
      <c r="Y26" s="617"/>
      <c r="Z26" s="617"/>
      <c r="AA26" s="617"/>
      <c r="AB26" s="617"/>
    </row>
    <row r="27" spans="1:28" ht="13" customHeight="1">
      <c r="B27" s="13" t="s">
        <v>21</v>
      </c>
      <c r="C27" s="13" t="s">
        <v>22</v>
      </c>
      <c r="D27" s="13" t="s">
        <v>23</v>
      </c>
      <c r="E27" s="623" t="s">
        <v>172</v>
      </c>
      <c r="F27" s="623"/>
      <c r="G27" s="623"/>
      <c r="I27" s="614"/>
      <c r="J27" s="614"/>
      <c r="K27" s="614"/>
      <c r="L27" s="614"/>
      <c r="M27" s="614"/>
      <c r="N27" s="614"/>
      <c r="Q27" s="615"/>
      <c r="R27" s="615"/>
      <c r="S27" s="615"/>
      <c r="T27" s="615"/>
      <c r="U27" s="615"/>
      <c r="V27" s="615"/>
      <c r="W27" s="615"/>
      <c r="X27" s="617"/>
      <c r="Y27" s="617"/>
      <c r="Z27" s="617"/>
      <c r="AA27" s="617"/>
      <c r="AB27" s="617"/>
    </row>
    <row r="28" spans="1:28">
      <c r="A28" s="38" t="s">
        <v>227</v>
      </c>
      <c r="B28" s="6">
        <f>IF(H28="",(B29+((B12-B29)*(N4/(N4+O4)))),E28)</f>
        <v>0.38457100751530737</v>
      </c>
      <c r="C28" s="6">
        <f>IF(H28="",C29+((C12-C29)*(N4/(N4+O4))),F28)</f>
        <v>-0.28036783978893148</v>
      </c>
      <c r="D28" s="6">
        <f>IF(H28="",(D29+((D12-D29)*(N4/(N4+O4)))),G28)</f>
        <v>0.12801435108680159</v>
      </c>
      <c r="E28" s="287" t="str">
        <f>'Hands wrt Shoulder Axis System'!C47</f>
        <v/>
      </c>
      <c r="F28" s="287" t="str">
        <f>'Hands wrt Shoulder Axis System'!D47</f>
        <v/>
      </c>
      <c r="G28" s="287" t="str">
        <f>'Hands wrt Shoulder Axis System'!E47</f>
        <v/>
      </c>
      <c r="H28" s="287" t="str">
        <f>IF(E28="","",E28^2+F28^2+G28^2)</f>
        <v/>
      </c>
      <c r="Q28" s="615"/>
      <c r="R28" s="615"/>
      <c r="S28" s="615"/>
      <c r="T28" s="615"/>
      <c r="U28" s="615"/>
      <c r="V28" s="615"/>
      <c r="W28" s="615"/>
    </row>
    <row r="29" spans="1:28">
      <c r="A29" s="38" t="s">
        <v>228</v>
      </c>
      <c r="B29" s="6">
        <f>IF(H29="",M4*COS(B25)*COS(B20),E29)</f>
        <v>0.17002806285069749</v>
      </c>
      <c r="C29" s="6">
        <f>IF(H29="",M4*SIN(B25),F29)</f>
        <v>-0.23329046726562169</v>
      </c>
      <c r="D29" s="6">
        <f>IF(H29="",M4*COS(B25)*SIN(B20),G29)</f>
        <v>5.6598213872145808E-2</v>
      </c>
      <c r="E29" s="287" t="str">
        <f>'Hands wrt Shoulder Axis System'!C48</f>
        <v/>
      </c>
      <c r="F29" s="287" t="str">
        <f>'Hands wrt Shoulder Axis System'!D48</f>
        <v/>
      </c>
      <c r="G29" s="287" t="str">
        <f>'Hands wrt Shoulder Axis System'!E48</f>
        <v/>
      </c>
      <c r="H29" s="287" t="str">
        <f>IF(E29="","",E29^2+F29^2+G29^2)</f>
        <v/>
      </c>
    </row>
    <row r="31" spans="1:28">
      <c r="A31" s="40"/>
      <c r="B31" s="13" t="s">
        <v>21</v>
      </c>
      <c r="C31" s="13" t="s">
        <v>22</v>
      </c>
      <c r="D31" s="13" t="s">
        <v>23</v>
      </c>
    </row>
    <row r="32" spans="1:28">
      <c r="A32" s="24" t="s">
        <v>39</v>
      </c>
      <c r="B32" s="6">
        <f>B29 * $G4</f>
        <v>9.0488935049141211E-2</v>
      </c>
      <c r="C32" s="6">
        <f>C29 * $G4</f>
        <v>-0.12415718667876387</v>
      </c>
      <c r="D32" s="6">
        <f>D29 * $G4</f>
        <v>3.0121569422756001E-2</v>
      </c>
      <c r="E32" s="10"/>
    </row>
    <row r="33" spans="1:8">
      <c r="A33" s="24" t="s">
        <v>40</v>
      </c>
      <c r="B33" s="6">
        <f>B29+(B28-B29) * $H4</f>
        <v>0.26050082261576346</v>
      </c>
      <c r="C33" s="6">
        <f>C29+(C28-C29) * $H4</f>
        <v>-0.25314299525870143</v>
      </c>
      <c r="D33" s="6">
        <f>D29+(D28-D29) * $H4</f>
        <v>8.671439893556615E-2</v>
      </c>
    </row>
    <row r="34" spans="1:8">
      <c r="A34" s="24" t="s">
        <v>41</v>
      </c>
      <c r="B34" s="6">
        <f>B28+(B12-B28) * $I4</f>
        <v>0.43386396045896719</v>
      </c>
      <c r="C34" s="6">
        <f>C28+(C12-C28) * $I4</f>
        <v>-0.29118424166190088</v>
      </c>
      <c r="D34" s="6">
        <f>D28+(D12-D28) * $I4</f>
        <v>0.14442277829769501</v>
      </c>
    </row>
    <row r="36" spans="1:8">
      <c r="A36" s="41" t="s">
        <v>42</v>
      </c>
      <c r="B36" s="13" t="s">
        <v>21</v>
      </c>
      <c r="C36" s="13" t="s">
        <v>22</v>
      </c>
      <c r="D36" s="13" t="s">
        <v>23</v>
      </c>
    </row>
    <row r="37" spans="1:8">
      <c r="A37" s="42" t="s">
        <v>44</v>
      </c>
      <c r="B37" s="6">
        <f>(C32*N13 - D32*N12) *Q4</f>
        <v>0.48035490108852641</v>
      </c>
      <c r="C37" s="6">
        <f>(D32*N11 - B32*N13) * Q4</f>
        <v>0.33634812275816556</v>
      </c>
      <c r="D37" s="6">
        <f>(B32*N12 -C32*N11) * Q4</f>
        <v>-5.6662611261867148E-2</v>
      </c>
    </row>
    <row r="38" spans="1:8">
      <c r="A38" s="42" t="s">
        <v>45</v>
      </c>
      <c r="B38" s="6">
        <f>(C33*N13 - D33*N12) *R4</f>
        <v>0.76312969360634264</v>
      </c>
      <c r="C38" s="6">
        <f>(D33*N11 - B33*N13) * R4</f>
        <v>0.53434916409482702</v>
      </c>
      <c r="D38" s="6">
        <f>(B33*N12 -C33*N11) * R4</f>
        <v>-0.73262532882486753</v>
      </c>
    </row>
    <row r="39" spans="1:8">
      <c r="A39" s="42" t="s">
        <v>46</v>
      </c>
      <c r="B39" s="6">
        <f>(C34*N13 - D34*N12) *S4</f>
        <v>0.50327872611406188</v>
      </c>
      <c r="C39" s="6">
        <f>(D34*N11 - B34*N13) * S4</f>
        <v>0.35239955784564586</v>
      </c>
      <c r="D39" s="6">
        <f>(B34*N12 -C34*N11) * S4</f>
        <v>-0.80140615405377758</v>
      </c>
      <c r="E39" s="3" t="s">
        <v>43</v>
      </c>
    </row>
    <row r="40" spans="1:8">
      <c r="A40" s="43" t="s">
        <v>47</v>
      </c>
      <c r="B40" s="44">
        <f>SUM(B37:B39)</f>
        <v>1.7467633208089308</v>
      </c>
      <c r="C40" s="44">
        <f t="shared" ref="C40:D40" si="2">SUM(C37:C39)</f>
        <v>1.2230968446986383</v>
      </c>
      <c r="D40" s="44">
        <f t="shared" si="2"/>
        <v>-1.5906940941405123</v>
      </c>
      <c r="E40" s="45">
        <f>(B40^2 + C40^2 + D40^2)^0.5</f>
        <v>2.6603487913370896</v>
      </c>
      <c r="F40" s="46"/>
    </row>
    <row r="41" spans="1:8">
      <c r="F41" s="46"/>
      <c r="H41" s="251" t="s">
        <v>277</v>
      </c>
    </row>
    <row r="42" spans="1:8">
      <c r="A42" s="24" t="s">
        <v>48</v>
      </c>
      <c r="B42" s="47">
        <f>B40/E40</f>
        <v>0.65659184483513111</v>
      </c>
      <c r="C42" s="47">
        <f>C40/E40</f>
        <v>0.45975055928057862</v>
      </c>
      <c r="D42" s="47">
        <f>D40/E40</f>
        <v>-0.59792689564627743</v>
      </c>
      <c r="E42" s="48">
        <f>(B42*B43+C42*C43+D42*D43)</f>
        <v>0.12633085261489832</v>
      </c>
      <c r="F42" s="49" t="s">
        <v>49</v>
      </c>
      <c r="G42" s="252">
        <f>(B42^2+C42^2+D42^2)^0.5</f>
        <v>1</v>
      </c>
      <c r="H42" s="253">
        <f>ACOS(E42)*57.3</f>
        <v>82.748477587535746</v>
      </c>
    </row>
    <row r="43" spans="1:8">
      <c r="A43" s="24" t="s">
        <v>50</v>
      </c>
      <c r="B43" s="47">
        <f>(B12/B14)</f>
        <v>0.80609110557930463</v>
      </c>
      <c r="C43" s="47">
        <f>(C12/B14)</f>
        <v>-0.52746291765955844</v>
      </c>
      <c r="D43" s="47">
        <f>(D12/B14)</f>
        <v>0.26832815729997478</v>
      </c>
      <c r="E43" s="48">
        <f>(B43*B44+C43*C44+D43*D44)</f>
        <v>0</v>
      </c>
      <c r="F43" s="49" t="s">
        <v>51</v>
      </c>
      <c r="G43" s="252">
        <f>(B43^2+C43^2+D43^2)^0.5</f>
        <v>0.99999999999999989</v>
      </c>
      <c r="H43" s="253">
        <f>ACOS(E43)*57.3</f>
        <v>90.006629525347563</v>
      </c>
    </row>
    <row r="44" spans="1:8">
      <c r="A44" s="24" t="s">
        <v>278</v>
      </c>
      <c r="B44" s="18">
        <f>(C42*D43-D42*C43)</f>
        <v>-0.19202024453531735</v>
      </c>
      <c r="C44" s="18">
        <f>(D42*B43-B42*D43)</f>
        <v>-0.65816563218991098</v>
      </c>
      <c r="D44" s="18">
        <f>B42*C43-C42*B43</f>
        <v>-0.71692868680939559</v>
      </c>
      <c r="E44" s="48">
        <f>(B44*B42+C44*C42+D44*D42)</f>
        <v>0</v>
      </c>
      <c r="F44" s="49" t="s">
        <v>52</v>
      </c>
      <c r="G44" s="254">
        <f>(B44^2+C44^2+D44^2)^0.5</f>
        <v>0.99198816307332649</v>
      </c>
      <c r="H44" s="253">
        <f>ACOS(E44)*57.3</f>
        <v>90.006629525347563</v>
      </c>
    </row>
    <row r="45" spans="1:8">
      <c r="A45" s="255" t="s">
        <v>279</v>
      </c>
      <c r="B45" s="256">
        <f>B44*$B14*$E40</f>
        <v>-0.28556870285366359</v>
      </c>
      <c r="C45" s="256">
        <f t="shared" ref="C45:D45" si="3">C44*$B14*$E40</f>
        <v>-0.97881088685295004</v>
      </c>
      <c r="D45" s="256">
        <f t="shared" si="3"/>
        <v>-1.0662021373120587</v>
      </c>
      <c r="E45" s="257">
        <f>E40/B14/G45</f>
        <v>3.2258449436391707</v>
      </c>
      <c r="G45" s="258">
        <f>(B45^2+C45^2+D45^2)^0.5</f>
        <v>1.4752651401969019</v>
      </c>
    </row>
    <row r="46" spans="1:8">
      <c r="B46" s="13" t="s">
        <v>53</v>
      </c>
      <c r="C46" s="13" t="s">
        <v>54</v>
      </c>
      <c r="D46" s="13" t="s">
        <v>55</v>
      </c>
      <c r="E46" s="3" t="s">
        <v>43</v>
      </c>
    </row>
    <row r="47" spans="1:8">
      <c r="A47" s="51" t="s">
        <v>56</v>
      </c>
      <c r="B47" s="259">
        <f>E47*B44/G44</f>
        <v>-0.9212003561620874</v>
      </c>
      <c r="C47" s="259">
        <f>E47*C44/G44</f>
        <v>-3.1574921501335615</v>
      </c>
      <c r="D47" s="259">
        <f>E47*D44/G44</f>
        <v>-3.4394027735453814</v>
      </c>
      <c r="E47" s="259">
        <f>E40/B14</f>
        <v>4.7589765930313082</v>
      </c>
      <c r="G47" s="252">
        <f>(B47^2+C47^2+D47^2)^0.5</f>
        <v>4.7589765930313082</v>
      </c>
      <c r="H47" s="9"/>
    </row>
    <row r="48" spans="1:8">
      <c r="B48" s="260" t="s">
        <v>229</v>
      </c>
      <c r="C48" s="260" t="s">
        <v>230</v>
      </c>
      <c r="D48" s="260" t="s">
        <v>231</v>
      </c>
      <c r="G48" s="9"/>
      <c r="H48" s="9"/>
    </row>
    <row r="49" spans="1:20">
      <c r="A49"/>
      <c r="B49"/>
      <c r="C49"/>
      <c r="D49"/>
      <c r="E49"/>
      <c r="F49"/>
      <c r="G49" s="9"/>
      <c r="H49" s="9"/>
    </row>
    <row r="50" spans="1:20">
      <c r="A50"/>
      <c r="B50"/>
      <c r="C50"/>
      <c r="D50"/>
      <c r="E50"/>
      <c r="F50"/>
      <c r="G50" s="9"/>
      <c r="H50" s="9"/>
    </row>
    <row r="51" spans="1:20">
      <c r="B51" s="3" t="s">
        <v>21</v>
      </c>
      <c r="C51" s="3" t="s">
        <v>22</v>
      </c>
      <c r="D51" s="3" t="s">
        <v>23</v>
      </c>
      <c r="E51"/>
      <c r="F51"/>
      <c r="G51" s="9"/>
      <c r="H51" s="9"/>
    </row>
    <row r="52" spans="1:20">
      <c r="A52" s="53" t="s">
        <v>59</v>
      </c>
      <c r="B52" s="54">
        <v>0</v>
      </c>
      <c r="C52" s="54">
        <v>0</v>
      </c>
      <c r="D52" s="54">
        <v>0</v>
      </c>
    </row>
    <row r="53" spans="1:20">
      <c r="A53" s="55" t="s">
        <v>44</v>
      </c>
      <c r="B53" s="56">
        <f>B32</f>
        <v>9.0488935049141211E-2</v>
      </c>
      <c r="C53" s="56">
        <f>C32</f>
        <v>-0.12415718667876387</v>
      </c>
      <c r="D53" s="56">
        <f>D32</f>
        <v>3.0121569422756001E-2</v>
      </c>
      <c r="E53" s="24" t="s">
        <v>60</v>
      </c>
      <c r="F53" s="57">
        <f>((B54-B52)^2+(C54-C52)^2+(D54-D52)^2)^0.5</f>
        <v>0.2941723</v>
      </c>
      <c r="G53" s="58">
        <f>F53-M4</f>
        <v>0</v>
      </c>
    </row>
    <row r="54" spans="1:20">
      <c r="A54" s="59" t="s">
        <v>61</v>
      </c>
      <c r="B54" s="60">
        <f>B29</f>
        <v>0.17002806285069749</v>
      </c>
      <c r="C54" s="60">
        <f>C29</f>
        <v>-0.23329046726562169</v>
      </c>
      <c r="D54" s="60">
        <f>D29</f>
        <v>5.6598213872145808E-2</v>
      </c>
      <c r="G54" s="61"/>
    </row>
    <row r="55" spans="1:20">
      <c r="A55" s="55" t="s">
        <v>45</v>
      </c>
      <c r="B55" s="56">
        <f>B33</f>
        <v>0.26050082261576346</v>
      </c>
      <c r="C55" s="56">
        <f>C33</f>
        <v>-0.25314299525870143</v>
      </c>
      <c r="D55" s="56">
        <f>D33</f>
        <v>8.671439893556615E-2</v>
      </c>
      <c r="E55" s="24" t="s">
        <v>62</v>
      </c>
      <c r="F55" s="57">
        <f>((B56-B54)^2+(C56-C54)^2+(D56-D54)^2)^0.5</f>
        <v>0.23096583895399528</v>
      </c>
      <c r="G55" s="58">
        <f>F55-N4</f>
        <v>-2.0082610460047112E-3</v>
      </c>
    </row>
    <row r="56" spans="1:20">
      <c r="A56" s="39" t="s">
        <v>63</v>
      </c>
      <c r="B56" s="62">
        <f>B28</f>
        <v>0.38457100751530737</v>
      </c>
      <c r="C56" s="62">
        <f>C28</f>
        <v>-0.28036783978893148</v>
      </c>
      <c r="D56" s="62">
        <f>D28</f>
        <v>0.12801435108680159</v>
      </c>
      <c r="G56" s="61"/>
    </row>
    <row r="57" spans="1:20">
      <c r="A57" s="55" t="s">
        <v>46</v>
      </c>
      <c r="B57" s="56">
        <f>B34</f>
        <v>0.43386396045896719</v>
      </c>
      <c r="C57" s="56">
        <f>C34</f>
        <v>-0.29118424166190088</v>
      </c>
      <c r="D57" s="56">
        <f>D34</f>
        <v>0.14442277829769501</v>
      </c>
      <c r="E57" s="24" t="s">
        <v>64</v>
      </c>
      <c r="F57" s="57">
        <f>((B58-B56)^2+(C58-C56)^2+(D58-D56)^2)^0.5</f>
        <v>7.1103451463947073E-2</v>
      </c>
      <c r="G57" s="58">
        <f>F57-O4</f>
        <v>-6.1824853605292607E-4</v>
      </c>
    </row>
    <row r="58" spans="1:20">
      <c r="A58" s="63" t="s">
        <v>65</v>
      </c>
      <c r="B58" s="64">
        <f>B12</f>
        <v>0.45061862703332134</v>
      </c>
      <c r="C58" s="64">
        <f>C12</f>
        <v>-0.29486073487428677</v>
      </c>
      <c r="D58" s="64">
        <f>D12</f>
        <v>0.15000000000000002</v>
      </c>
      <c r="J58" s="609" t="s">
        <v>66</v>
      </c>
      <c r="K58" s="610"/>
      <c r="L58" s="610"/>
      <c r="M58" s="610"/>
      <c r="N58" s="610"/>
      <c r="O58" s="610"/>
      <c r="P58" s="610"/>
    </row>
    <row r="59" spans="1:20">
      <c r="A59" s="65" t="s">
        <v>87</v>
      </c>
      <c r="B59" s="66">
        <f>B58+(B47/50)</f>
        <v>0.43219461991007957</v>
      </c>
      <c r="C59" s="66">
        <f>C58+(C47/50)</f>
        <v>-0.358010577876958</v>
      </c>
      <c r="D59" s="66">
        <f>D58+(D47/50)</f>
        <v>8.1211944529092389E-2</v>
      </c>
      <c r="J59" s="609"/>
      <c r="K59" s="610"/>
      <c r="L59" s="610"/>
      <c r="M59" s="610"/>
      <c r="N59" s="610"/>
      <c r="O59" s="610"/>
      <c r="P59" s="610"/>
    </row>
    <row r="60" spans="1:20">
      <c r="G60"/>
      <c r="H60"/>
      <c r="I60"/>
      <c r="J60"/>
      <c r="K60"/>
      <c r="L60"/>
      <c r="M60"/>
      <c r="N60"/>
      <c r="O60"/>
      <c r="P60"/>
      <c r="Q60"/>
      <c r="R60"/>
      <c r="S60"/>
      <c r="T60"/>
    </row>
    <row r="61" spans="1:20">
      <c r="A61"/>
      <c r="B61"/>
      <c r="C61"/>
      <c r="D61"/>
      <c r="E61"/>
      <c r="F61"/>
      <c r="G61"/>
      <c r="H61"/>
      <c r="I61"/>
      <c r="J61"/>
      <c r="K61"/>
      <c r="L61"/>
      <c r="M61"/>
      <c r="N61"/>
      <c r="O61"/>
      <c r="P61"/>
      <c r="Q61"/>
      <c r="R61"/>
      <c r="S61"/>
      <c r="T61"/>
    </row>
    <row r="62" spans="1:20">
      <c r="A62"/>
      <c r="B62" s="57">
        <f>B47</f>
        <v>-0.9212003561620874</v>
      </c>
      <c r="C62" s="57">
        <f t="shared" ref="C62:D62" si="4">C47</f>
        <v>-3.1574921501335615</v>
      </c>
      <c r="D62" s="57">
        <f t="shared" si="4"/>
        <v>-3.4394027735453814</v>
      </c>
      <c r="G62"/>
      <c r="H62"/>
      <c r="I62"/>
      <c r="J62"/>
      <c r="K62"/>
      <c r="L62"/>
      <c r="M62"/>
      <c r="N62"/>
      <c r="O62"/>
      <c r="P62"/>
      <c r="Q62"/>
      <c r="R62"/>
      <c r="S62"/>
      <c r="T62"/>
    </row>
    <row r="63" spans="1:20" ht="13" customHeight="1">
      <c r="A63"/>
      <c r="B63" s="18">
        <f>B12</f>
        <v>0.45061862703332134</v>
      </c>
      <c r="C63" s="18">
        <f t="shared" ref="C63:D63" si="5">C12</f>
        <v>-0.29486073487428677</v>
      </c>
      <c r="D63" s="18">
        <f t="shared" si="5"/>
        <v>0.15000000000000002</v>
      </c>
      <c r="G63"/>
      <c r="H63"/>
      <c r="I63"/>
      <c r="J63"/>
      <c r="K63"/>
      <c r="L63"/>
      <c r="M63"/>
      <c r="N63"/>
      <c r="O63"/>
      <c r="P63"/>
      <c r="Q63"/>
      <c r="R63"/>
      <c r="S63"/>
      <c r="T63"/>
    </row>
    <row r="64" spans="1:20" ht="13" customHeight="1">
      <c r="A64"/>
      <c r="B64" s="261">
        <f>(C62*D63)-(D62*C63)</f>
        <v>-1.4877686518562854</v>
      </c>
      <c r="C64" s="261">
        <f>(D62*B63)-(B62*D63)</f>
        <v>-1.411678902205304</v>
      </c>
      <c r="D64" s="261">
        <f>(B62*C63)-(C62*B63)</f>
        <v>1.694450591546083</v>
      </c>
      <c r="G64" s="252">
        <f>(B64^2+C64^2+D64^2)^0.5</f>
        <v>2.6603487913370891</v>
      </c>
      <c r="H64"/>
      <c r="I64"/>
      <c r="J64"/>
      <c r="K64"/>
      <c r="L64" t="s">
        <v>21</v>
      </c>
      <c r="M64"/>
      <c r="N64"/>
      <c r="O64"/>
      <c r="P64"/>
      <c r="Q64"/>
      <c r="R64"/>
      <c r="S64"/>
      <c r="T64"/>
    </row>
    <row r="65" spans="1:20" ht="13" customHeight="1">
      <c r="A65"/>
      <c r="G65" s="262">
        <f>G64-E40</f>
        <v>0</v>
      </c>
      <c r="H65"/>
      <c r="I65"/>
      <c r="K65" s="108">
        <f>B12</f>
        <v>0.45061862703332134</v>
      </c>
      <c r="L65" s="108">
        <f>C12</f>
        <v>-0.29486073487428677</v>
      </c>
      <c r="P65"/>
      <c r="Q65"/>
      <c r="R65"/>
      <c r="S65"/>
      <c r="T65"/>
    </row>
    <row r="66" spans="1:20" ht="13" customHeight="1">
      <c r="G66"/>
      <c r="H66"/>
      <c r="I66"/>
      <c r="K66" s="108">
        <f>B28</f>
        <v>0.38457100751530737</v>
      </c>
      <c r="L66" s="108">
        <f>C28</f>
        <v>-0.28036783978893148</v>
      </c>
      <c r="P66"/>
      <c r="Q66"/>
      <c r="R66"/>
      <c r="S66"/>
      <c r="T66"/>
    </row>
    <row r="67" spans="1:20" ht="13" customHeight="1">
      <c r="B67" s="2" t="s">
        <v>380</v>
      </c>
      <c r="G67"/>
      <c r="H67"/>
      <c r="I67"/>
      <c r="J67"/>
      <c r="K67" s="92">
        <f>B29</f>
        <v>0.17002806285069749</v>
      </c>
      <c r="L67" s="92">
        <f>C29</f>
        <v>-0.23329046726562169</v>
      </c>
      <c r="M67"/>
      <c r="N67"/>
      <c r="O67"/>
      <c r="P67"/>
      <c r="Q67"/>
      <c r="R67"/>
      <c r="S67"/>
      <c r="T67"/>
    </row>
    <row r="68" spans="1:20" ht="13" customHeight="1">
      <c r="B68" s="3" t="s">
        <v>378</v>
      </c>
      <c r="C68" s="3" t="s">
        <v>229</v>
      </c>
      <c r="D68" s="3" t="s">
        <v>230</v>
      </c>
      <c r="G68"/>
      <c r="H68"/>
      <c r="I68"/>
      <c r="J68"/>
      <c r="K68"/>
      <c r="L68"/>
      <c r="M68"/>
      <c r="N68"/>
      <c r="O68"/>
      <c r="P68"/>
      <c r="Q68"/>
      <c r="R68"/>
      <c r="S68"/>
      <c r="T68"/>
    </row>
    <row r="69" spans="1:20" ht="13" customHeight="1">
      <c r="A69" s="38" t="s">
        <v>227</v>
      </c>
      <c r="B69" s="6">
        <f>-D28</f>
        <v>-0.12801435108680159</v>
      </c>
      <c r="C69" s="6">
        <f>B28</f>
        <v>0.38457100751530737</v>
      </c>
      <c r="D69" s="6">
        <f>C28</f>
        <v>-0.28036783978893148</v>
      </c>
      <c r="G69"/>
      <c r="H69"/>
      <c r="I69"/>
      <c r="J69"/>
      <c r="K69"/>
      <c r="L69"/>
      <c r="M69"/>
      <c r="N69"/>
      <c r="O69"/>
      <c r="P69"/>
      <c r="Q69"/>
      <c r="R69"/>
      <c r="S69"/>
      <c r="T69"/>
    </row>
    <row r="70" spans="1:20" ht="13" customHeight="1">
      <c r="A70" s="38" t="s">
        <v>228</v>
      </c>
      <c r="B70" s="6">
        <f>-D29</f>
        <v>-5.6598213872145808E-2</v>
      </c>
      <c r="C70" s="6">
        <f>B29</f>
        <v>0.17002806285069749</v>
      </c>
      <c r="D70" s="6">
        <f>C29</f>
        <v>-0.23329046726562169</v>
      </c>
      <c r="G70"/>
      <c r="H70"/>
      <c r="I70"/>
      <c r="J70"/>
      <c r="K70"/>
      <c r="L70"/>
      <c r="M70"/>
      <c r="N70"/>
      <c r="O70"/>
      <c r="P70"/>
      <c r="Q70"/>
      <c r="R70"/>
      <c r="S70"/>
      <c r="T70"/>
    </row>
    <row r="71" spans="1:20" ht="13" customHeight="1">
      <c r="E71" s="2" t="s">
        <v>379</v>
      </c>
      <c r="G71"/>
      <c r="H71"/>
      <c r="I71"/>
      <c r="J71"/>
      <c r="K71"/>
      <c r="L71"/>
      <c r="M71"/>
      <c r="N71"/>
      <c r="O71"/>
      <c r="P71"/>
      <c r="Q71"/>
      <c r="R71" s="90"/>
      <c r="T71"/>
    </row>
    <row r="72" spans="1:20" ht="13" customHeight="1">
      <c r="A72" s="371" t="s">
        <v>376</v>
      </c>
      <c r="B72" s="6">
        <f>B69</f>
        <v>-0.12801435108680159</v>
      </c>
      <c r="C72" s="6">
        <f>C69*COS(E$72) - D69*SIN(E$72)</f>
        <v>0.1542097405668649</v>
      </c>
      <c r="D72" s="6">
        <f>C69*SIN(E72) + D69*COS(E72)</f>
        <v>-0.45024475713055312</v>
      </c>
      <c r="E72" s="369">
        <f>-RADIANS('Input Data'!D8)</f>
        <v>-0.6108652381980153</v>
      </c>
      <c r="G72"/>
      <c r="H72"/>
      <c r="I72"/>
      <c r="J72"/>
      <c r="K72"/>
      <c r="L72"/>
      <c r="M72"/>
      <c r="N72"/>
      <c r="O72"/>
      <c r="P72"/>
      <c r="Q72"/>
      <c r="R72" s="90"/>
      <c r="T72"/>
    </row>
    <row r="73" spans="1:20">
      <c r="A73" s="371" t="s">
        <v>377</v>
      </c>
      <c r="B73" s="6">
        <f>B70</f>
        <v>-5.6598213872145808E-2</v>
      </c>
      <c r="C73" s="6">
        <f>C70*COS(E$72) - D70*SIN(E$72)</f>
        <v>5.4689204217603649E-3</v>
      </c>
      <c r="D73" s="6">
        <f>C70*SIN(E72) + D70*COS(E72)</f>
        <v>-0.28862445354334287</v>
      </c>
      <c r="G73"/>
      <c r="H73"/>
      <c r="I73"/>
      <c r="J73"/>
      <c r="K73"/>
      <c r="L73"/>
      <c r="M73"/>
      <c r="N73"/>
      <c r="O73"/>
      <c r="P73"/>
      <c r="Q73"/>
      <c r="R73" s="90"/>
      <c r="T73"/>
    </row>
    <row r="74" spans="1:20">
      <c r="A74" s="371" t="s">
        <v>377</v>
      </c>
      <c r="B74" s="6">
        <f>B12</f>
        <v>0.45061862703332134</v>
      </c>
      <c r="C74" s="6">
        <f>C12*COS(E$72) - D12*SIN(E$72)</f>
        <v>-0.1554993083001695</v>
      </c>
      <c r="D74" s="6">
        <f>C12*SIN(E72) + D12*COS(E72)</f>
        <v>0.29199797617239276</v>
      </c>
      <c r="G74"/>
      <c r="H74"/>
      <c r="I74"/>
      <c r="J74"/>
      <c r="K74"/>
      <c r="L74"/>
      <c r="M74"/>
      <c r="N74"/>
      <c r="O74"/>
      <c r="P74"/>
      <c r="Q74"/>
      <c r="R74"/>
      <c r="T74"/>
    </row>
    <row r="75" spans="1:20">
      <c r="G75"/>
      <c r="H75"/>
      <c r="I75"/>
      <c r="J75"/>
      <c r="K75"/>
      <c r="L75"/>
      <c r="M75"/>
      <c r="N75"/>
      <c r="O75"/>
      <c r="P75"/>
      <c r="Q75"/>
      <c r="R75"/>
      <c r="T75"/>
    </row>
    <row r="76" spans="1:20">
      <c r="G76"/>
      <c r="H76"/>
      <c r="I76"/>
      <c r="J76"/>
      <c r="K76"/>
      <c r="L76"/>
      <c r="M76"/>
      <c r="N76"/>
      <c r="O76"/>
      <c r="P76"/>
      <c r="Q76"/>
      <c r="R76" s="92"/>
      <c r="T76"/>
    </row>
    <row r="77" spans="1:20">
      <c r="G77"/>
      <c r="H77"/>
      <c r="I77"/>
      <c r="J77"/>
      <c r="K77"/>
      <c r="L77"/>
      <c r="M77"/>
      <c r="N77"/>
      <c r="O77"/>
      <c r="P77"/>
      <c r="Q77"/>
      <c r="R77" s="90"/>
      <c r="T77"/>
    </row>
    <row r="78" spans="1:20">
      <c r="E78" s="61"/>
      <c r="G78"/>
      <c r="H78"/>
      <c r="I78"/>
      <c r="J78"/>
      <c r="K78"/>
      <c r="L78"/>
      <c r="M78"/>
      <c r="N78"/>
      <c r="O78"/>
      <c r="P78"/>
      <c r="Q78"/>
      <c r="R78" s="90"/>
      <c r="T78"/>
    </row>
    <row r="79" spans="1:20">
      <c r="G79"/>
      <c r="H79"/>
      <c r="I79"/>
      <c r="J79"/>
      <c r="K79"/>
      <c r="L79"/>
      <c r="M79"/>
      <c r="N79"/>
      <c r="O79"/>
      <c r="P79"/>
      <c r="Q79"/>
      <c r="R79" s="90"/>
      <c r="T79"/>
    </row>
    <row r="80" spans="1:20">
      <c r="G80"/>
      <c r="H80"/>
      <c r="I80"/>
      <c r="J80"/>
      <c r="K80"/>
      <c r="L80"/>
      <c r="M80"/>
      <c r="N80"/>
      <c r="O80"/>
      <c r="P80"/>
      <c r="Q80"/>
      <c r="R80"/>
      <c r="S80"/>
      <c r="T80"/>
    </row>
    <row r="81" spans="7:20">
      <c r="G81"/>
      <c r="H81"/>
      <c r="I81"/>
      <c r="J81"/>
      <c r="K81"/>
      <c r="L81"/>
      <c r="M81"/>
      <c r="N81"/>
      <c r="O81"/>
      <c r="P81"/>
      <c r="Q81"/>
      <c r="R81"/>
      <c r="S81"/>
      <c r="T81"/>
    </row>
    <row r="82" spans="7:20">
      <c r="G82"/>
      <c r="H82"/>
      <c r="I82"/>
      <c r="J82"/>
      <c r="K82"/>
      <c r="L82"/>
      <c r="M82"/>
      <c r="N82"/>
      <c r="O82"/>
      <c r="P82"/>
      <c r="Q82"/>
      <c r="R82"/>
      <c r="S82"/>
      <c r="T82"/>
    </row>
    <row r="83" spans="7:20">
      <c r="G83"/>
      <c r="H83"/>
      <c r="I83"/>
      <c r="J83"/>
      <c r="K83"/>
      <c r="L83"/>
      <c r="M83"/>
      <c r="N83"/>
      <c r="O83"/>
      <c r="P83"/>
      <c r="Q83"/>
      <c r="R83"/>
      <c r="S83"/>
      <c r="T83"/>
    </row>
    <row r="84" spans="7:20">
      <c r="G84"/>
      <c r="H84"/>
      <c r="I84"/>
      <c r="J84"/>
      <c r="K84"/>
      <c r="L84"/>
      <c r="M84"/>
      <c r="N84"/>
      <c r="O84"/>
      <c r="P84"/>
      <c r="Q84"/>
      <c r="R84"/>
      <c r="S84"/>
      <c r="T84"/>
    </row>
    <row r="85" spans="7:20">
      <c r="G85"/>
      <c r="H85"/>
      <c r="I85"/>
      <c r="J85"/>
      <c r="K85"/>
      <c r="L85"/>
      <c r="M85"/>
      <c r="N85"/>
      <c r="O85"/>
      <c r="P85"/>
      <c r="Q85"/>
      <c r="R85"/>
      <c r="S85"/>
      <c r="T85"/>
    </row>
    <row r="86" spans="7:20">
      <c r="G86"/>
      <c r="H86"/>
      <c r="I86"/>
      <c r="J86"/>
      <c r="K86"/>
      <c r="L86"/>
      <c r="M86"/>
      <c r="N86"/>
      <c r="O86"/>
      <c r="P86"/>
      <c r="Q86"/>
      <c r="R86"/>
      <c r="S86"/>
      <c r="T86"/>
    </row>
    <row r="87" spans="7:20">
      <c r="G87"/>
      <c r="H87"/>
      <c r="I87"/>
      <c r="J87"/>
      <c r="K87"/>
      <c r="L87"/>
      <c r="M87"/>
      <c r="N87"/>
      <c r="O87"/>
      <c r="P87"/>
      <c r="Q87"/>
      <c r="R87"/>
      <c r="S87"/>
      <c r="T87"/>
    </row>
    <row r="88" spans="7:20">
      <c r="G88"/>
      <c r="H88"/>
      <c r="I88"/>
      <c r="J88"/>
      <c r="K88"/>
      <c r="L88"/>
      <c r="M88"/>
      <c r="N88"/>
      <c r="O88"/>
      <c r="P88"/>
      <c r="Q88"/>
      <c r="R88"/>
      <c r="S88"/>
      <c r="T88"/>
    </row>
    <row r="89" spans="7:20">
      <c r="G89"/>
      <c r="H89"/>
      <c r="I89"/>
      <c r="J89"/>
      <c r="K89"/>
      <c r="L89"/>
      <c r="M89"/>
      <c r="N89"/>
      <c r="O89"/>
      <c r="P89"/>
      <c r="Q89"/>
      <c r="R89"/>
      <c r="S89"/>
      <c r="T89"/>
    </row>
    <row r="90" spans="7:20">
      <c r="G90"/>
      <c r="H90"/>
      <c r="I90"/>
      <c r="J90"/>
      <c r="K90"/>
      <c r="L90"/>
      <c r="M90"/>
      <c r="N90"/>
      <c r="O90"/>
      <c r="P90"/>
      <c r="Q90"/>
      <c r="R90"/>
      <c r="S90"/>
      <c r="T90"/>
    </row>
    <row r="91" spans="7:20">
      <c r="G91"/>
      <c r="H91"/>
      <c r="I91"/>
      <c r="J91"/>
      <c r="K91"/>
      <c r="L91"/>
      <c r="M91"/>
      <c r="N91"/>
      <c r="O91"/>
      <c r="P91"/>
      <c r="Q91"/>
      <c r="R91"/>
      <c r="S91"/>
      <c r="T91"/>
    </row>
    <row r="92" spans="7:20">
      <c r="G92"/>
      <c r="H92"/>
      <c r="I92"/>
      <c r="J92"/>
      <c r="K92"/>
      <c r="L92"/>
      <c r="M92"/>
      <c r="N92"/>
      <c r="O92"/>
      <c r="P92"/>
      <c r="Q92"/>
      <c r="R92"/>
      <c r="S92"/>
      <c r="T92"/>
    </row>
    <row r="93" spans="7:20">
      <c r="G93"/>
      <c r="H93"/>
      <c r="I93"/>
      <c r="J93"/>
      <c r="K93"/>
      <c r="L93"/>
      <c r="M93"/>
      <c r="N93"/>
      <c r="O93"/>
      <c r="P93"/>
      <c r="Q93"/>
      <c r="R93"/>
      <c r="S93"/>
      <c r="T93"/>
    </row>
    <row r="94" spans="7:20">
      <c r="G94"/>
      <c r="H94"/>
      <c r="I94"/>
      <c r="J94"/>
      <c r="K94"/>
      <c r="L94"/>
      <c r="M94"/>
      <c r="N94"/>
      <c r="O94"/>
      <c r="P94"/>
      <c r="Q94"/>
      <c r="R94"/>
      <c r="S94"/>
      <c r="T94"/>
    </row>
    <row r="95" spans="7:20">
      <c r="G95"/>
      <c r="H95"/>
      <c r="I95"/>
      <c r="J95"/>
      <c r="K95"/>
      <c r="L95"/>
      <c r="M95"/>
      <c r="N95"/>
      <c r="O95"/>
      <c r="P95"/>
      <c r="Q95"/>
      <c r="R95"/>
      <c r="S95"/>
      <c r="T95"/>
    </row>
    <row r="96" spans="7:20">
      <c r="G96"/>
      <c r="H96"/>
      <c r="I96"/>
      <c r="J96"/>
      <c r="K96"/>
      <c r="L96"/>
      <c r="M96"/>
      <c r="N96"/>
      <c r="O96"/>
      <c r="P96"/>
      <c r="Q96"/>
      <c r="R96"/>
      <c r="S96"/>
      <c r="T96"/>
    </row>
    <row r="97" spans="7:20">
      <c r="G97"/>
      <c r="H97"/>
      <c r="I97"/>
      <c r="J97"/>
      <c r="K97"/>
      <c r="L97"/>
      <c r="M97"/>
      <c r="N97"/>
      <c r="O97"/>
      <c r="P97"/>
      <c r="Q97"/>
      <c r="R97"/>
      <c r="S97"/>
      <c r="T97"/>
    </row>
    <row r="98" spans="7:20">
      <c r="G98"/>
      <c r="H98"/>
      <c r="I98"/>
      <c r="J98"/>
      <c r="K98"/>
      <c r="L98"/>
      <c r="M98"/>
      <c r="N98"/>
      <c r="O98"/>
      <c r="P98"/>
      <c r="Q98"/>
      <c r="R98"/>
      <c r="S98"/>
      <c r="T98"/>
    </row>
    <row r="99" spans="7:20">
      <c r="G99"/>
      <c r="H99"/>
      <c r="I99"/>
      <c r="J99"/>
      <c r="K99"/>
      <c r="L99"/>
      <c r="M99"/>
      <c r="N99"/>
      <c r="O99"/>
      <c r="P99"/>
      <c r="Q99"/>
      <c r="R99"/>
      <c r="S99"/>
      <c r="T99"/>
    </row>
    <row r="100" spans="7:20">
      <c r="G100"/>
      <c r="H100"/>
      <c r="I100"/>
      <c r="J100"/>
      <c r="K100"/>
      <c r="L100"/>
      <c r="M100"/>
      <c r="N100"/>
      <c r="O100"/>
      <c r="P100"/>
      <c r="Q100"/>
      <c r="R100"/>
      <c r="S100"/>
      <c r="T100"/>
    </row>
    <row r="101" spans="7:20">
      <c r="G101"/>
      <c r="H101"/>
      <c r="I101"/>
      <c r="J101"/>
      <c r="K101"/>
      <c r="L101"/>
      <c r="M101"/>
      <c r="N101"/>
      <c r="O101"/>
      <c r="P101"/>
      <c r="Q101"/>
      <c r="R101"/>
      <c r="S101"/>
      <c r="T101"/>
    </row>
    <row r="102" spans="7:20">
      <c r="G102"/>
      <c r="H102"/>
      <c r="I102"/>
      <c r="J102"/>
      <c r="K102"/>
      <c r="L102"/>
      <c r="M102"/>
      <c r="N102"/>
      <c r="O102"/>
      <c r="P102"/>
      <c r="Q102"/>
      <c r="R102"/>
      <c r="S102"/>
      <c r="T102"/>
    </row>
    <row r="103" spans="7:20">
      <c r="G103"/>
      <c r="H103"/>
      <c r="I103"/>
      <c r="J103"/>
      <c r="K103"/>
      <c r="L103"/>
      <c r="M103"/>
      <c r="N103"/>
      <c r="O103"/>
      <c r="P103"/>
      <c r="Q103"/>
      <c r="R103"/>
      <c r="S103"/>
      <c r="T103"/>
    </row>
    <row r="104" spans="7:20">
      <c r="G104"/>
      <c r="H104"/>
      <c r="I104"/>
      <c r="J104"/>
      <c r="K104"/>
      <c r="L104"/>
      <c r="M104"/>
      <c r="N104"/>
      <c r="O104"/>
      <c r="P104"/>
      <c r="Q104"/>
      <c r="R104"/>
      <c r="S104"/>
      <c r="T104"/>
    </row>
    <row r="105" spans="7:20">
      <c r="G105"/>
      <c r="H105"/>
      <c r="I105"/>
      <c r="J105"/>
      <c r="K105"/>
      <c r="L105"/>
      <c r="M105"/>
      <c r="N105"/>
      <c r="O105"/>
      <c r="P105"/>
      <c r="Q105"/>
      <c r="R105"/>
      <c r="S105"/>
      <c r="T105"/>
    </row>
    <row r="106" spans="7:20">
      <c r="G106"/>
      <c r="H106"/>
      <c r="I106"/>
      <c r="J106"/>
      <c r="K106"/>
      <c r="L106"/>
      <c r="M106"/>
      <c r="N106"/>
      <c r="O106"/>
      <c r="P106"/>
      <c r="Q106"/>
      <c r="R106"/>
      <c r="S106"/>
      <c r="T106"/>
    </row>
    <row r="107" spans="7:20">
      <c r="G107"/>
      <c r="H107"/>
      <c r="I107"/>
      <c r="J107"/>
      <c r="K107"/>
      <c r="L107"/>
      <c r="M107"/>
      <c r="N107"/>
      <c r="O107"/>
      <c r="P107"/>
      <c r="Q107"/>
      <c r="R107"/>
      <c r="S107"/>
      <c r="T107"/>
    </row>
    <row r="108" spans="7:20">
      <c r="G108"/>
      <c r="H108"/>
      <c r="I108"/>
      <c r="J108"/>
      <c r="K108"/>
      <c r="L108"/>
      <c r="M108"/>
      <c r="N108"/>
      <c r="O108"/>
      <c r="P108"/>
      <c r="Q108"/>
      <c r="R108"/>
      <c r="S108"/>
      <c r="T108"/>
    </row>
    <row r="109" spans="7:20">
      <c r="G109"/>
      <c r="H109"/>
      <c r="I109"/>
      <c r="J109"/>
      <c r="K109"/>
      <c r="L109"/>
      <c r="M109"/>
      <c r="N109"/>
      <c r="O109"/>
      <c r="P109"/>
      <c r="Q109"/>
      <c r="R109"/>
      <c r="S109"/>
      <c r="T109"/>
    </row>
    <row r="110" spans="7:20">
      <c r="G110"/>
      <c r="H110"/>
      <c r="I110"/>
      <c r="J110"/>
      <c r="K110"/>
      <c r="L110"/>
      <c r="M110"/>
      <c r="N110"/>
      <c r="O110"/>
      <c r="P110"/>
      <c r="Q110"/>
      <c r="R110"/>
      <c r="S110"/>
      <c r="T110"/>
    </row>
    <row r="111" spans="7:20">
      <c r="G111"/>
      <c r="H111"/>
      <c r="I111"/>
      <c r="J111"/>
      <c r="K111"/>
      <c r="L111"/>
      <c r="M111"/>
      <c r="N111"/>
      <c r="O111"/>
      <c r="P111"/>
      <c r="Q111"/>
      <c r="R111"/>
      <c r="S111"/>
      <c r="T111"/>
    </row>
    <row r="112" spans="7:20">
      <c r="G112"/>
      <c r="H112"/>
      <c r="I112"/>
      <c r="J112"/>
      <c r="K112"/>
      <c r="L112"/>
      <c r="M112"/>
      <c r="N112"/>
      <c r="O112"/>
      <c r="P112"/>
      <c r="Q112"/>
      <c r="R112"/>
      <c r="S112"/>
      <c r="T112"/>
    </row>
    <row r="113" spans="7:20">
      <c r="G113"/>
      <c r="H113"/>
      <c r="I113"/>
      <c r="J113"/>
      <c r="K113"/>
      <c r="L113"/>
      <c r="M113"/>
      <c r="N113"/>
      <c r="O113"/>
      <c r="P113"/>
      <c r="Q113"/>
      <c r="R113"/>
      <c r="S113"/>
      <c r="T113"/>
    </row>
    <row r="114" spans="7:20">
      <c r="G114"/>
      <c r="H114"/>
      <c r="I114"/>
      <c r="J114"/>
      <c r="K114"/>
      <c r="L114"/>
      <c r="M114"/>
      <c r="N114"/>
      <c r="O114"/>
      <c r="P114"/>
      <c r="Q114"/>
      <c r="R114"/>
      <c r="S114"/>
      <c r="T114"/>
    </row>
    <row r="115" spans="7:20">
      <c r="G115"/>
      <c r="H115"/>
      <c r="I115"/>
      <c r="J115"/>
      <c r="K115"/>
      <c r="L115"/>
      <c r="M115"/>
      <c r="N115"/>
      <c r="O115"/>
      <c r="P115"/>
      <c r="Q115"/>
      <c r="R115"/>
      <c r="S115"/>
      <c r="T115"/>
    </row>
    <row r="116" spans="7:20">
      <c r="G116"/>
      <c r="H116"/>
      <c r="I116"/>
      <c r="J116"/>
      <c r="K116"/>
      <c r="L116"/>
      <c r="M116"/>
      <c r="N116"/>
      <c r="O116"/>
      <c r="P116"/>
      <c r="Q116"/>
      <c r="R116"/>
      <c r="S116"/>
      <c r="T116"/>
    </row>
    <row r="117" spans="7:20">
      <c r="G117"/>
      <c r="H117"/>
      <c r="I117"/>
      <c r="J117"/>
      <c r="K117"/>
      <c r="L117"/>
      <c r="M117"/>
      <c r="N117"/>
      <c r="O117"/>
      <c r="P117"/>
      <c r="Q117"/>
      <c r="R117"/>
      <c r="S117"/>
      <c r="T117"/>
    </row>
    <row r="118" spans="7:20">
      <c r="G118"/>
      <c r="H118"/>
      <c r="I118"/>
      <c r="J118"/>
      <c r="K118"/>
      <c r="L118"/>
      <c r="M118"/>
      <c r="N118"/>
      <c r="O118"/>
      <c r="P118"/>
      <c r="Q118"/>
      <c r="R118"/>
      <c r="S118"/>
      <c r="T118"/>
    </row>
    <row r="119" spans="7:20">
      <c r="G119"/>
      <c r="H119"/>
      <c r="I119"/>
      <c r="J119"/>
      <c r="K119"/>
      <c r="L119"/>
      <c r="M119"/>
      <c r="N119"/>
      <c r="O119"/>
      <c r="P119"/>
      <c r="Q119"/>
      <c r="R119"/>
      <c r="S119"/>
      <c r="T119"/>
    </row>
    <row r="120" spans="7:20">
      <c r="G120"/>
      <c r="H120"/>
      <c r="I120"/>
      <c r="J120"/>
      <c r="K120"/>
      <c r="L120"/>
      <c r="M120"/>
      <c r="N120"/>
      <c r="O120"/>
      <c r="P120"/>
      <c r="Q120"/>
      <c r="R120"/>
      <c r="S120"/>
      <c r="T120"/>
    </row>
    <row r="121" spans="7:20">
      <c r="G121"/>
      <c r="H121"/>
      <c r="I121"/>
      <c r="J121"/>
      <c r="K121"/>
      <c r="L121"/>
      <c r="M121"/>
      <c r="N121"/>
      <c r="O121"/>
      <c r="P121"/>
      <c r="Q121"/>
      <c r="R121"/>
      <c r="S121"/>
      <c r="T121"/>
    </row>
    <row r="122" spans="7:20">
      <c r="G122"/>
      <c r="H122"/>
      <c r="I122"/>
      <c r="J122"/>
      <c r="K122"/>
      <c r="L122"/>
      <c r="M122"/>
      <c r="N122"/>
      <c r="O122"/>
      <c r="P122"/>
      <c r="Q122"/>
      <c r="R122"/>
      <c r="S122"/>
      <c r="T122"/>
    </row>
    <row r="123" spans="7:20">
      <c r="G123"/>
      <c r="H123"/>
      <c r="I123"/>
      <c r="J123"/>
      <c r="K123"/>
      <c r="L123"/>
      <c r="M123"/>
      <c r="N123"/>
      <c r="O123"/>
      <c r="P123"/>
      <c r="Q123"/>
      <c r="R123"/>
      <c r="S123"/>
      <c r="T123"/>
    </row>
    <row r="124" spans="7:20">
      <c r="G124"/>
      <c r="H124"/>
      <c r="I124"/>
      <c r="J124"/>
      <c r="K124"/>
      <c r="L124"/>
      <c r="M124"/>
      <c r="N124"/>
      <c r="O124"/>
      <c r="P124"/>
      <c r="Q124"/>
      <c r="R124"/>
      <c r="S124"/>
      <c r="T124"/>
    </row>
    <row r="125" spans="7:20">
      <c r="G125"/>
      <c r="H125"/>
      <c r="I125"/>
      <c r="J125"/>
      <c r="K125"/>
      <c r="L125"/>
      <c r="M125"/>
      <c r="N125"/>
      <c r="O125"/>
      <c r="P125"/>
      <c r="Q125"/>
      <c r="R125"/>
      <c r="S125"/>
      <c r="T125"/>
    </row>
    <row r="126" spans="7:20">
      <c r="G126"/>
      <c r="H126"/>
      <c r="I126"/>
      <c r="J126"/>
      <c r="K126"/>
      <c r="L126"/>
      <c r="M126"/>
      <c r="N126"/>
      <c r="O126"/>
      <c r="P126"/>
      <c r="Q126"/>
      <c r="R126"/>
      <c r="S126"/>
      <c r="T126"/>
    </row>
    <row r="127" spans="7:20">
      <c r="G127"/>
      <c r="H127"/>
      <c r="I127"/>
      <c r="J127"/>
      <c r="K127"/>
      <c r="L127"/>
      <c r="M127"/>
      <c r="N127"/>
      <c r="O127"/>
      <c r="P127"/>
      <c r="Q127"/>
      <c r="R127"/>
      <c r="S127"/>
      <c r="T127"/>
    </row>
    <row r="128" spans="7:20">
      <c r="G128"/>
      <c r="H128"/>
      <c r="I128"/>
      <c r="J128"/>
      <c r="K128"/>
      <c r="L128"/>
      <c r="M128"/>
      <c r="N128"/>
      <c r="O128"/>
      <c r="P128"/>
      <c r="Q128"/>
      <c r="R128"/>
      <c r="S128"/>
      <c r="T128"/>
    </row>
    <row r="129" spans="7:20">
      <c r="G129"/>
      <c r="H129"/>
      <c r="I129"/>
      <c r="J129"/>
      <c r="K129"/>
      <c r="L129"/>
      <c r="M129"/>
      <c r="N129"/>
      <c r="O129"/>
      <c r="P129"/>
      <c r="Q129"/>
      <c r="R129"/>
      <c r="S129"/>
      <c r="T129"/>
    </row>
    <row r="130" spans="7:20">
      <c r="G130"/>
      <c r="H130"/>
      <c r="I130"/>
      <c r="J130"/>
      <c r="K130"/>
      <c r="L130"/>
      <c r="M130"/>
      <c r="N130"/>
      <c r="O130"/>
      <c r="P130"/>
      <c r="Q130"/>
      <c r="R130"/>
      <c r="S130"/>
      <c r="T130"/>
    </row>
    <row r="131" spans="7:20">
      <c r="G131"/>
      <c r="H131"/>
      <c r="I131"/>
      <c r="J131"/>
      <c r="K131"/>
      <c r="L131"/>
      <c r="M131"/>
      <c r="N131"/>
      <c r="O131"/>
      <c r="P131"/>
      <c r="Q131"/>
      <c r="R131"/>
      <c r="S131"/>
      <c r="T131"/>
    </row>
    <row r="132" spans="7:20">
      <c r="G132"/>
      <c r="H132"/>
      <c r="I132"/>
      <c r="J132"/>
      <c r="K132"/>
      <c r="L132"/>
      <c r="M132"/>
      <c r="N132"/>
      <c r="O132"/>
      <c r="P132"/>
      <c r="Q132"/>
      <c r="R132"/>
      <c r="S132"/>
      <c r="T132"/>
    </row>
    <row r="133" spans="7:20">
      <c r="G133"/>
      <c r="H133"/>
      <c r="I133"/>
      <c r="J133"/>
      <c r="K133"/>
      <c r="L133"/>
      <c r="M133"/>
      <c r="N133"/>
      <c r="O133"/>
      <c r="P133"/>
      <c r="Q133"/>
      <c r="R133"/>
      <c r="S133"/>
      <c r="T133"/>
    </row>
    <row r="134" spans="7:20">
      <c r="G134"/>
      <c r="H134"/>
      <c r="I134"/>
      <c r="J134"/>
      <c r="K134"/>
      <c r="L134"/>
      <c r="M134"/>
      <c r="N134"/>
      <c r="O134"/>
      <c r="P134"/>
      <c r="Q134"/>
      <c r="R134"/>
      <c r="S134"/>
      <c r="T134"/>
    </row>
    <row r="135" spans="7:20">
      <c r="G135"/>
      <c r="H135"/>
      <c r="I135"/>
      <c r="J135"/>
      <c r="K135"/>
      <c r="L135"/>
      <c r="M135"/>
      <c r="N135"/>
      <c r="O135"/>
      <c r="P135"/>
      <c r="Q135"/>
      <c r="R135"/>
      <c r="S135"/>
      <c r="T135"/>
    </row>
    <row r="136" spans="7:20">
      <c r="G136"/>
      <c r="H136"/>
      <c r="I136"/>
      <c r="J136"/>
      <c r="K136"/>
      <c r="L136"/>
      <c r="M136"/>
      <c r="N136"/>
      <c r="O136"/>
      <c r="P136"/>
      <c r="Q136"/>
      <c r="R136"/>
      <c r="S136"/>
      <c r="T136"/>
    </row>
    <row r="137" spans="7:20">
      <c r="G137"/>
      <c r="H137"/>
      <c r="I137"/>
      <c r="J137"/>
      <c r="K137"/>
      <c r="L137"/>
      <c r="M137"/>
      <c r="N137"/>
      <c r="O137"/>
      <c r="P137"/>
      <c r="Q137"/>
      <c r="R137"/>
      <c r="S137"/>
      <c r="T137"/>
    </row>
    <row r="138" spans="7:20">
      <c r="G138"/>
      <c r="H138"/>
      <c r="I138"/>
      <c r="J138"/>
      <c r="K138"/>
      <c r="L138"/>
      <c r="M138"/>
      <c r="N138"/>
      <c r="O138"/>
      <c r="P138"/>
      <c r="Q138"/>
      <c r="R138"/>
      <c r="S138"/>
      <c r="T138"/>
    </row>
  </sheetData>
  <sheetProtection selectLockedCells="1" selectUnlockedCells="1"/>
  <mergeCells count="16">
    <mergeCell ref="X26:AB27"/>
    <mergeCell ref="B2:B3"/>
    <mergeCell ref="C2:C3"/>
    <mergeCell ref="D2:F2"/>
    <mergeCell ref="G2:I2"/>
    <mergeCell ref="J2:L2"/>
    <mergeCell ref="M2:O2"/>
    <mergeCell ref="E27:G27"/>
    <mergeCell ref="J58:P59"/>
    <mergeCell ref="P2:P3"/>
    <mergeCell ref="Q2:S2"/>
    <mergeCell ref="D5:L5"/>
    <mergeCell ref="I26:N27"/>
    <mergeCell ref="Q26:W28"/>
    <mergeCell ref="S14:T14"/>
    <mergeCell ref="S15:T15"/>
  </mergeCells>
  <conditionalFormatting sqref="B42:D44">
    <cfRule type="cellIs" dxfId="27" priority="12" operator="equal">
      <formula>0</formula>
    </cfRule>
  </conditionalFormatting>
  <conditionalFormatting sqref="B63:D63">
    <cfRule type="cellIs" dxfId="26" priority="11" operator="equal">
      <formula>0</formula>
    </cfRule>
  </conditionalFormatting>
  <conditionalFormatting sqref="E28:H29">
    <cfRule type="containsBlanks" dxfId="25" priority="9">
      <formula>LEN(TRIM(E28))=0</formula>
    </cfRule>
  </conditionalFormatting>
  <conditionalFormatting sqref="H11:J13">
    <cfRule type="cellIs" dxfId="24" priority="20" operator="equal">
      <formula>0</formula>
    </cfRule>
    <cfRule type="cellIs" dxfId="23" priority="15" operator="equal">
      <formula>1</formula>
    </cfRule>
  </conditionalFormatting>
  <conditionalFormatting sqref="T19">
    <cfRule type="cellIs" dxfId="22" priority="8" operator="greaterThan">
      <formula>$D$10</formula>
    </cfRule>
    <cfRule type="cellIs" dxfId="21" priority="7" operator="lessThan">
      <formula>$D$9</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432FF"/>
  </sheetPr>
  <dimension ref="A1:AB138"/>
  <sheetViews>
    <sheetView showGridLines="0" zoomScale="110" zoomScaleNormal="110" zoomScalePageLayoutView="125" workbookViewId="0">
      <selection activeCell="U20" sqref="U20"/>
    </sheetView>
  </sheetViews>
  <sheetFormatPr baseColWidth="10" defaultColWidth="10.6640625" defaultRowHeight="14"/>
  <cols>
    <col min="1" max="1" width="49.5" style="2" customWidth="1"/>
    <col min="2" max="4" width="9.33203125" style="2" customWidth="1"/>
    <col min="5" max="21" width="7.83203125" style="2" customWidth="1"/>
    <col min="22" max="16384" width="10.6640625" style="2"/>
  </cols>
  <sheetData>
    <row r="1" spans="1:23" ht="18">
      <c r="A1" s="125" t="s">
        <v>160</v>
      </c>
      <c r="B1" s="34"/>
      <c r="C1" s="34"/>
      <c r="D1" s="34"/>
      <c r="E1" s="34"/>
      <c r="F1" s="34"/>
      <c r="G1" s="34"/>
      <c r="H1" s="34"/>
      <c r="I1" s="34"/>
      <c r="J1" s="34"/>
      <c r="K1" s="34"/>
      <c r="L1" s="34"/>
      <c r="M1" s="34"/>
      <c r="N1" s="34"/>
      <c r="O1" s="34"/>
      <c r="P1" s="34"/>
      <c r="Q1" s="34"/>
      <c r="R1" s="34"/>
      <c r="S1" s="34"/>
    </row>
    <row r="2" spans="1:23">
      <c r="A2" s="1" t="s">
        <v>84</v>
      </c>
      <c r="B2" s="618" t="s">
        <v>0</v>
      </c>
      <c r="C2" s="619" t="s">
        <v>1</v>
      </c>
      <c r="D2" s="620" t="s">
        <v>2</v>
      </c>
      <c r="E2" s="620"/>
      <c r="F2" s="620"/>
      <c r="G2" s="621" t="s">
        <v>3</v>
      </c>
      <c r="H2" s="621"/>
      <c r="I2" s="621"/>
      <c r="J2" s="620" t="s">
        <v>4</v>
      </c>
      <c r="K2" s="620"/>
      <c r="L2" s="620"/>
      <c r="M2" s="622" t="s">
        <v>5</v>
      </c>
      <c r="N2" s="622"/>
      <c r="O2" s="622"/>
      <c r="P2" s="624" t="s">
        <v>6</v>
      </c>
      <c r="Q2" s="612" t="s">
        <v>86</v>
      </c>
      <c r="R2" s="612"/>
      <c r="S2" s="612"/>
    </row>
    <row r="3" spans="1:23">
      <c r="B3" s="618"/>
      <c r="C3" s="619"/>
      <c r="D3" s="3" t="s">
        <v>7</v>
      </c>
      <c r="E3" s="3" t="s">
        <v>8</v>
      </c>
      <c r="F3" s="3" t="s">
        <v>9</v>
      </c>
      <c r="G3" s="3" t="s">
        <v>7</v>
      </c>
      <c r="H3" s="3" t="s">
        <v>8</v>
      </c>
      <c r="I3" s="3" t="s">
        <v>9</v>
      </c>
      <c r="J3" s="3" t="s">
        <v>7</v>
      </c>
      <c r="K3" s="3" t="s">
        <v>8</v>
      </c>
      <c r="L3" s="3" t="s">
        <v>9</v>
      </c>
      <c r="M3" s="3" t="s">
        <v>7</v>
      </c>
      <c r="N3" s="3" t="s">
        <v>8</v>
      </c>
      <c r="O3" s="3" t="s">
        <v>9</v>
      </c>
      <c r="P3" s="625"/>
      <c r="Q3" s="3" t="s">
        <v>7</v>
      </c>
      <c r="R3" s="3" t="s">
        <v>8</v>
      </c>
      <c r="S3" s="3" t="s">
        <v>9</v>
      </c>
    </row>
    <row r="4" spans="1:23">
      <c r="A4" s="4" t="s">
        <v>10</v>
      </c>
      <c r="B4" s="122">
        <f>'Input Data'!D5</f>
        <v>73.5</v>
      </c>
      <c r="C4" s="123">
        <f>'Input Data'!D6</f>
        <v>1.619</v>
      </c>
      <c r="D4" s="5">
        <f>'Lft - Gravity correction'!D4</f>
        <v>0.1817</v>
      </c>
      <c r="E4" s="5">
        <f>'Lft - Gravity correction'!E4</f>
        <v>0.1439</v>
      </c>
      <c r="F4" s="5">
        <f>'Lft - Gravity correction'!F4</f>
        <v>4.4299999999999999E-2</v>
      </c>
      <c r="G4" s="5">
        <f>'Lft - Gravity correction'!G4</f>
        <v>0.53220000000000001</v>
      </c>
      <c r="H4" s="5">
        <f>'Lft - Gravity correction'!H4</f>
        <v>0.42170000000000002</v>
      </c>
      <c r="I4" s="5">
        <f>'Lft - Gravity correction'!I4</f>
        <v>0.74632444444444457</v>
      </c>
      <c r="J4" s="5">
        <f>'Lft - Gravity correction'!J4</f>
        <v>2.7E-2</v>
      </c>
      <c r="K4" s="5">
        <f>'Lft - Gravity correction'!K4</f>
        <v>1.49E-2</v>
      </c>
      <c r="L4" s="91">
        <f>'Lft - Gravity correction'!L4</f>
        <v>5.8999999999999999E-3</v>
      </c>
      <c r="M4" s="453">
        <f>'Lft - Gravity correction'!M4</f>
        <v>0.2941723</v>
      </c>
      <c r="N4" s="454">
        <f>'Lft - Gravity correction'!N4</f>
        <v>0.23297409999999999</v>
      </c>
      <c r="O4" s="454">
        <f>'Lft - Gravity correction'!O4</f>
        <v>7.1721699999999999E-2</v>
      </c>
      <c r="P4" s="7">
        <f>'Lft - Gravity correction'!P4</f>
        <v>0.59886810000000001</v>
      </c>
      <c r="Q4" s="25">
        <f>'Lft - Gravity correction'!Q4</f>
        <v>19.467945</v>
      </c>
      <c r="R4" s="25">
        <f>'Lft - Gravity correction'!R4</f>
        <v>10.743421500000002</v>
      </c>
      <c r="S4" s="25">
        <f>'Lft - Gravity correction'!S4</f>
        <v>4.2541064999999998</v>
      </c>
    </row>
    <row r="5" spans="1:23">
      <c r="A5" s="9" t="s">
        <v>11</v>
      </c>
      <c r="D5" s="626" t="str">
        <f>'Lft - Gravity correction'!$D$5</f>
        <v>These are based on 3DSSPP v7.1.3</v>
      </c>
      <c r="E5" s="626"/>
      <c r="F5" s="626"/>
      <c r="G5" s="626"/>
      <c r="H5" s="626"/>
      <c r="I5" s="626"/>
      <c r="J5" s="626"/>
      <c r="K5" s="626"/>
      <c r="L5" s="626"/>
      <c r="M5" s="93">
        <f>G4*M4</f>
        <v>0.15655849806</v>
      </c>
      <c r="N5" s="93">
        <f t="shared" ref="N5:O5" si="0">H4*N4</f>
        <v>9.824517797E-2</v>
      </c>
      <c r="O5" s="93">
        <f t="shared" si="0"/>
        <v>5.3527657907111122E-2</v>
      </c>
      <c r="Q5" s="93"/>
    </row>
    <row r="6" spans="1:23">
      <c r="O6" s="264">
        <f>SUM(M4:O4)</f>
        <v>0.59886810000000001</v>
      </c>
    </row>
    <row r="7" spans="1:23">
      <c r="O7" s="264"/>
    </row>
    <row r="8" spans="1:23">
      <c r="A8"/>
      <c r="B8"/>
      <c r="C8"/>
      <c r="D8"/>
      <c r="H8" s="2" t="s">
        <v>12</v>
      </c>
    </row>
    <row r="9" spans="1:23">
      <c r="A9"/>
      <c r="B9"/>
      <c r="C9"/>
      <c r="D9"/>
      <c r="E9" s="10"/>
      <c r="H9" s="2" t="s">
        <v>13</v>
      </c>
      <c r="L9" s="11" t="s">
        <v>14</v>
      </c>
      <c r="N9" s="12" t="s">
        <v>15</v>
      </c>
    </row>
    <row r="10" spans="1:23">
      <c r="B10" s="3" t="s">
        <v>229</v>
      </c>
      <c r="C10" s="3" t="s">
        <v>230</v>
      </c>
      <c r="D10" s="3" t="s">
        <v>231</v>
      </c>
      <c r="H10" s="13" t="s">
        <v>16</v>
      </c>
      <c r="I10" s="13" t="s">
        <v>17</v>
      </c>
      <c r="J10" s="13" t="s">
        <v>18</v>
      </c>
      <c r="L10" s="14" t="s">
        <v>19</v>
      </c>
      <c r="N10" s="15" t="s">
        <v>20</v>
      </c>
    </row>
    <row r="11" spans="1:23">
      <c r="B11" s="13" t="s">
        <v>21</v>
      </c>
      <c r="C11" s="13" t="s">
        <v>22</v>
      </c>
      <c r="D11" s="13" t="s">
        <v>23</v>
      </c>
      <c r="G11" s="16" t="s">
        <v>24</v>
      </c>
      <c r="H11" s="17">
        <f>'Hands wrt Shoulder Axis System'!K28</f>
        <v>0</v>
      </c>
      <c r="I11" s="17">
        <f>'Hands wrt Shoulder Axis System'!L28</f>
        <v>0.81915204428899191</v>
      </c>
      <c r="J11" s="17">
        <f>'Hands wrt Shoulder Axis System'!M28</f>
        <v>-0.57357643635104594</v>
      </c>
      <c r="K11" s="245">
        <f>(H11^2+I11^2+J11^2)^0.5</f>
        <v>1</v>
      </c>
      <c r="L11" s="5">
        <v>0</v>
      </c>
      <c r="N11" s="18">
        <f>L11*H11+L12*I11+L13*J11</f>
        <v>0.57357643635104594</v>
      </c>
      <c r="O11" s="115" t="s">
        <v>148</v>
      </c>
    </row>
    <row r="12" spans="1:23">
      <c r="A12" s="131" t="s">
        <v>262</v>
      </c>
      <c r="B12" s="132">
        <f>IF('Hands wrt Shoulder Axis System'!K46&lt;0,0,'Hands wrt Shoulder Axis System'!K46)</f>
        <v>0.27030317408049215</v>
      </c>
      <c r="C12" s="132">
        <f>'Hands wrt Shoulder Axis System'!L46</f>
        <v>0.31134577896931742</v>
      </c>
      <c r="D12" s="132">
        <f>'Hands wrt Shoulder Axis System'!M46</f>
        <v>0.2</v>
      </c>
      <c r="G12" s="16" t="s">
        <v>25</v>
      </c>
      <c r="H12" s="17">
        <f>'Hands wrt Shoulder Axis System'!K29</f>
        <v>0</v>
      </c>
      <c r="I12" s="17">
        <f>'Hands wrt Shoulder Axis System'!L29</f>
        <v>0.57357643635104594</v>
      </c>
      <c r="J12" s="17">
        <f>'Hands wrt Shoulder Axis System'!M29</f>
        <v>0.81915204428899191</v>
      </c>
      <c r="K12" s="245">
        <f>(H12^2+I12^2+J12^2)^0.5</f>
        <v>1</v>
      </c>
      <c r="L12" s="5">
        <v>0</v>
      </c>
      <c r="N12" s="18">
        <f>L11*H12+L12*I12+L13*J12</f>
        <v>-0.81915204428899191</v>
      </c>
      <c r="O12" s="115" t="s">
        <v>149</v>
      </c>
    </row>
    <row r="13" spans="1:23">
      <c r="F13" s="19"/>
      <c r="G13" s="16" t="s">
        <v>26</v>
      </c>
      <c r="H13" s="17">
        <f>'Hands wrt Shoulder Axis System'!K30</f>
        <v>1</v>
      </c>
      <c r="I13" s="17">
        <f>'Hands wrt Shoulder Axis System'!L30</f>
        <v>0</v>
      </c>
      <c r="J13" s="17">
        <f>'Hands wrt Shoulder Axis System'!M30</f>
        <v>0</v>
      </c>
      <c r="K13" s="245">
        <f>(H13^2+I13^2+J13^2)^0.5</f>
        <v>1</v>
      </c>
      <c r="L13" s="5">
        <v>-1</v>
      </c>
      <c r="N13" s="18">
        <f>L11*H13+L12*I13+L13*J13</f>
        <v>0</v>
      </c>
      <c r="O13" s="115" t="s">
        <v>150</v>
      </c>
    </row>
    <row r="14" spans="1:23">
      <c r="A14" s="20" t="s">
        <v>27</v>
      </c>
      <c r="B14" s="451">
        <f>((B12)^2+(C12)^2+(D12)^2)^0.5</f>
        <v>0.45825756949558388</v>
      </c>
      <c r="C14" s="22">
        <f>B14/P4</f>
        <v>0.76520617727941076</v>
      </c>
      <c r="F14" s="23"/>
      <c r="H14" s="246">
        <f>(H11^2+H12^2+H13^2)^0.5</f>
        <v>1</v>
      </c>
      <c r="I14" s="246">
        <f>(I11^2+I12^2+I13^2)^0.5</f>
        <v>1</v>
      </c>
      <c r="J14" s="246">
        <f>(J11^2+J12^2+J13^2)^0.5</f>
        <v>1</v>
      </c>
      <c r="L14" s="246">
        <f>(L11^2+L12^2+L13^2)^0.5</f>
        <v>1</v>
      </c>
      <c r="N14" s="246">
        <f>(N11^2+N12^2+N13^2)^0.5</f>
        <v>1</v>
      </c>
      <c r="S14" s="616" t="s">
        <v>504</v>
      </c>
      <c r="T14" s="616"/>
      <c r="U14" s="503">
        <v>30.5</v>
      </c>
      <c r="V14" s="2" t="s">
        <v>508</v>
      </c>
    </row>
    <row r="15" spans="1:23">
      <c r="A15" s="24" t="s">
        <v>28</v>
      </c>
      <c r="B15" s="452">
        <f>(B12^2+D12^2)^0.5</f>
        <v>0.33624961846519447</v>
      </c>
      <c r="F15" s="23"/>
      <c r="G15" s="19"/>
      <c r="S15" s="616" t="s">
        <v>505</v>
      </c>
      <c r="T15" s="616"/>
      <c r="U15" s="503">
        <v>29.4</v>
      </c>
    </row>
    <row r="16" spans="1:23">
      <c r="A16" s="20" t="s">
        <v>83</v>
      </c>
      <c r="B16" s="457">
        <f>IF(B15=0,ATAN(C12/0.00001),ATAN(C12/B15))</f>
        <v>0.74696124105294992</v>
      </c>
      <c r="C16" s="25">
        <f>DEGREES(ATAN((C12)/(B15)))</f>
        <v>42.797726572188154</v>
      </c>
      <c r="D16" s="130" t="s">
        <v>85</v>
      </c>
      <c r="F16" s="23"/>
      <c r="G16" s="26"/>
      <c r="H16" s="27"/>
      <c r="I16" s="27"/>
      <c r="J16" s="27"/>
      <c r="K16" s="27"/>
      <c r="L16" s="27"/>
      <c r="U16" s="504">
        <f>SUM(U14:U15)</f>
        <v>59.9</v>
      </c>
      <c r="V16"/>
      <c r="W16" s="505"/>
    </row>
    <row r="17" spans="1:28">
      <c r="G17" s="28"/>
      <c r="K17" s="197">
        <f>'Input Data'!V18</f>
        <v>1</v>
      </c>
      <c r="L17" s="11" t="s">
        <v>146</v>
      </c>
      <c r="N17" s="12" t="s">
        <v>147</v>
      </c>
      <c r="Q17" s="507" t="s">
        <v>507</v>
      </c>
      <c r="U17" s="505"/>
      <c r="V17"/>
      <c r="X17"/>
    </row>
    <row r="18" spans="1:28">
      <c r="G18" s="248" t="s">
        <v>259</v>
      </c>
      <c r="K18" s="349">
        <f>'Input Data'!H25</f>
        <v>50</v>
      </c>
      <c r="L18" s="14" t="s">
        <v>19</v>
      </c>
      <c r="N18" s="15" t="s">
        <v>20</v>
      </c>
      <c r="Q18" s="501" t="s">
        <v>240</v>
      </c>
      <c r="R18" s="501" t="s">
        <v>502</v>
      </c>
      <c r="S18" s="501" t="s">
        <v>274</v>
      </c>
      <c r="T18" s="501" t="s">
        <v>503</v>
      </c>
      <c r="U18" s="502" t="s">
        <v>506</v>
      </c>
      <c r="V18"/>
      <c r="X18"/>
    </row>
    <row r="19" spans="1:28">
      <c r="C19" s="29" t="s">
        <v>29</v>
      </c>
      <c r="G19" s="2" t="s">
        <v>53</v>
      </c>
      <c r="H19" s="89" t="s">
        <v>80</v>
      </c>
      <c r="J19" s="351" t="s">
        <v>276</v>
      </c>
      <c r="K19" s="350">
        <f>'Input Data'!H21</f>
        <v>0.27216552697590868</v>
      </c>
      <c r="L19" s="5">
        <f>IF(K18&lt;K17,0,K19)</f>
        <v>0.27216552697590868</v>
      </c>
      <c r="N19" s="18">
        <f>L19*H11+L20*I11+L21*J11</f>
        <v>0.94763170216938131</v>
      </c>
      <c r="O19" s="115" t="s">
        <v>148</v>
      </c>
      <c r="Q19" s="261">
        <f>D12*100</f>
        <v>20</v>
      </c>
      <c r="R19" s="261">
        <f>B12*100</f>
        <v>27.030317408049214</v>
      </c>
      <c r="S19" s="261">
        <f>C12*100</f>
        <v>31.134577896931741</v>
      </c>
      <c r="T19" s="506">
        <f t="shared" ref="T19" si="1">(Q19^2+R19^2+S19^2)^0.5</f>
        <v>45.825756949558389</v>
      </c>
      <c r="U19" s="508">
        <f>IF(AND(T19&gt;=20,T19&lt;=60),DEGREES(RADIANS(90) - ACOS((U$14^2 -T19^ 2 - U$15^2)/(-2*T19*U$15)) + ATAN(S19/(Q19^2+R19^2)^0.5)),"Error")</f>
        <v>91.814061097534179</v>
      </c>
      <c r="V19"/>
      <c r="X19"/>
    </row>
    <row r="20" spans="1:28">
      <c r="A20" s="24" t="s">
        <v>30</v>
      </c>
      <c r="B20" s="30">
        <f>IF(B12=0,PI()/2,ATAN(D12/B12))</f>
        <v>0.63701212072971636</v>
      </c>
      <c r="C20" s="25">
        <f>DEGREES(B20)</f>
        <v>36.498106016490809</v>
      </c>
      <c r="G20" s="2" t="s">
        <v>54</v>
      </c>
      <c r="H20" s="89" t="s">
        <v>81</v>
      </c>
      <c r="J20" s="351" t="s">
        <v>148</v>
      </c>
      <c r="K20" s="350">
        <f>'Input Data'!I21</f>
        <v>0.6804138174397717</v>
      </c>
      <c r="L20" s="5">
        <f>IF(K18&lt;K17,0,K20)</f>
        <v>0.6804138174397717</v>
      </c>
      <c r="N20" s="18">
        <f>L19*H12+L20*I12+L21*J12</f>
        <v>-0.16709303686715049</v>
      </c>
      <c r="O20" s="115" t="s">
        <v>149</v>
      </c>
    </row>
    <row r="21" spans="1:28">
      <c r="A21" s="31" t="s">
        <v>31</v>
      </c>
      <c r="B21" s="30">
        <f>ACOS((B14^2 - M4^2 - (N4+O4)^2) / (-2 * M4 * (N4+O4)))</f>
        <v>1.7424631913422024</v>
      </c>
      <c r="C21" s="459">
        <f>DEGREES(B21)</f>
        <v>99.8357868208046</v>
      </c>
      <c r="D21" s="2" t="s">
        <v>445</v>
      </c>
      <c r="G21" s="2" t="s">
        <v>55</v>
      </c>
      <c r="H21" s="89" t="s">
        <v>82</v>
      </c>
      <c r="J21" s="351" t="s">
        <v>257</v>
      </c>
      <c r="K21" s="350">
        <f>'Input Data'!J21</f>
        <v>-0.6804138174397717</v>
      </c>
      <c r="L21" s="5">
        <f>IF(K18&lt;K17,1,K21)</f>
        <v>-0.6804138174397717</v>
      </c>
      <c r="N21" s="18">
        <f>L19*H13+L20*I13+L21*J13</f>
        <v>0.27216552697590868</v>
      </c>
      <c r="O21" s="115" t="s">
        <v>150</v>
      </c>
    </row>
    <row r="22" spans="1:28">
      <c r="A22" s="33" t="s">
        <v>32</v>
      </c>
      <c r="B22" s="456">
        <f>ACOS(((N4+O4)^2 - B14^2 - M4^2) / (-2*B14*M4))</f>
        <v>0.71435154136557766</v>
      </c>
      <c r="C22" s="459">
        <f>DEGREES(B22)</f>
        <v>40.929328408912646</v>
      </c>
      <c r="D22" s="2" t="s">
        <v>446</v>
      </c>
      <c r="K22"/>
      <c r="L22"/>
      <c r="M22"/>
      <c r="N22"/>
    </row>
    <row r="23" spans="1:28">
      <c r="A23" s="33" t="s">
        <v>33</v>
      </c>
      <c r="B23" s="455">
        <f>ACOS((M4^2 - B14^2-(N4+O4)^2) / (-2 * B14*(N4+O4)))</f>
        <v>0.68477792088201317</v>
      </c>
      <c r="C23" s="459">
        <f>DEGREES(B23)</f>
        <v>39.234884770282761</v>
      </c>
      <c r="D23" s="2" t="s">
        <v>447</v>
      </c>
      <c r="E23" s="2" t="s">
        <v>448</v>
      </c>
    </row>
    <row r="24" spans="1:28">
      <c r="A24" s="24" t="s">
        <v>34</v>
      </c>
      <c r="B24" s="34"/>
      <c r="C24" s="35">
        <f>SUM(C21:C23)</f>
        <v>180</v>
      </c>
      <c r="E24" s="460">
        <f>90 + DEGREES(B16) - DEGREES(B22)</f>
        <v>91.868398163275486</v>
      </c>
      <c r="J24" s="36" t="s">
        <v>35</v>
      </c>
      <c r="R24" s="36" t="s">
        <v>36</v>
      </c>
      <c r="X24" s="36" t="s">
        <v>37</v>
      </c>
    </row>
    <row r="25" spans="1:28">
      <c r="A25" s="37" t="s">
        <v>38</v>
      </c>
      <c r="B25" s="30">
        <f>B16-B23</f>
        <v>6.2183320170936751E-2</v>
      </c>
      <c r="C25" s="32">
        <f>DEGREES(B25)</f>
        <v>3.5628418019053965</v>
      </c>
    </row>
    <row r="26" spans="1:28" ht="13" customHeight="1">
      <c r="I26" s="627" t="s">
        <v>341</v>
      </c>
      <c r="J26" s="627"/>
      <c r="K26" s="627"/>
      <c r="L26" s="627"/>
      <c r="M26" s="627"/>
      <c r="N26" s="627"/>
      <c r="Q26" s="627" t="s">
        <v>342</v>
      </c>
      <c r="R26" s="627"/>
      <c r="S26" s="627"/>
      <c r="T26" s="627"/>
      <c r="U26" s="627"/>
      <c r="V26" s="627"/>
      <c r="X26" s="628" t="s">
        <v>340</v>
      </c>
      <c r="Y26" s="628"/>
      <c r="Z26" s="628"/>
      <c r="AA26" s="628"/>
      <c r="AB26" s="628"/>
    </row>
    <row r="27" spans="1:28" ht="13" customHeight="1">
      <c r="B27" s="13" t="s">
        <v>21</v>
      </c>
      <c r="C27" s="13" t="s">
        <v>22</v>
      </c>
      <c r="D27" s="13" t="s">
        <v>23</v>
      </c>
      <c r="E27" s="629" t="s">
        <v>172</v>
      </c>
      <c r="F27" s="629"/>
      <c r="G27" s="629"/>
      <c r="I27" s="627"/>
      <c r="J27" s="627"/>
      <c r="K27" s="627"/>
      <c r="L27" s="627"/>
      <c r="M27" s="627"/>
      <c r="N27" s="627"/>
      <c r="Q27" s="627"/>
      <c r="R27" s="627"/>
      <c r="S27" s="627"/>
      <c r="T27" s="627"/>
      <c r="U27" s="627"/>
      <c r="V27" s="627"/>
      <c r="X27" s="628"/>
      <c r="Y27" s="628"/>
      <c r="Z27" s="628"/>
      <c r="AA27" s="628"/>
      <c r="AB27" s="628"/>
    </row>
    <row r="28" spans="1:28">
      <c r="A28" s="38" t="s">
        <v>263</v>
      </c>
      <c r="B28" s="6">
        <f>IF(H28="",(B29+((B12-B29)*(N4/(N4+O4)))),E28)</f>
        <v>0.2622336009471718</v>
      </c>
      <c r="C28" s="6">
        <f>IF(H28="",C29+((C12-C29)*(N4/(N4+O4))),F28)</f>
        <v>0.24236183891943122</v>
      </c>
      <c r="D28" s="6">
        <f>IF(H28="",(D29+((D12-D29)*(N4/(N4+O4)))),G28)</f>
        <v>0.19402924278579331</v>
      </c>
      <c r="E28" s="287" t="str">
        <f>'Hands wrt Shoulder Axis System'!K47</f>
        <v/>
      </c>
      <c r="F28" s="287" t="str">
        <f>'Hands wrt Shoulder Axis System'!L47</f>
        <v/>
      </c>
      <c r="G28" s="287" t="str">
        <f>'Hands wrt Shoulder Axis System'!M47</f>
        <v/>
      </c>
      <c r="H28" s="287" t="str">
        <f>IF(E28="","",E28^2+F28^2+G28^2)</f>
        <v/>
      </c>
    </row>
    <row r="29" spans="1:28">
      <c r="A29" s="38" t="s">
        <v>264</v>
      </c>
      <c r="B29" s="6">
        <f>IF(H29="",M4*COS(B25)*COS(B20),E29)</f>
        <v>0.23602115006941116</v>
      </c>
      <c r="C29" s="6">
        <f>IF(H29="",M4*SIN(B25),F29)</f>
        <v>1.8280823723525321E-2</v>
      </c>
      <c r="D29" s="6">
        <f>IF(H29="",M4*COS(B25)*SIN(B20),G29)</f>
        <v>0.17463439034506317</v>
      </c>
      <c r="E29" s="287" t="str">
        <f>'Hands wrt Shoulder Axis System'!K48</f>
        <v/>
      </c>
      <c r="F29" s="287" t="str">
        <f>'Hands wrt Shoulder Axis System'!L48</f>
        <v/>
      </c>
      <c r="G29" s="287" t="str">
        <f>'Hands wrt Shoulder Axis System'!M48</f>
        <v/>
      </c>
      <c r="H29" s="287" t="str">
        <f>IF(E29="","",E29^2+F29^2+G29^2)</f>
        <v/>
      </c>
    </row>
    <row r="31" spans="1:28">
      <c r="A31" s="40"/>
      <c r="B31" s="13" t="s">
        <v>21</v>
      </c>
      <c r="C31" s="13" t="s">
        <v>22</v>
      </c>
      <c r="D31" s="13" t="s">
        <v>23</v>
      </c>
    </row>
    <row r="32" spans="1:28">
      <c r="A32" s="24" t="s">
        <v>39</v>
      </c>
      <c r="B32" s="6">
        <f>B29 * $G4</f>
        <v>0.12561045606694063</v>
      </c>
      <c r="C32" s="6">
        <f>C29 * $G4</f>
        <v>9.7290543856601765E-3</v>
      </c>
      <c r="D32" s="6">
        <f>D29 * $G4</f>
        <v>9.2940422541642628E-2</v>
      </c>
      <c r="E32" s="10"/>
    </row>
    <row r="33" spans="1:8">
      <c r="A33" s="24" t="s">
        <v>40</v>
      </c>
      <c r="B33" s="6">
        <f>B29+(B28-B29) * $H4</f>
        <v>0.24707494060456281</v>
      </c>
      <c r="C33" s="6">
        <f>C29+(C28-C29) * $H4</f>
        <v>0.11277578783163884</v>
      </c>
      <c r="D33" s="6">
        <f>D29+(D28-D29) * $H4</f>
        <v>0.18281319961931908</v>
      </c>
    </row>
    <row r="34" spans="1:8">
      <c r="A34" s="24" t="s">
        <v>41</v>
      </c>
      <c r="B34" s="6">
        <f>B28+(B12-B28) * $I4</f>
        <v>0.26825612063280091</v>
      </c>
      <c r="C34" s="6">
        <f>C28+(C12-C28) * $I4</f>
        <v>0.29384623965275142</v>
      </c>
      <c r="D34" s="6">
        <f>D28+(D12-D28) * $I4</f>
        <v>0.19848536484659879</v>
      </c>
    </row>
    <row r="36" spans="1:8">
      <c r="A36" s="41" t="s">
        <v>42</v>
      </c>
      <c r="B36" s="13" t="s">
        <v>21</v>
      </c>
      <c r="C36" s="13" t="s">
        <v>22</v>
      </c>
      <c r="D36" s="13" t="s">
        <v>23</v>
      </c>
    </row>
    <row r="37" spans="1:8">
      <c r="A37" s="42" t="s">
        <v>44</v>
      </c>
      <c r="B37" s="6">
        <f>(C32*N13 - D32*N12) *Q4</f>
        <v>1.4821401518139028</v>
      </c>
      <c r="C37" s="6">
        <f>(D32*N11 - B32*N13) * Q4</f>
        <v>1.0378057069833779</v>
      </c>
      <c r="D37" s="6">
        <f>(B32*N12 -C32*N11) * Q4</f>
        <v>-2.1117740077146618</v>
      </c>
    </row>
    <row r="38" spans="1:8">
      <c r="A38" s="42" t="s">
        <v>45</v>
      </c>
      <c r="B38" s="6">
        <f>(C33*N13 - D33*N12) *R4</f>
        <v>1.6088467742981221</v>
      </c>
      <c r="C38" s="6">
        <f>(D33*N11 - B33*N13) * R4</f>
        <v>1.1265266391879201</v>
      </c>
      <c r="D38" s="6">
        <f>(B33*N12 -C33*N11) * R4</f>
        <v>-2.869325910500963</v>
      </c>
    </row>
    <row r="39" spans="1:8">
      <c r="A39" s="42" t="s">
        <v>46</v>
      </c>
      <c r="B39" s="6">
        <f>(C34*N13 - D34*N12) *S4</f>
        <v>0.69167386716777579</v>
      </c>
      <c r="C39" s="6">
        <f>(D34*N11 - B34*N13) * S4</f>
        <v>0.4843152557735379</v>
      </c>
      <c r="D39" s="6">
        <f>(B34*N12 -C34*N11) * S4</f>
        <v>-1.6518092672395213</v>
      </c>
      <c r="E39" s="3" t="s">
        <v>43</v>
      </c>
    </row>
    <row r="40" spans="1:8">
      <c r="A40" s="43" t="s">
        <v>47</v>
      </c>
      <c r="B40" s="44">
        <f>SUM(B37:B39)</f>
        <v>3.7826607932798009</v>
      </c>
      <c r="C40" s="44">
        <f t="shared" ref="C40:D40" si="2">SUM(C37:C39)</f>
        <v>2.6486476019448357</v>
      </c>
      <c r="D40" s="44">
        <f t="shared" si="2"/>
        <v>-6.6329091854551461</v>
      </c>
      <c r="E40" s="45">
        <f>(B40^2 + C40^2 + D40^2)^0.5</f>
        <v>8.0820381747922685</v>
      </c>
      <c r="F40" s="46"/>
    </row>
    <row r="41" spans="1:8">
      <c r="F41" s="46"/>
      <c r="H41" s="251" t="s">
        <v>277</v>
      </c>
    </row>
    <row r="42" spans="1:8">
      <c r="A42" s="24" t="s">
        <v>48</v>
      </c>
      <c r="B42" s="47">
        <f>B40/E40</f>
        <v>0.46803302724773704</v>
      </c>
      <c r="C42" s="47">
        <f>C40/E40</f>
        <v>0.32772025380997577</v>
      </c>
      <c r="D42" s="47">
        <f>D40/E40</f>
        <v>-0.82069758172425744</v>
      </c>
      <c r="E42" s="48">
        <f>(B42*B43+C42*C43+D42*D43)</f>
        <v>0.14054457250339714</v>
      </c>
      <c r="F42" s="49" t="s">
        <v>49</v>
      </c>
      <c r="G42" s="252">
        <f>(B42^2+C42^2+D42^2)^0.5</f>
        <v>1</v>
      </c>
      <c r="H42" s="253">
        <f>ACOS(E42)*57.3</f>
        <v>81.926674861800066</v>
      </c>
    </row>
    <row r="43" spans="1:8">
      <c r="A43" s="24" t="s">
        <v>50</v>
      </c>
      <c r="B43" s="47">
        <f>(B12/B14)</f>
        <v>0.58984988371937197</v>
      </c>
      <c r="C43" s="47">
        <f>(C12/B14)</f>
        <v>0.67941219020566068</v>
      </c>
      <c r="D43" s="47">
        <f>(D12/B14)</f>
        <v>0.43643578047198489</v>
      </c>
      <c r="E43" s="48">
        <f>(B43*B44+C43*C44+D43*D44)</f>
        <v>4.163336342344337E-17</v>
      </c>
      <c r="F43" s="49" t="s">
        <v>51</v>
      </c>
      <c r="G43" s="252">
        <f>(B43^2+C43^2+D43^2)^0.5</f>
        <v>1</v>
      </c>
      <c r="H43" s="253">
        <f>ACOS(E43)*57.3</f>
        <v>90.006629525347563</v>
      </c>
    </row>
    <row r="44" spans="1:8">
      <c r="A44" s="24" t="s">
        <v>278</v>
      </c>
      <c r="B44" s="18">
        <f>(C42*D43-D42*C43)</f>
        <v>0.70062078624380075</v>
      </c>
      <c r="C44" s="18">
        <f>(D42*B43-B42*D43)</f>
        <v>-0.68835473268235492</v>
      </c>
      <c r="D44" s="18">
        <f>B42*C43-C42*B43</f>
        <v>0.12468159052867342</v>
      </c>
      <c r="E44" s="48">
        <f>(B44*B42+C44*C42+D44*D42)</f>
        <v>1.3877787807814457E-17</v>
      </c>
      <c r="F44" s="49" t="s">
        <v>52</v>
      </c>
      <c r="G44" s="254">
        <f>(B44^2+C44^2+D44^2)^0.5</f>
        <v>0.99007435232907515</v>
      </c>
      <c r="H44" s="253">
        <f>ACOS(E44)*57.3</f>
        <v>90.006629525347563</v>
      </c>
    </row>
    <row r="45" spans="1:8">
      <c r="A45" s="255" t="s">
        <v>279</v>
      </c>
      <c r="B45" s="256">
        <f>B44*$B14*$E40</f>
        <v>2.5948577975672404</v>
      </c>
      <c r="C45" s="256">
        <f t="shared" ref="C45:D45" si="3">C44*$B14*$E40</f>
        <v>-2.5494285648721382</v>
      </c>
      <c r="D45" s="256">
        <f t="shared" si="3"/>
        <v>0.46177761743402268</v>
      </c>
      <c r="E45" s="257">
        <f>E40/B14/G45</f>
        <v>4.8096435895978349</v>
      </c>
      <c r="G45" s="258">
        <f>(B45^2+C45^2+D45^2)^0.5</f>
        <v>3.6668939942333432</v>
      </c>
    </row>
    <row r="46" spans="1:8">
      <c r="B46" s="13" t="s">
        <v>53</v>
      </c>
      <c r="C46" s="13" t="s">
        <v>54</v>
      </c>
      <c r="D46" s="13" t="s">
        <v>55</v>
      </c>
      <c r="E46" s="3" t="s">
        <v>43</v>
      </c>
    </row>
    <row r="47" spans="1:8">
      <c r="A47" s="51" t="s">
        <v>56</v>
      </c>
      <c r="B47" s="259">
        <f>E47*B44/G44</f>
        <v>12.480341171987234</v>
      </c>
      <c r="C47" s="259">
        <f>E47*C44/G44</f>
        <v>-12.261842754174888</v>
      </c>
      <c r="D47" s="259">
        <f>E47*D44/G44</f>
        <v>2.2209857575113086</v>
      </c>
      <c r="E47" s="259">
        <f>E40/B14</f>
        <v>17.6364531930992</v>
      </c>
      <c r="G47" s="252">
        <f>(B47^2+C47^2+D47^2)^0.5</f>
        <v>17.6364531930992</v>
      </c>
      <c r="H47" s="9"/>
    </row>
    <row r="48" spans="1:8">
      <c r="B48" s="260" t="s">
        <v>229</v>
      </c>
      <c r="C48" s="260" t="s">
        <v>230</v>
      </c>
      <c r="D48" s="260" t="s">
        <v>231</v>
      </c>
      <c r="G48" s="9"/>
      <c r="H48" s="9"/>
    </row>
    <row r="49" spans="1:20">
      <c r="A49"/>
      <c r="B49"/>
      <c r="C49"/>
      <c r="D49"/>
      <c r="E49"/>
      <c r="F49"/>
      <c r="G49" s="9"/>
      <c r="H49" s="9"/>
    </row>
    <row r="50" spans="1:20">
      <c r="A50"/>
      <c r="B50"/>
      <c r="C50"/>
      <c r="D50"/>
      <c r="E50"/>
      <c r="F50"/>
      <c r="G50" s="9"/>
      <c r="H50" s="9"/>
    </row>
    <row r="51" spans="1:20">
      <c r="B51" s="3" t="s">
        <v>21</v>
      </c>
      <c r="C51" s="3" t="s">
        <v>22</v>
      </c>
      <c r="D51" s="3" t="s">
        <v>23</v>
      </c>
      <c r="E51"/>
      <c r="F51"/>
      <c r="G51" s="9"/>
      <c r="H51" s="9"/>
    </row>
    <row r="52" spans="1:20">
      <c r="A52" s="53" t="s">
        <v>59</v>
      </c>
      <c r="B52" s="54">
        <v>0</v>
      </c>
      <c r="C52" s="54">
        <v>0</v>
      </c>
      <c r="D52" s="54">
        <v>0</v>
      </c>
    </row>
    <row r="53" spans="1:20">
      <c r="A53" s="55" t="s">
        <v>44</v>
      </c>
      <c r="B53" s="56">
        <f>B32</f>
        <v>0.12561045606694063</v>
      </c>
      <c r="C53" s="56">
        <f>C32</f>
        <v>9.7290543856601765E-3</v>
      </c>
      <c r="D53" s="56">
        <f>D32</f>
        <v>9.2940422541642628E-2</v>
      </c>
      <c r="E53" s="24" t="s">
        <v>60</v>
      </c>
      <c r="F53" s="57">
        <f>((B54-B52)^2+(C54-C52)^2+(D54-D52)^2)^0.5</f>
        <v>0.2941723</v>
      </c>
      <c r="G53" s="58">
        <f>F53-M4</f>
        <v>0</v>
      </c>
    </row>
    <row r="54" spans="1:20">
      <c r="A54" s="59" t="s">
        <v>61</v>
      </c>
      <c r="B54" s="60">
        <f>B29</f>
        <v>0.23602115006941116</v>
      </c>
      <c r="C54" s="60">
        <f>C29</f>
        <v>1.8280823723525321E-2</v>
      </c>
      <c r="D54" s="60">
        <f>D29</f>
        <v>0.17463439034506317</v>
      </c>
      <c r="G54" s="61"/>
    </row>
    <row r="55" spans="1:20">
      <c r="A55" s="55" t="s">
        <v>45</v>
      </c>
      <c r="B55" s="56">
        <f>B33</f>
        <v>0.24707494060456281</v>
      </c>
      <c r="C55" s="56">
        <f>C33</f>
        <v>0.11277578783163884</v>
      </c>
      <c r="D55" s="56">
        <f>D33</f>
        <v>0.18281319961931908</v>
      </c>
      <c r="E55" s="24" t="s">
        <v>62</v>
      </c>
      <c r="F55" s="57">
        <f>((B56-B54)^2+(C56-C54)^2+(D56-D54)^2)^0.5</f>
        <v>0.22644106132379022</v>
      </c>
      <c r="G55" s="58">
        <f>F55-N4</f>
        <v>-6.5330386762097736E-3</v>
      </c>
    </row>
    <row r="56" spans="1:20">
      <c r="A56" s="39" t="s">
        <v>63</v>
      </c>
      <c r="B56" s="62">
        <f>B28</f>
        <v>0.2622336009471718</v>
      </c>
      <c r="C56" s="62">
        <f>C28</f>
        <v>0.24236183891943122</v>
      </c>
      <c r="D56" s="62">
        <f>D28</f>
        <v>0.19402924278579331</v>
      </c>
      <c r="G56" s="61"/>
    </row>
    <row r="57" spans="1:20">
      <c r="A57" s="55" t="s">
        <v>46</v>
      </c>
      <c r="B57" s="56">
        <f>B34</f>
        <v>0.26825612063280091</v>
      </c>
      <c r="C57" s="56">
        <f>C34</f>
        <v>0.29384623965275142</v>
      </c>
      <c r="D57" s="56">
        <f>D34</f>
        <v>0.19848536484659879</v>
      </c>
      <c r="E57" s="24" t="s">
        <v>64</v>
      </c>
      <c r="F57" s="57">
        <f>((B58-B56)^2+(C58-C56)^2+(D58-D56)^2)^0.5</f>
        <v>6.9710486564585825E-2</v>
      </c>
      <c r="G57" s="58">
        <f>F57-O4</f>
        <v>-2.0112134354141747E-3</v>
      </c>
    </row>
    <row r="58" spans="1:20">
      <c r="A58" s="63" t="s">
        <v>65</v>
      </c>
      <c r="B58" s="64">
        <f>B12</f>
        <v>0.27030317408049215</v>
      </c>
      <c r="C58" s="64">
        <f>C12</f>
        <v>0.31134577896931742</v>
      </c>
      <c r="D58" s="64">
        <f>D12</f>
        <v>0.2</v>
      </c>
      <c r="J58" s="609" t="s">
        <v>66</v>
      </c>
      <c r="K58" s="610"/>
      <c r="L58" s="610"/>
      <c r="M58" s="610"/>
      <c r="N58" s="610"/>
      <c r="O58" s="610"/>
      <c r="P58" s="610"/>
    </row>
    <row r="59" spans="1:20">
      <c r="A59" s="65" t="s">
        <v>87</v>
      </c>
      <c r="B59" s="66">
        <f>B58+(B47/50)</f>
        <v>0.51990999752023681</v>
      </c>
      <c r="C59" s="66">
        <f>C58+(C47/50)</f>
        <v>6.6108923885819681E-2</v>
      </c>
      <c r="D59" s="66">
        <f>D58+(D47/50)</f>
        <v>0.24441971515022617</v>
      </c>
      <c r="J59" s="609"/>
      <c r="K59" s="610"/>
      <c r="L59" s="610"/>
      <c r="M59" s="610"/>
      <c r="N59" s="610"/>
      <c r="O59" s="610"/>
      <c r="P59" s="610"/>
    </row>
    <row r="60" spans="1:20">
      <c r="G60"/>
      <c r="H60"/>
      <c r="I60"/>
      <c r="J60"/>
      <c r="K60"/>
      <c r="L60"/>
      <c r="M60"/>
      <c r="N60"/>
      <c r="O60"/>
      <c r="P60"/>
      <c r="Q60"/>
      <c r="R60"/>
      <c r="S60"/>
      <c r="T60"/>
    </row>
    <row r="61" spans="1:20">
      <c r="G61"/>
      <c r="H61"/>
      <c r="I61"/>
      <c r="J61"/>
      <c r="K61"/>
      <c r="L61"/>
      <c r="M61"/>
      <c r="N61"/>
      <c r="O61"/>
      <c r="P61"/>
      <c r="Q61"/>
      <c r="R61"/>
      <c r="S61"/>
      <c r="T61"/>
    </row>
    <row r="62" spans="1:20">
      <c r="A62"/>
      <c r="B62" s="57">
        <f>B47</f>
        <v>12.480341171987234</v>
      </c>
      <c r="C62" s="57">
        <f t="shared" ref="C62:D62" si="4">C47</f>
        <v>-12.261842754174888</v>
      </c>
      <c r="D62" s="57">
        <f t="shared" si="4"/>
        <v>2.2209857575113086</v>
      </c>
      <c r="G62"/>
      <c r="H62"/>
      <c r="I62"/>
      <c r="J62"/>
      <c r="K62"/>
      <c r="L62"/>
      <c r="M62"/>
      <c r="N62"/>
      <c r="O62"/>
      <c r="P62"/>
      <c r="Q62"/>
      <c r="R62"/>
      <c r="S62"/>
      <c r="T62"/>
    </row>
    <row r="63" spans="1:20" ht="13" customHeight="1">
      <c r="A63"/>
      <c r="B63" s="18">
        <f>B12</f>
        <v>0.27030317408049215</v>
      </c>
      <c r="C63" s="18">
        <f t="shared" ref="C63:D63" si="5">C12</f>
        <v>0.31134577896931742</v>
      </c>
      <c r="D63" s="18">
        <f t="shared" si="5"/>
        <v>0.2</v>
      </c>
      <c r="G63"/>
      <c r="H63"/>
      <c r="I63"/>
      <c r="J63"/>
      <c r="K63"/>
      <c r="L63"/>
      <c r="M63"/>
      <c r="N63"/>
      <c r="O63"/>
      <c r="P63"/>
      <c r="Q63"/>
      <c r="R63"/>
      <c r="S63"/>
      <c r="T63"/>
    </row>
    <row r="64" spans="1:20" ht="13" customHeight="1">
      <c r="A64"/>
      <c r="B64" s="261">
        <f>(C62*D63)-(D62*C63)</f>
        <v>-3.1438630915870953</v>
      </c>
      <c r="C64" s="261">
        <f>(D62*B63)-(B62*D63)</f>
        <v>-1.8957287345545741</v>
      </c>
      <c r="D64" s="261">
        <f>(B62*C63)-(C62*B63)</f>
        <v>7.2001165605245649</v>
      </c>
      <c r="G64" s="252">
        <f>(B64^2+C64^2+D64^2)^0.5</f>
        <v>8.0820381747922685</v>
      </c>
      <c r="H64"/>
      <c r="I64"/>
      <c r="J64"/>
      <c r="K64"/>
      <c r="L64"/>
      <c r="M64"/>
      <c r="N64"/>
      <c r="O64"/>
      <c r="P64"/>
      <c r="Q64"/>
      <c r="R64"/>
      <c r="S64"/>
      <c r="T64"/>
    </row>
    <row r="65" spans="1:20" ht="13" customHeight="1">
      <c r="A65"/>
      <c r="G65" s="262">
        <f>G64-E40</f>
        <v>0</v>
      </c>
      <c r="H65"/>
      <c r="I65"/>
      <c r="P65"/>
      <c r="Q65"/>
      <c r="R65"/>
      <c r="S65"/>
      <c r="T65"/>
    </row>
    <row r="66" spans="1:20" ht="13" customHeight="1">
      <c r="G66"/>
      <c r="H66"/>
      <c r="I66"/>
      <c r="P66"/>
      <c r="Q66"/>
      <c r="R66"/>
      <c r="S66"/>
      <c r="T66"/>
    </row>
    <row r="67" spans="1:20" ht="13" customHeight="1">
      <c r="B67" s="2" t="s">
        <v>380</v>
      </c>
      <c r="G67"/>
      <c r="H67"/>
      <c r="I67"/>
      <c r="J67"/>
      <c r="K67"/>
      <c r="L67"/>
      <c r="M67"/>
      <c r="N67"/>
      <c r="O67"/>
      <c r="P67"/>
      <c r="Q67"/>
      <c r="R67"/>
      <c r="S67"/>
      <c r="T67"/>
    </row>
    <row r="68" spans="1:20" ht="13" customHeight="1">
      <c r="B68" s="3" t="s">
        <v>378</v>
      </c>
      <c r="C68" s="3" t="s">
        <v>229</v>
      </c>
      <c r="D68" s="3" t="s">
        <v>230</v>
      </c>
      <c r="G68"/>
      <c r="H68"/>
      <c r="I68"/>
      <c r="J68"/>
      <c r="K68"/>
      <c r="L68"/>
      <c r="M68"/>
      <c r="N68"/>
      <c r="O68"/>
      <c r="P68"/>
      <c r="Q68"/>
      <c r="R68"/>
      <c r="S68"/>
      <c r="T68"/>
    </row>
    <row r="69" spans="1:20" ht="13" customHeight="1">
      <c r="A69" s="38" t="s">
        <v>227</v>
      </c>
      <c r="B69" s="6">
        <f>D28</f>
        <v>0.19402924278579331</v>
      </c>
      <c r="C69" s="6">
        <f>B28</f>
        <v>0.2622336009471718</v>
      </c>
      <c r="D69" s="6">
        <f>C28</f>
        <v>0.24236183891943122</v>
      </c>
      <c r="G69"/>
      <c r="H69"/>
      <c r="I69"/>
      <c r="J69"/>
      <c r="K69"/>
      <c r="L69"/>
      <c r="M69"/>
      <c r="N69"/>
      <c r="O69"/>
      <c r="P69"/>
      <c r="Q69"/>
      <c r="R69"/>
      <c r="S69"/>
      <c r="T69"/>
    </row>
    <row r="70" spans="1:20" ht="13" customHeight="1">
      <c r="A70" s="38" t="s">
        <v>228</v>
      </c>
      <c r="B70" s="6">
        <f>D29</f>
        <v>0.17463439034506317</v>
      </c>
      <c r="C70" s="6">
        <f>B29</f>
        <v>0.23602115006941116</v>
      </c>
      <c r="D70" s="6">
        <f>C29</f>
        <v>1.8280823723525321E-2</v>
      </c>
      <c r="G70"/>
      <c r="H70"/>
      <c r="I70"/>
      <c r="J70"/>
      <c r="K70"/>
      <c r="L70"/>
      <c r="M70"/>
      <c r="N70"/>
      <c r="O70"/>
      <c r="P70"/>
      <c r="Q70"/>
      <c r="R70"/>
      <c r="S70"/>
      <c r="T70"/>
    </row>
    <row r="71" spans="1:20" ht="13" customHeight="1">
      <c r="E71" s="2" t="s">
        <v>379</v>
      </c>
      <c r="G71"/>
      <c r="H71"/>
      <c r="I71"/>
      <c r="J71"/>
      <c r="K71"/>
      <c r="L71"/>
      <c r="M71"/>
      <c r="N71"/>
      <c r="O71"/>
      <c r="P71"/>
      <c r="Q71"/>
      <c r="R71" s="90"/>
      <c r="T71"/>
    </row>
    <row r="72" spans="1:20" ht="13" customHeight="1">
      <c r="A72" s="371" t="s">
        <v>376</v>
      </c>
      <c r="B72" s="6">
        <f>B69</f>
        <v>0.19402924278579331</v>
      </c>
      <c r="C72" s="6">
        <f>C69*COS(E$72) - D69*SIN(E$72)</f>
        <v>0.35382223017203307</v>
      </c>
      <c r="D72" s="6">
        <f>C69*SIN(E72) + D69*COS(E72)</f>
        <v>4.8120181485710345E-2</v>
      </c>
      <c r="E72" s="369">
        <f>-RADIANS('Input Data'!D8)</f>
        <v>-0.6108652381980153</v>
      </c>
      <c r="G72"/>
      <c r="H72"/>
      <c r="I72"/>
      <c r="J72"/>
      <c r="K72"/>
      <c r="L72"/>
      <c r="M72"/>
      <c r="N72"/>
      <c r="O72"/>
      <c r="P72"/>
      <c r="Q72"/>
      <c r="R72" s="90"/>
      <c r="T72"/>
    </row>
    <row r="73" spans="1:20">
      <c r="A73" s="371" t="s">
        <v>377</v>
      </c>
      <c r="B73" s="6">
        <f>B70</f>
        <v>0.17463439034506317</v>
      </c>
      <c r="C73" s="6">
        <f>C70*COS(E$72) - D70*SIN(E$72)</f>
        <v>0.20382265729969837</v>
      </c>
      <c r="D73" s="6">
        <f>C70*SIN(E72) + D70*COS(E72)</f>
        <v>-0.12040139603587584</v>
      </c>
      <c r="G73"/>
      <c r="H73"/>
      <c r="I73"/>
      <c r="J73"/>
      <c r="K73"/>
      <c r="L73"/>
      <c r="M73"/>
      <c r="N73"/>
      <c r="O73"/>
      <c r="P73"/>
      <c r="Q73"/>
      <c r="R73" s="90"/>
      <c r="T73"/>
    </row>
    <row r="74" spans="1:20">
      <c r="A74" s="371" t="s">
        <v>377</v>
      </c>
      <c r="B74" s="6">
        <f>B12</f>
        <v>0.27030317408049215</v>
      </c>
      <c r="C74" s="6">
        <f>C12*COS(E$72) - D12*SIN(E$72)</f>
        <v>0.36975481859367421</v>
      </c>
      <c r="D74" s="6">
        <f>C12*SIN(E72) + D12*COS(E72)</f>
        <v>-1.4750193516363169E-2</v>
      </c>
      <c r="G74"/>
      <c r="H74"/>
      <c r="I74"/>
      <c r="J74"/>
      <c r="K74"/>
      <c r="L74"/>
      <c r="M74"/>
      <c r="N74"/>
      <c r="O74"/>
      <c r="P74"/>
      <c r="Q74"/>
      <c r="R74"/>
      <c r="T74"/>
    </row>
    <row r="75" spans="1:20">
      <c r="G75"/>
      <c r="H75"/>
      <c r="I75"/>
      <c r="J75"/>
      <c r="K75"/>
      <c r="L75"/>
      <c r="M75"/>
      <c r="N75"/>
      <c r="O75"/>
      <c r="P75"/>
      <c r="Q75"/>
      <c r="R75"/>
      <c r="T75"/>
    </row>
    <row r="76" spans="1:20">
      <c r="G76"/>
      <c r="H76"/>
      <c r="I76"/>
      <c r="J76"/>
      <c r="K76"/>
      <c r="L76"/>
      <c r="M76"/>
      <c r="N76"/>
      <c r="O76"/>
      <c r="P76"/>
      <c r="Q76"/>
      <c r="R76" s="92"/>
      <c r="T76"/>
    </row>
    <row r="77" spans="1:20">
      <c r="G77"/>
      <c r="H77"/>
      <c r="I77"/>
      <c r="J77"/>
      <c r="K77"/>
      <c r="L77"/>
      <c r="M77"/>
      <c r="N77"/>
      <c r="O77"/>
      <c r="P77"/>
      <c r="Q77"/>
      <c r="R77" s="90"/>
      <c r="T77"/>
    </row>
    <row r="78" spans="1:20">
      <c r="E78" s="61"/>
      <c r="G78"/>
      <c r="H78"/>
      <c r="I78"/>
      <c r="J78"/>
      <c r="K78"/>
      <c r="L78"/>
      <c r="M78"/>
      <c r="N78"/>
      <c r="O78"/>
      <c r="P78"/>
      <c r="Q78"/>
      <c r="R78" s="90"/>
      <c r="T78"/>
    </row>
    <row r="79" spans="1:20">
      <c r="G79"/>
      <c r="H79"/>
      <c r="I79"/>
      <c r="J79"/>
      <c r="K79"/>
      <c r="L79"/>
      <c r="M79"/>
      <c r="N79"/>
      <c r="O79"/>
      <c r="P79"/>
      <c r="Q79"/>
      <c r="R79" s="90"/>
      <c r="T79"/>
    </row>
    <row r="80" spans="1:20">
      <c r="G80"/>
      <c r="H80"/>
      <c r="I80"/>
      <c r="J80"/>
      <c r="K80"/>
      <c r="L80"/>
      <c r="M80"/>
      <c r="N80"/>
      <c r="O80"/>
      <c r="P80"/>
      <c r="Q80"/>
      <c r="R80"/>
      <c r="S80"/>
      <c r="T80"/>
    </row>
    <row r="81" spans="7:20">
      <c r="G81"/>
      <c r="H81"/>
      <c r="I81"/>
      <c r="J81"/>
      <c r="K81"/>
      <c r="L81"/>
      <c r="M81"/>
      <c r="N81"/>
      <c r="O81"/>
      <c r="P81"/>
      <c r="Q81"/>
      <c r="R81"/>
      <c r="S81"/>
      <c r="T81"/>
    </row>
    <row r="82" spans="7:20">
      <c r="G82"/>
      <c r="H82"/>
      <c r="I82"/>
      <c r="J82"/>
      <c r="K82"/>
      <c r="L82"/>
      <c r="M82"/>
      <c r="N82"/>
      <c r="O82"/>
      <c r="P82"/>
      <c r="Q82"/>
      <c r="R82"/>
      <c r="S82"/>
      <c r="T82"/>
    </row>
    <row r="83" spans="7:20">
      <c r="G83"/>
      <c r="H83"/>
      <c r="I83"/>
      <c r="J83"/>
      <c r="K83"/>
      <c r="L83"/>
      <c r="M83"/>
      <c r="N83"/>
      <c r="O83"/>
      <c r="P83"/>
      <c r="Q83"/>
      <c r="R83"/>
      <c r="S83"/>
      <c r="T83"/>
    </row>
    <row r="84" spans="7:20">
      <c r="G84"/>
      <c r="H84"/>
      <c r="I84"/>
      <c r="J84"/>
      <c r="K84"/>
      <c r="L84"/>
      <c r="M84"/>
      <c r="N84"/>
      <c r="O84"/>
      <c r="P84"/>
      <c r="Q84"/>
      <c r="R84"/>
      <c r="S84"/>
      <c r="T84"/>
    </row>
    <row r="85" spans="7:20">
      <c r="G85"/>
      <c r="H85"/>
      <c r="I85"/>
      <c r="J85"/>
      <c r="K85"/>
      <c r="L85"/>
      <c r="M85"/>
      <c r="N85"/>
      <c r="O85"/>
      <c r="P85"/>
      <c r="Q85"/>
      <c r="R85"/>
      <c r="S85"/>
      <c r="T85"/>
    </row>
    <row r="86" spans="7:20">
      <c r="G86"/>
      <c r="H86"/>
      <c r="I86"/>
      <c r="J86"/>
      <c r="K86"/>
      <c r="L86"/>
      <c r="M86"/>
      <c r="N86"/>
      <c r="O86"/>
      <c r="P86"/>
      <c r="Q86"/>
      <c r="R86"/>
      <c r="S86"/>
      <c r="T86"/>
    </row>
    <row r="87" spans="7:20">
      <c r="G87"/>
      <c r="H87"/>
      <c r="I87"/>
      <c r="J87"/>
      <c r="K87"/>
      <c r="L87"/>
      <c r="M87"/>
      <c r="N87"/>
      <c r="O87"/>
      <c r="P87"/>
      <c r="Q87"/>
      <c r="R87"/>
      <c r="S87"/>
      <c r="T87"/>
    </row>
    <row r="88" spans="7:20">
      <c r="G88"/>
      <c r="H88"/>
      <c r="I88"/>
      <c r="J88"/>
      <c r="K88"/>
      <c r="L88"/>
      <c r="M88"/>
      <c r="N88"/>
      <c r="O88"/>
      <c r="P88"/>
      <c r="Q88"/>
      <c r="R88"/>
      <c r="S88"/>
      <c r="T88"/>
    </row>
    <row r="89" spans="7:20">
      <c r="G89"/>
      <c r="H89"/>
      <c r="I89"/>
      <c r="J89"/>
      <c r="K89"/>
      <c r="L89"/>
      <c r="M89"/>
      <c r="N89"/>
      <c r="O89"/>
      <c r="P89"/>
      <c r="Q89"/>
      <c r="R89"/>
      <c r="S89"/>
      <c r="T89"/>
    </row>
    <row r="90" spans="7:20">
      <c r="G90"/>
      <c r="H90"/>
      <c r="I90"/>
      <c r="J90"/>
      <c r="K90"/>
      <c r="L90"/>
      <c r="M90"/>
      <c r="N90"/>
      <c r="O90"/>
      <c r="P90"/>
      <c r="Q90"/>
      <c r="R90"/>
      <c r="S90"/>
      <c r="T90"/>
    </row>
    <row r="91" spans="7:20">
      <c r="G91"/>
      <c r="H91"/>
      <c r="I91"/>
      <c r="J91"/>
      <c r="K91"/>
      <c r="L91"/>
      <c r="M91"/>
      <c r="N91"/>
      <c r="O91"/>
      <c r="P91"/>
      <c r="Q91"/>
      <c r="R91"/>
      <c r="S91"/>
      <c r="T91"/>
    </row>
    <row r="92" spans="7:20">
      <c r="G92"/>
      <c r="H92"/>
      <c r="I92"/>
      <c r="J92"/>
      <c r="K92"/>
      <c r="L92"/>
      <c r="M92"/>
      <c r="N92"/>
      <c r="O92"/>
      <c r="P92"/>
      <c r="Q92"/>
      <c r="R92"/>
      <c r="S92"/>
      <c r="T92"/>
    </row>
    <row r="93" spans="7:20">
      <c r="G93"/>
      <c r="H93"/>
      <c r="I93"/>
      <c r="J93"/>
      <c r="K93"/>
      <c r="L93"/>
      <c r="M93"/>
      <c r="N93"/>
      <c r="O93"/>
      <c r="P93"/>
      <c r="Q93"/>
      <c r="R93"/>
      <c r="S93"/>
      <c r="T93"/>
    </row>
    <row r="94" spans="7:20">
      <c r="G94"/>
      <c r="H94"/>
      <c r="I94"/>
      <c r="J94"/>
      <c r="K94"/>
      <c r="L94"/>
      <c r="M94"/>
      <c r="N94"/>
      <c r="O94"/>
      <c r="P94"/>
      <c r="Q94"/>
      <c r="R94"/>
      <c r="S94"/>
      <c r="T94"/>
    </row>
    <row r="95" spans="7:20">
      <c r="G95"/>
      <c r="H95"/>
      <c r="I95"/>
      <c r="J95"/>
      <c r="K95"/>
      <c r="L95"/>
      <c r="M95"/>
      <c r="N95"/>
      <c r="O95"/>
      <c r="P95"/>
      <c r="Q95"/>
      <c r="R95"/>
      <c r="S95"/>
      <c r="T95"/>
    </row>
    <row r="96" spans="7:20">
      <c r="G96"/>
      <c r="H96"/>
      <c r="I96"/>
      <c r="J96"/>
      <c r="K96"/>
      <c r="L96"/>
      <c r="M96"/>
      <c r="N96"/>
      <c r="O96"/>
      <c r="P96"/>
      <c r="Q96"/>
      <c r="R96"/>
      <c r="S96"/>
      <c r="T96"/>
    </row>
    <row r="97" spans="7:20">
      <c r="G97"/>
      <c r="H97"/>
      <c r="I97"/>
      <c r="J97"/>
      <c r="K97"/>
      <c r="L97"/>
      <c r="M97"/>
      <c r="N97"/>
      <c r="O97"/>
      <c r="P97"/>
      <c r="Q97"/>
      <c r="R97"/>
      <c r="S97"/>
      <c r="T97"/>
    </row>
    <row r="98" spans="7:20">
      <c r="G98"/>
      <c r="H98"/>
      <c r="I98"/>
      <c r="J98"/>
      <c r="K98"/>
      <c r="L98"/>
      <c r="M98"/>
      <c r="N98"/>
      <c r="O98"/>
      <c r="P98"/>
      <c r="Q98"/>
      <c r="R98"/>
      <c r="S98"/>
      <c r="T98"/>
    </row>
    <row r="99" spans="7:20">
      <c r="G99"/>
      <c r="H99"/>
      <c r="I99"/>
      <c r="J99"/>
      <c r="K99"/>
      <c r="L99"/>
      <c r="M99"/>
      <c r="N99"/>
      <c r="O99"/>
      <c r="P99"/>
      <c r="Q99"/>
      <c r="R99"/>
      <c r="S99"/>
      <c r="T99"/>
    </row>
    <row r="100" spans="7:20">
      <c r="G100"/>
      <c r="H100"/>
      <c r="I100"/>
      <c r="J100"/>
      <c r="K100"/>
      <c r="L100"/>
      <c r="M100"/>
      <c r="N100"/>
      <c r="O100"/>
      <c r="P100"/>
      <c r="Q100"/>
      <c r="R100"/>
      <c r="S100"/>
      <c r="T100"/>
    </row>
    <row r="101" spans="7:20">
      <c r="G101"/>
      <c r="H101"/>
      <c r="I101"/>
      <c r="J101"/>
      <c r="K101"/>
      <c r="L101"/>
      <c r="M101"/>
      <c r="N101"/>
      <c r="O101"/>
      <c r="P101"/>
      <c r="Q101"/>
      <c r="R101"/>
      <c r="S101"/>
      <c r="T101"/>
    </row>
    <row r="102" spans="7:20">
      <c r="G102"/>
      <c r="H102"/>
      <c r="I102"/>
      <c r="J102"/>
      <c r="K102"/>
      <c r="L102"/>
      <c r="M102"/>
      <c r="N102"/>
      <c r="O102"/>
      <c r="P102"/>
      <c r="Q102"/>
      <c r="R102"/>
      <c r="S102"/>
      <c r="T102"/>
    </row>
    <row r="103" spans="7:20">
      <c r="G103"/>
      <c r="H103"/>
      <c r="I103"/>
      <c r="J103"/>
      <c r="K103"/>
      <c r="L103"/>
      <c r="M103"/>
      <c r="N103"/>
      <c r="O103"/>
      <c r="P103"/>
      <c r="Q103"/>
      <c r="R103"/>
      <c r="S103"/>
      <c r="T103"/>
    </row>
    <row r="104" spans="7:20">
      <c r="G104"/>
      <c r="H104"/>
      <c r="I104"/>
      <c r="J104"/>
      <c r="K104"/>
      <c r="L104"/>
      <c r="M104"/>
      <c r="N104"/>
      <c r="O104"/>
      <c r="P104"/>
      <c r="Q104"/>
      <c r="R104"/>
      <c r="S104"/>
      <c r="T104"/>
    </row>
    <row r="105" spans="7:20">
      <c r="G105"/>
      <c r="H105"/>
      <c r="I105"/>
      <c r="J105"/>
      <c r="K105"/>
      <c r="L105"/>
      <c r="M105"/>
      <c r="N105"/>
      <c r="O105"/>
      <c r="P105"/>
      <c r="Q105"/>
      <c r="R105"/>
      <c r="S105"/>
      <c r="T105"/>
    </row>
    <row r="106" spans="7:20">
      <c r="G106"/>
      <c r="H106"/>
      <c r="I106"/>
      <c r="J106"/>
      <c r="K106"/>
      <c r="L106"/>
      <c r="M106"/>
      <c r="N106"/>
      <c r="O106"/>
      <c r="P106"/>
      <c r="Q106"/>
      <c r="R106"/>
      <c r="S106"/>
      <c r="T106"/>
    </row>
    <row r="107" spans="7:20">
      <c r="G107"/>
      <c r="H107"/>
      <c r="I107"/>
      <c r="J107"/>
      <c r="K107"/>
      <c r="L107"/>
      <c r="M107"/>
      <c r="N107"/>
      <c r="O107"/>
      <c r="P107"/>
      <c r="Q107"/>
      <c r="R107"/>
      <c r="S107"/>
      <c r="T107"/>
    </row>
    <row r="108" spans="7:20">
      <c r="G108"/>
      <c r="H108"/>
      <c r="I108"/>
      <c r="J108"/>
      <c r="K108"/>
      <c r="L108"/>
      <c r="M108"/>
      <c r="N108"/>
      <c r="O108"/>
      <c r="P108"/>
      <c r="Q108"/>
      <c r="R108"/>
      <c r="S108"/>
      <c r="T108"/>
    </row>
    <row r="109" spans="7:20">
      <c r="G109"/>
      <c r="H109"/>
      <c r="I109"/>
      <c r="J109"/>
      <c r="K109"/>
      <c r="L109"/>
      <c r="M109"/>
      <c r="N109"/>
      <c r="O109"/>
      <c r="P109"/>
      <c r="Q109"/>
      <c r="R109"/>
      <c r="S109"/>
      <c r="T109"/>
    </row>
    <row r="110" spans="7:20">
      <c r="G110"/>
      <c r="H110"/>
      <c r="I110"/>
      <c r="J110"/>
      <c r="K110"/>
      <c r="L110"/>
      <c r="M110"/>
      <c r="N110"/>
      <c r="O110"/>
      <c r="P110"/>
      <c r="Q110"/>
      <c r="R110"/>
      <c r="S110"/>
      <c r="T110"/>
    </row>
    <row r="111" spans="7:20">
      <c r="G111"/>
      <c r="H111"/>
      <c r="I111"/>
      <c r="J111"/>
      <c r="K111"/>
      <c r="L111"/>
      <c r="M111"/>
      <c r="N111"/>
      <c r="O111"/>
      <c r="P111"/>
      <c r="Q111"/>
      <c r="R111"/>
      <c r="S111"/>
      <c r="T111"/>
    </row>
    <row r="112" spans="7:20">
      <c r="G112"/>
      <c r="H112"/>
      <c r="I112"/>
      <c r="J112"/>
      <c r="K112"/>
      <c r="L112"/>
      <c r="M112"/>
      <c r="N112"/>
      <c r="O112"/>
      <c r="P112"/>
      <c r="Q112"/>
      <c r="R112"/>
      <c r="S112"/>
      <c r="T112"/>
    </row>
    <row r="113" spans="7:20">
      <c r="G113"/>
      <c r="H113"/>
      <c r="I113"/>
      <c r="J113"/>
      <c r="K113"/>
      <c r="L113"/>
      <c r="M113"/>
      <c r="N113"/>
      <c r="O113"/>
      <c r="P113"/>
      <c r="Q113"/>
      <c r="R113"/>
      <c r="S113"/>
      <c r="T113"/>
    </row>
    <row r="114" spans="7:20">
      <c r="G114"/>
      <c r="H114"/>
      <c r="I114"/>
      <c r="J114"/>
      <c r="K114"/>
      <c r="L114"/>
      <c r="M114"/>
      <c r="N114"/>
      <c r="O114"/>
      <c r="P114"/>
      <c r="Q114"/>
      <c r="R114"/>
      <c r="S114"/>
      <c r="T114"/>
    </row>
    <row r="115" spans="7:20">
      <c r="G115"/>
      <c r="H115"/>
      <c r="I115"/>
      <c r="J115"/>
      <c r="K115"/>
      <c r="L115"/>
      <c r="M115"/>
      <c r="N115"/>
      <c r="O115"/>
      <c r="P115"/>
      <c r="Q115"/>
      <c r="R115"/>
      <c r="S115"/>
      <c r="T115"/>
    </row>
    <row r="116" spans="7:20">
      <c r="G116"/>
      <c r="H116"/>
      <c r="I116"/>
      <c r="J116"/>
      <c r="K116"/>
      <c r="L116"/>
      <c r="M116"/>
      <c r="N116"/>
      <c r="O116"/>
      <c r="P116"/>
      <c r="Q116"/>
      <c r="R116"/>
      <c r="S116"/>
      <c r="T116"/>
    </row>
    <row r="117" spans="7:20">
      <c r="G117"/>
      <c r="H117"/>
      <c r="I117"/>
      <c r="J117"/>
      <c r="K117"/>
      <c r="L117"/>
      <c r="M117"/>
      <c r="N117"/>
      <c r="O117"/>
      <c r="P117"/>
      <c r="Q117"/>
      <c r="R117"/>
      <c r="S117"/>
      <c r="T117"/>
    </row>
    <row r="118" spans="7:20">
      <c r="G118"/>
      <c r="H118"/>
      <c r="I118"/>
      <c r="J118"/>
      <c r="K118"/>
      <c r="L118"/>
      <c r="M118"/>
      <c r="N118"/>
      <c r="O118"/>
      <c r="P118"/>
      <c r="Q118"/>
      <c r="R118"/>
      <c r="S118"/>
      <c r="T118"/>
    </row>
    <row r="119" spans="7:20">
      <c r="G119"/>
      <c r="H119"/>
      <c r="I119"/>
      <c r="J119"/>
      <c r="K119"/>
      <c r="L119"/>
      <c r="M119"/>
      <c r="N119"/>
      <c r="O119"/>
      <c r="P119"/>
      <c r="Q119"/>
      <c r="R119"/>
      <c r="S119"/>
      <c r="T119"/>
    </row>
    <row r="120" spans="7:20">
      <c r="G120"/>
      <c r="H120"/>
      <c r="I120"/>
      <c r="J120"/>
      <c r="K120"/>
      <c r="L120"/>
      <c r="M120"/>
      <c r="N120"/>
      <c r="O120"/>
      <c r="P120"/>
      <c r="Q120"/>
      <c r="R120"/>
      <c r="S120"/>
      <c r="T120"/>
    </row>
    <row r="121" spans="7:20">
      <c r="G121"/>
      <c r="H121"/>
      <c r="I121"/>
      <c r="J121"/>
      <c r="K121"/>
      <c r="L121"/>
      <c r="M121"/>
      <c r="N121"/>
      <c r="O121"/>
      <c r="P121"/>
      <c r="Q121"/>
      <c r="R121"/>
      <c r="S121"/>
      <c r="T121"/>
    </row>
    <row r="122" spans="7:20">
      <c r="G122"/>
      <c r="H122"/>
      <c r="I122"/>
      <c r="J122"/>
      <c r="K122"/>
      <c r="L122"/>
      <c r="M122"/>
      <c r="N122"/>
      <c r="O122"/>
      <c r="P122"/>
      <c r="Q122"/>
      <c r="R122"/>
      <c r="S122"/>
      <c r="T122"/>
    </row>
    <row r="123" spans="7:20">
      <c r="G123"/>
      <c r="H123"/>
      <c r="I123"/>
      <c r="J123"/>
      <c r="K123"/>
      <c r="L123"/>
      <c r="M123"/>
      <c r="N123"/>
      <c r="O123"/>
      <c r="P123"/>
      <c r="Q123"/>
      <c r="R123"/>
      <c r="S123"/>
      <c r="T123"/>
    </row>
    <row r="124" spans="7:20">
      <c r="G124"/>
      <c r="H124"/>
      <c r="I124"/>
      <c r="J124"/>
      <c r="K124"/>
      <c r="L124"/>
      <c r="M124"/>
      <c r="N124"/>
      <c r="O124"/>
      <c r="P124"/>
      <c r="Q124"/>
      <c r="R124"/>
      <c r="S124"/>
      <c r="T124"/>
    </row>
    <row r="125" spans="7:20">
      <c r="G125"/>
      <c r="H125"/>
      <c r="I125"/>
      <c r="J125"/>
      <c r="K125"/>
      <c r="L125"/>
      <c r="M125"/>
      <c r="N125"/>
      <c r="O125"/>
      <c r="P125"/>
      <c r="Q125"/>
      <c r="R125"/>
      <c r="S125"/>
      <c r="T125"/>
    </row>
    <row r="126" spans="7:20">
      <c r="G126"/>
      <c r="H126"/>
      <c r="I126"/>
      <c r="J126"/>
      <c r="K126"/>
      <c r="L126"/>
      <c r="M126"/>
      <c r="N126"/>
      <c r="O126"/>
      <c r="P126"/>
      <c r="Q126"/>
      <c r="R126"/>
      <c r="S126"/>
      <c r="T126"/>
    </row>
    <row r="127" spans="7:20">
      <c r="G127"/>
      <c r="H127"/>
      <c r="I127"/>
      <c r="J127"/>
      <c r="K127"/>
      <c r="L127"/>
      <c r="M127"/>
      <c r="N127"/>
      <c r="O127"/>
      <c r="P127"/>
      <c r="Q127"/>
      <c r="R127"/>
      <c r="S127"/>
      <c r="T127"/>
    </row>
    <row r="128" spans="7:20">
      <c r="G128"/>
      <c r="H128"/>
      <c r="I128"/>
      <c r="J128"/>
      <c r="K128"/>
      <c r="L128"/>
      <c r="M128"/>
      <c r="N128"/>
      <c r="O128"/>
      <c r="P128"/>
      <c r="Q128"/>
      <c r="R128"/>
      <c r="S128"/>
      <c r="T128"/>
    </row>
    <row r="129" spans="7:20">
      <c r="G129"/>
      <c r="H129"/>
      <c r="I129"/>
      <c r="J129"/>
      <c r="K129"/>
      <c r="L129"/>
      <c r="M129"/>
      <c r="N129"/>
      <c r="O129"/>
      <c r="P129"/>
      <c r="Q129"/>
      <c r="R129"/>
      <c r="S129"/>
      <c r="T129"/>
    </row>
    <row r="130" spans="7:20">
      <c r="G130"/>
      <c r="H130"/>
      <c r="I130"/>
      <c r="J130"/>
      <c r="K130"/>
      <c r="L130"/>
      <c r="M130"/>
      <c r="N130"/>
      <c r="O130"/>
      <c r="P130"/>
      <c r="Q130"/>
      <c r="R130"/>
      <c r="S130"/>
      <c r="T130"/>
    </row>
    <row r="131" spans="7:20">
      <c r="G131"/>
      <c r="H131"/>
      <c r="I131"/>
      <c r="J131"/>
      <c r="K131"/>
      <c r="L131"/>
      <c r="M131"/>
      <c r="N131"/>
      <c r="O131"/>
      <c r="P131"/>
      <c r="Q131"/>
      <c r="R131"/>
      <c r="S131"/>
      <c r="T131"/>
    </row>
    <row r="132" spans="7:20">
      <c r="G132"/>
      <c r="H132"/>
      <c r="I132"/>
      <c r="J132"/>
      <c r="K132"/>
      <c r="L132"/>
      <c r="M132"/>
      <c r="N132"/>
      <c r="O132"/>
      <c r="P132"/>
      <c r="Q132"/>
      <c r="R132"/>
      <c r="S132"/>
      <c r="T132"/>
    </row>
    <row r="133" spans="7:20">
      <c r="G133"/>
      <c r="H133"/>
      <c r="I133"/>
      <c r="J133"/>
      <c r="K133"/>
      <c r="L133"/>
      <c r="M133"/>
      <c r="N133"/>
      <c r="O133"/>
      <c r="P133"/>
      <c r="Q133"/>
      <c r="R133"/>
      <c r="S133"/>
      <c r="T133"/>
    </row>
    <row r="134" spans="7:20">
      <c r="G134"/>
      <c r="H134"/>
      <c r="I134"/>
      <c r="J134"/>
      <c r="K134"/>
      <c r="L134"/>
      <c r="M134"/>
      <c r="N134"/>
      <c r="O134"/>
      <c r="P134"/>
      <c r="Q134"/>
      <c r="R134"/>
      <c r="S134"/>
      <c r="T134"/>
    </row>
    <row r="135" spans="7:20">
      <c r="G135"/>
      <c r="H135"/>
      <c r="I135"/>
      <c r="J135"/>
      <c r="K135"/>
      <c r="L135"/>
      <c r="M135"/>
      <c r="N135"/>
      <c r="O135"/>
      <c r="P135"/>
      <c r="Q135"/>
      <c r="R135"/>
      <c r="S135"/>
      <c r="T135"/>
    </row>
    <row r="136" spans="7:20">
      <c r="G136"/>
      <c r="H136"/>
      <c r="I136"/>
      <c r="J136"/>
      <c r="K136"/>
      <c r="L136"/>
      <c r="M136"/>
      <c r="N136"/>
      <c r="O136"/>
      <c r="P136"/>
      <c r="Q136"/>
      <c r="R136"/>
      <c r="S136"/>
      <c r="T136"/>
    </row>
    <row r="137" spans="7:20">
      <c r="G137"/>
      <c r="H137"/>
      <c r="I137"/>
      <c r="J137"/>
      <c r="K137"/>
      <c r="L137"/>
      <c r="M137"/>
      <c r="N137"/>
      <c r="O137"/>
      <c r="P137"/>
      <c r="Q137"/>
      <c r="R137"/>
      <c r="S137"/>
      <c r="T137"/>
    </row>
    <row r="138" spans="7:20">
      <c r="G138"/>
      <c r="H138"/>
      <c r="I138"/>
      <c r="J138"/>
      <c r="K138"/>
      <c r="L138"/>
      <c r="M138"/>
      <c r="N138"/>
      <c r="O138"/>
      <c r="P138"/>
      <c r="Q138"/>
      <c r="R138"/>
      <c r="S138"/>
      <c r="T138"/>
    </row>
  </sheetData>
  <sheetProtection selectLockedCells="1" selectUnlockedCells="1"/>
  <mergeCells count="16">
    <mergeCell ref="X26:AB27"/>
    <mergeCell ref="B2:B3"/>
    <mergeCell ref="C2:C3"/>
    <mergeCell ref="D2:F2"/>
    <mergeCell ref="G2:I2"/>
    <mergeCell ref="J2:L2"/>
    <mergeCell ref="M2:O2"/>
    <mergeCell ref="E27:G27"/>
    <mergeCell ref="S14:T14"/>
    <mergeCell ref="S15:T15"/>
    <mergeCell ref="J58:P59"/>
    <mergeCell ref="P2:P3"/>
    <mergeCell ref="Q2:S2"/>
    <mergeCell ref="D5:L5"/>
    <mergeCell ref="I26:N27"/>
    <mergeCell ref="Q26:V27"/>
  </mergeCells>
  <conditionalFormatting sqref="B42:D44">
    <cfRule type="cellIs" dxfId="20" priority="6" operator="equal">
      <formula>0</formula>
    </cfRule>
  </conditionalFormatting>
  <conditionalFormatting sqref="B63:D63">
    <cfRule type="cellIs" dxfId="19" priority="5" operator="equal">
      <formula>0</formula>
    </cfRule>
  </conditionalFormatting>
  <conditionalFormatting sqref="E28:H29">
    <cfRule type="containsBlanks" dxfId="18" priority="3">
      <formula>LEN(TRIM(E28))=0</formula>
    </cfRule>
  </conditionalFormatting>
  <conditionalFormatting sqref="H11:J13">
    <cfRule type="cellIs" dxfId="17" priority="20" operator="equal">
      <formula>0</formula>
    </cfRule>
    <cfRule type="cellIs" dxfId="16" priority="15" operator="equal">
      <formula>1</formula>
    </cfRule>
  </conditionalFormatting>
  <conditionalFormatting sqref="T19">
    <cfRule type="cellIs" dxfId="15" priority="2" operator="greaterThan">
      <formula>$D$10</formula>
    </cfRule>
    <cfRule type="cellIs" dxfId="14" priority="1" operator="lessThan">
      <formula>$D$9</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C00000"/>
  </sheetPr>
  <dimension ref="A1:AO92"/>
  <sheetViews>
    <sheetView showGridLines="0" workbookViewId="0">
      <selection activeCell="N24" sqref="N24"/>
    </sheetView>
  </sheetViews>
  <sheetFormatPr baseColWidth="10" defaultColWidth="10.6640625" defaultRowHeight="14"/>
  <cols>
    <col min="1" max="1" width="10.6640625" style="134"/>
    <col min="2" max="2" width="13" style="134" bestFit="1" customWidth="1"/>
    <col min="3" max="4" width="10.6640625" style="134"/>
    <col min="5" max="17" width="10.1640625" style="134" customWidth="1"/>
    <col min="18" max="18" width="15.1640625" style="134" bestFit="1" customWidth="1"/>
    <col min="19" max="19" width="10.1640625" style="134" customWidth="1"/>
    <col min="20" max="20" width="15" style="134" customWidth="1"/>
    <col min="21" max="22" width="12.5" style="134" customWidth="1"/>
    <col min="23" max="24" width="12.6640625" style="134" customWidth="1"/>
    <col min="25" max="36" width="5.5" style="134" customWidth="1"/>
    <col min="37" max="37" width="15.33203125" style="134" customWidth="1"/>
    <col min="38" max="16384" width="10.6640625" style="134"/>
  </cols>
  <sheetData>
    <row r="1" spans="1:41" ht="23">
      <c r="A1" s="631" t="s">
        <v>156</v>
      </c>
      <c r="B1" s="631"/>
      <c r="C1" s="631"/>
      <c r="D1" s="631"/>
      <c r="E1" s="631"/>
      <c r="F1" s="631"/>
      <c r="G1" s="631"/>
      <c r="H1" s="631"/>
      <c r="I1" s="631"/>
      <c r="J1" s="631"/>
      <c r="K1" s="631"/>
      <c r="L1" s="631"/>
      <c r="M1" s="631"/>
      <c r="N1" s="631"/>
      <c r="O1" s="631"/>
      <c r="P1" s="631"/>
      <c r="Q1" s="631"/>
      <c r="R1" s="631"/>
      <c r="S1" s="631"/>
      <c r="T1" s="631"/>
      <c r="U1" s="631"/>
      <c r="V1" s="632"/>
    </row>
    <row r="2" spans="1:41" ht="29" customHeight="1">
      <c r="E2" s="633" t="s">
        <v>173</v>
      </c>
      <c r="F2" s="633"/>
      <c r="G2" s="633"/>
      <c r="H2" s="633"/>
      <c r="I2" s="633"/>
      <c r="J2" s="633"/>
      <c r="K2" s="633"/>
      <c r="L2" s="633"/>
      <c r="M2" s="633"/>
      <c r="N2" s="633"/>
      <c r="O2" s="633"/>
      <c r="P2" s="633"/>
      <c r="Q2" s="633"/>
      <c r="R2" s="633"/>
      <c r="S2" s="633"/>
      <c r="T2" s="633"/>
      <c r="U2" s="633"/>
      <c r="V2" s="633"/>
    </row>
    <row r="3" spans="1:41" ht="18">
      <c r="A3" s="95" t="s">
        <v>90</v>
      </c>
      <c r="B3" s="96"/>
      <c r="C3" s="97" t="s">
        <v>174</v>
      </c>
      <c r="D3" s="96"/>
      <c r="E3" s="634" t="s">
        <v>91</v>
      </c>
      <c r="F3" s="634"/>
      <c r="G3" s="634"/>
      <c r="H3" s="635" t="s">
        <v>92</v>
      </c>
      <c r="I3" s="636"/>
      <c r="J3" s="637"/>
      <c r="K3" s="634" t="s">
        <v>91</v>
      </c>
      <c r="L3" s="634"/>
      <c r="M3" s="634"/>
      <c r="N3" s="635" t="s">
        <v>92</v>
      </c>
      <c r="O3" s="636"/>
      <c r="P3" s="636"/>
      <c r="Q3" s="636"/>
      <c r="R3" s="636"/>
      <c r="S3" s="636"/>
      <c r="T3" s="636"/>
      <c r="U3" s="636"/>
      <c r="V3" s="637"/>
      <c r="W3" s="135"/>
      <c r="X3" s="135"/>
    </row>
    <row r="4" spans="1:41" ht="16">
      <c r="A4" s="96"/>
      <c r="C4" s="97" t="s">
        <v>93</v>
      </c>
      <c r="D4" s="96"/>
      <c r="E4" s="634" t="s">
        <v>94</v>
      </c>
      <c r="F4" s="634"/>
      <c r="G4" s="634"/>
      <c r="H4" s="638" t="s">
        <v>95</v>
      </c>
      <c r="I4" s="638"/>
      <c r="J4" s="638"/>
      <c r="K4" s="634" t="s">
        <v>96</v>
      </c>
      <c r="L4" s="634"/>
      <c r="M4" s="634"/>
      <c r="N4" s="639" t="s">
        <v>97</v>
      </c>
      <c r="O4" s="639"/>
      <c r="P4" s="639"/>
      <c r="Q4" s="640" t="s">
        <v>98</v>
      </c>
      <c r="R4" s="640"/>
      <c r="S4" s="640"/>
      <c r="T4" s="630" t="s">
        <v>99</v>
      </c>
      <c r="U4" s="630"/>
      <c r="V4" s="630"/>
      <c r="W4" s="135"/>
      <c r="X4" s="135"/>
    </row>
    <row r="5" spans="1:41" ht="28">
      <c r="E5" s="136" t="s">
        <v>194</v>
      </c>
      <c r="F5" s="136" t="s">
        <v>195</v>
      </c>
      <c r="G5" s="136" t="s">
        <v>196</v>
      </c>
      <c r="H5" s="137" t="s">
        <v>197</v>
      </c>
      <c r="I5" s="137" t="s">
        <v>198</v>
      </c>
      <c r="J5" s="137" t="s">
        <v>199</v>
      </c>
      <c r="K5" s="136" t="s">
        <v>200</v>
      </c>
      <c r="L5" s="136" t="s">
        <v>201</v>
      </c>
      <c r="M5" s="136" t="s">
        <v>202</v>
      </c>
      <c r="N5" s="138" t="s">
        <v>203</v>
      </c>
      <c r="O5" s="138" t="s">
        <v>204</v>
      </c>
      <c r="P5" s="138" t="s">
        <v>205</v>
      </c>
      <c r="Q5" s="139" t="s">
        <v>100</v>
      </c>
      <c r="R5" s="139" t="s">
        <v>101</v>
      </c>
      <c r="S5" s="139" t="s">
        <v>102</v>
      </c>
      <c r="T5" s="140" t="s">
        <v>207</v>
      </c>
      <c r="U5" s="140" t="s">
        <v>206</v>
      </c>
      <c r="V5" s="140" t="s">
        <v>208</v>
      </c>
      <c r="W5" s="135"/>
      <c r="X5" s="135"/>
      <c r="Z5" s="141"/>
      <c r="AA5" s="141"/>
      <c r="AB5" s="141"/>
    </row>
    <row r="6" spans="1:41" ht="16">
      <c r="A6" s="641" t="s">
        <v>103</v>
      </c>
      <c r="B6" s="142" t="s">
        <v>104</v>
      </c>
      <c r="C6" s="143"/>
      <c r="D6" s="144"/>
      <c r="E6" s="145">
        <v>-0.414545454545454</v>
      </c>
      <c r="F6" s="146">
        <v>0</v>
      </c>
      <c r="G6" s="146">
        <v>-0.2</v>
      </c>
      <c r="H6" s="146">
        <v>2.1145002036205701E-2</v>
      </c>
      <c r="I6" s="146">
        <v>0</v>
      </c>
      <c r="J6" s="146">
        <v>0</v>
      </c>
      <c r="K6" s="147">
        <v>-1</v>
      </c>
      <c r="L6" s="147">
        <v>-1</v>
      </c>
      <c r="M6" s="147">
        <v>-1</v>
      </c>
      <c r="N6" s="146">
        <v>-0.47199999999999998</v>
      </c>
      <c r="O6" s="146">
        <v>-0.50722300278119403</v>
      </c>
      <c r="P6" s="146">
        <v>-0.50214740622402498</v>
      </c>
      <c r="Q6" s="146">
        <v>0</v>
      </c>
      <c r="R6" s="146">
        <v>0</v>
      </c>
      <c r="S6" s="146">
        <v>0</v>
      </c>
      <c r="T6" s="147">
        <v>-0.47199999999999998</v>
      </c>
      <c r="U6" s="147">
        <v>-0.51355287851974596</v>
      </c>
      <c r="V6" s="147">
        <v>-0.532692720733278</v>
      </c>
      <c r="W6" s="135"/>
      <c r="X6" s="135"/>
      <c r="Y6" s="148"/>
      <c r="Z6" s="149"/>
      <c r="AA6" s="149"/>
      <c r="AB6" s="149"/>
      <c r="AC6" s="148"/>
      <c r="AD6" s="148"/>
      <c r="AE6" s="148"/>
      <c r="AF6" s="148"/>
      <c r="AG6" s="148"/>
      <c r="AH6" s="148"/>
      <c r="AI6" s="148"/>
      <c r="AJ6" s="148"/>
      <c r="AK6" s="148"/>
      <c r="AL6" s="148"/>
      <c r="AM6" s="148"/>
      <c r="AN6" s="148"/>
      <c r="AO6" s="148"/>
    </row>
    <row r="7" spans="1:41" ht="16">
      <c r="A7" s="641"/>
      <c r="B7" s="150" t="s">
        <v>105</v>
      </c>
      <c r="C7" s="151"/>
      <c r="D7" s="152"/>
      <c r="E7" s="153">
        <v>2.2437989556135798</v>
      </c>
      <c r="F7" s="154">
        <v>3.83316163963489</v>
      </c>
      <c r="G7" s="154">
        <v>2.8838355012166201</v>
      </c>
      <c r="H7" s="155">
        <v>3.9808719139870101</v>
      </c>
      <c r="I7" s="155">
        <v>3.7210886709687601</v>
      </c>
      <c r="J7" s="155">
        <v>3.5496613795916399</v>
      </c>
      <c r="K7" s="154">
        <v>1</v>
      </c>
      <c r="L7" s="154">
        <v>1</v>
      </c>
      <c r="M7" s="154">
        <v>1</v>
      </c>
      <c r="N7" s="154">
        <v>2.1041188125756198</v>
      </c>
      <c r="O7" s="154">
        <v>2.0185852492594401</v>
      </c>
      <c r="P7" s="154">
        <v>1.9796783114070999</v>
      </c>
      <c r="Q7" s="154">
        <v>3.7360574357315701</v>
      </c>
      <c r="R7" s="154">
        <v>6.9790625815425598</v>
      </c>
      <c r="S7" s="154">
        <v>13.037089326104001</v>
      </c>
      <c r="T7" s="154">
        <v>2.1186440677966099</v>
      </c>
      <c r="U7" s="154">
        <v>1.9379162887927499</v>
      </c>
      <c r="V7" s="154">
        <v>1.8726304261237401</v>
      </c>
      <c r="W7" s="135"/>
      <c r="X7" s="135"/>
      <c r="Y7" s="148"/>
      <c r="Z7" s="149"/>
      <c r="AA7" s="149"/>
      <c r="AB7" s="149"/>
      <c r="AC7" s="148"/>
      <c r="AD7" s="148"/>
      <c r="AE7" s="148"/>
      <c r="AF7" s="148"/>
      <c r="AG7" s="148"/>
      <c r="AH7" s="148"/>
      <c r="AI7" s="148"/>
      <c r="AJ7" s="148"/>
      <c r="AK7" s="148"/>
      <c r="AL7" s="148"/>
      <c r="AM7" s="148"/>
      <c r="AN7" s="148"/>
      <c r="AO7" s="148"/>
    </row>
    <row r="8" spans="1:41" ht="16">
      <c r="A8" s="641"/>
      <c r="B8" s="156" t="s">
        <v>106</v>
      </c>
      <c r="C8" s="151"/>
      <c r="D8" s="157"/>
      <c r="E8" s="158">
        <v>-1</v>
      </c>
      <c r="F8" s="159"/>
      <c r="G8" s="159"/>
      <c r="H8" s="159"/>
      <c r="I8" s="159"/>
      <c r="J8" s="159"/>
      <c r="K8" s="159"/>
      <c r="L8" s="159"/>
      <c r="M8" s="159"/>
      <c r="N8" s="159"/>
      <c r="O8" s="159"/>
      <c r="P8" s="159"/>
      <c r="Q8" s="159"/>
      <c r="R8" s="159"/>
      <c r="S8" s="159"/>
      <c r="T8" s="159"/>
      <c r="U8" s="159"/>
      <c r="V8" s="159"/>
      <c r="W8" s="135"/>
      <c r="X8" s="135"/>
      <c r="Y8" s="160"/>
      <c r="Z8" s="161"/>
      <c r="AA8" s="161"/>
      <c r="AB8" s="161"/>
      <c r="AC8" s="160"/>
      <c r="AD8" s="160"/>
      <c r="AE8" s="160"/>
      <c r="AF8" s="160"/>
      <c r="AG8" s="160"/>
      <c r="AH8" s="160"/>
      <c r="AI8" s="160"/>
      <c r="AJ8" s="160"/>
      <c r="AK8" s="160"/>
      <c r="AL8" s="160"/>
      <c r="AM8" s="160"/>
      <c r="AN8" s="160"/>
      <c r="AO8" s="160"/>
    </row>
    <row r="9" spans="1:41" ht="16">
      <c r="A9" s="642" t="s">
        <v>107</v>
      </c>
      <c r="B9" s="98"/>
      <c r="C9" s="98"/>
      <c r="D9" s="162" t="s">
        <v>108</v>
      </c>
      <c r="E9" s="645" t="s">
        <v>109</v>
      </c>
      <c r="F9" s="646"/>
      <c r="G9" s="646"/>
      <c r="H9" s="646"/>
      <c r="I9" s="646"/>
      <c r="J9" s="646"/>
      <c r="K9" s="646"/>
      <c r="L9" s="646"/>
      <c r="M9" s="646"/>
      <c r="N9" s="646"/>
      <c r="O9" s="646"/>
      <c r="P9" s="646"/>
      <c r="Q9" s="646"/>
      <c r="R9" s="646"/>
      <c r="S9" s="646"/>
      <c r="T9" s="646"/>
      <c r="U9" s="646"/>
      <c r="V9" s="646"/>
      <c r="W9" s="135"/>
      <c r="X9" s="135"/>
      <c r="Y9" s="160"/>
      <c r="Z9" s="160"/>
      <c r="AA9" s="160"/>
      <c r="AB9" s="160"/>
      <c r="AC9" s="160"/>
      <c r="AD9" s="160"/>
      <c r="AE9" s="160"/>
      <c r="AF9" s="160"/>
      <c r="AG9" s="160"/>
      <c r="AH9" s="160"/>
      <c r="AI9" s="160"/>
      <c r="AJ9" s="160"/>
      <c r="AK9" s="160"/>
      <c r="AL9" s="160"/>
      <c r="AM9" s="160"/>
      <c r="AN9" s="160"/>
      <c r="AO9" s="160"/>
    </row>
    <row r="10" spans="1:41" ht="16">
      <c r="A10" s="643"/>
      <c r="B10" s="647" t="s">
        <v>110</v>
      </c>
      <c r="C10" s="163" t="s">
        <v>111</v>
      </c>
      <c r="D10" s="147">
        <v>-0.249390763050715</v>
      </c>
      <c r="E10" s="164">
        <v>3.9646819703628003E-2</v>
      </c>
      <c r="F10" s="165">
        <v>0.51359149134092097</v>
      </c>
      <c r="G10" s="165">
        <v>-0.161515813146099</v>
      </c>
      <c r="H10" s="165">
        <v>0.53357825211541199</v>
      </c>
      <c r="I10" s="165">
        <v>0.39264681490284298</v>
      </c>
      <c r="J10" s="165">
        <v>0.77843653943171198</v>
      </c>
      <c r="K10" s="165">
        <v>-9.0212402458099403E-2</v>
      </c>
      <c r="L10" s="165">
        <v>-2.5872505906428499E-2</v>
      </c>
      <c r="M10" s="165">
        <v>-0.31869761350262099</v>
      </c>
      <c r="N10" s="165">
        <v>0.140856800957881</v>
      </c>
      <c r="O10" s="165">
        <v>-0.101503048541665</v>
      </c>
      <c r="P10" s="165">
        <v>0.223686526210991</v>
      </c>
      <c r="Q10" s="165">
        <v>1.8451548385566102E-2</v>
      </c>
      <c r="R10" s="165">
        <v>0.28486861550888598</v>
      </c>
      <c r="S10" s="165">
        <v>9.6628446454842601E-2</v>
      </c>
      <c r="T10" s="165">
        <v>0.27465621935871298</v>
      </c>
      <c r="U10" s="165">
        <v>2.5981274714416799E-2</v>
      </c>
      <c r="V10" s="165">
        <v>8.7989959884541599E-2</v>
      </c>
      <c r="W10" s="135"/>
      <c r="X10" s="135"/>
    </row>
    <row r="11" spans="1:41" ht="16">
      <c r="A11" s="643"/>
      <c r="B11" s="648"/>
      <c r="C11" s="163" t="s">
        <v>112</v>
      </c>
      <c r="D11" s="147">
        <v>-0.10025015166326</v>
      </c>
      <c r="E11" s="164">
        <v>-0.57461185082176003</v>
      </c>
      <c r="F11" s="165">
        <v>-0.50279049607257098</v>
      </c>
      <c r="G11" s="165">
        <v>-3.46106776749378E-2</v>
      </c>
      <c r="H11" s="165">
        <v>0.34007095179812902</v>
      </c>
      <c r="I11" s="165">
        <v>0.20559555452870301</v>
      </c>
      <c r="J11" s="165">
        <v>0.30161421590845</v>
      </c>
      <c r="K11" s="165">
        <v>0.30070207158119799</v>
      </c>
      <c r="L11" s="165">
        <v>-4.9298561584027102E-2</v>
      </c>
      <c r="M11" s="165">
        <v>-3.03543877659774E-2</v>
      </c>
      <c r="N11" s="165">
        <v>0.87710170580823599</v>
      </c>
      <c r="O11" s="165">
        <v>-0.70254339381752895</v>
      </c>
      <c r="P11" s="165">
        <v>-0.70098102817636199</v>
      </c>
      <c r="Q11" s="165">
        <v>-0.40558997284864601</v>
      </c>
      <c r="R11" s="165">
        <v>0.32272726243919297</v>
      </c>
      <c r="S11" s="165">
        <v>0.40208742349820198</v>
      </c>
      <c r="T11" s="165">
        <v>0.36102667652090997</v>
      </c>
      <c r="U11" s="165">
        <v>-0.19922782308254799</v>
      </c>
      <c r="V11" s="165">
        <v>-0.243078965926456</v>
      </c>
      <c r="W11" s="135"/>
      <c r="X11" s="135"/>
    </row>
    <row r="12" spans="1:41" ht="16">
      <c r="A12" s="643"/>
      <c r="B12" s="648"/>
      <c r="C12" s="163" t="s">
        <v>113</v>
      </c>
      <c r="D12" s="147">
        <v>9.56397669685706E-2</v>
      </c>
      <c r="E12" s="164">
        <v>-5.5718304677555799E-2</v>
      </c>
      <c r="F12" s="165">
        <v>4.9056061624485503E-2</v>
      </c>
      <c r="G12" s="165">
        <v>7.32281213380645E-2</v>
      </c>
      <c r="H12" s="165">
        <v>-0.38083562729555398</v>
      </c>
      <c r="I12" s="165">
        <v>0.239434263622501</v>
      </c>
      <c r="J12" s="165">
        <v>-0.47216903704271501</v>
      </c>
      <c r="K12" s="165">
        <v>0.41002689218042399</v>
      </c>
      <c r="L12" s="165">
        <v>0.270450023262652</v>
      </c>
      <c r="M12" s="165">
        <v>-0.25504848766099802</v>
      </c>
      <c r="N12" s="165">
        <v>0.14496492725032301</v>
      </c>
      <c r="O12" s="165">
        <v>-0.48097438763685402</v>
      </c>
      <c r="P12" s="165">
        <v>-0.25464064548719001</v>
      </c>
      <c r="Q12" s="165">
        <v>0.34654043305798299</v>
      </c>
      <c r="R12" s="165">
        <v>7.0875426246568396E-2</v>
      </c>
      <c r="S12" s="165">
        <v>0.47884335984444198</v>
      </c>
      <c r="T12" s="165">
        <v>0.22158913883765499</v>
      </c>
      <c r="U12" s="165">
        <v>-0.47730303651512501</v>
      </c>
      <c r="V12" s="165">
        <v>-0.20506739713889499</v>
      </c>
      <c r="W12" s="135"/>
      <c r="X12" s="135"/>
    </row>
    <row r="13" spans="1:41" ht="16">
      <c r="A13" s="643"/>
      <c r="B13" s="648"/>
      <c r="C13" s="163" t="s">
        <v>114</v>
      </c>
      <c r="D13" s="147">
        <v>0.101680098004717</v>
      </c>
      <c r="E13" s="164">
        <v>0.36106116657519799</v>
      </c>
      <c r="F13" s="165">
        <v>0.22457543716362499</v>
      </c>
      <c r="G13" s="165">
        <v>0.25543065186056702</v>
      </c>
      <c r="H13" s="165">
        <v>-0.46296069926787897</v>
      </c>
      <c r="I13" s="165">
        <v>-0.32297046567582399</v>
      </c>
      <c r="J13" s="165">
        <v>-0.57810724817300496</v>
      </c>
      <c r="K13" s="165">
        <v>0.21327570876989899</v>
      </c>
      <c r="L13" s="165">
        <v>0.14654326242306601</v>
      </c>
      <c r="M13" s="165">
        <v>3.7696955815714001E-2</v>
      </c>
      <c r="N13" s="165">
        <v>0.49726010700920098</v>
      </c>
      <c r="O13" s="165">
        <v>-0.20986043044125099</v>
      </c>
      <c r="P13" s="165">
        <v>0.67954061401986099</v>
      </c>
      <c r="Q13" s="165">
        <v>0.16272110733214601</v>
      </c>
      <c r="R13" s="165">
        <v>2.1939845844339199E-2</v>
      </c>
      <c r="S13" s="165">
        <v>-6.5891238859650605E-2</v>
      </c>
      <c r="T13" s="165">
        <v>0.43372934825610898</v>
      </c>
      <c r="U13" s="165">
        <v>0.103958931821787</v>
      </c>
      <c r="V13" s="165">
        <v>0.75105606010929205</v>
      </c>
      <c r="W13" s="135"/>
      <c r="X13" s="135"/>
    </row>
    <row r="14" spans="1:41" ht="16">
      <c r="A14" s="643"/>
      <c r="B14" s="648"/>
      <c r="C14" s="163" t="s">
        <v>115</v>
      </c>
      <c r="D14" s="147">
        <v>0.245807318675936</v>
      </c>
      <c r="E14" s="164">
        <v>0.27057978663155102</v>
      </c>
      <c r="F14" s="165">
        <v>-0.64025611859604703</v>
      </c>
      <c r="G14" s="165">
        <v>8.4814998487726598E-2</v>
      </c>
      <c r="H14" s="165">
        <v>0.31255257271478798</v>
      </c>
      <c r="I14" s="165">
        <v>-0.47832925515091501</v>
      </c>
      <c r="J14" s="165">
        <v>0.44180970403313202</v>
      </c>
      <c r="K14" s="165">
        <v>-5.6551181171837099E-2</v>
      </c>
      <c r="L14" s="165">
        <v>-0.50847186863135896</v>
      </c>
      <c r="M14" s="165">
        <v>0.13518661698172599</v>
      </c>
      <c r="N14" s="165">
        <v>0.51878601560517501</v>
      </c>
      <c r="O14" s="165">
        <v>6.4655373228688098E-2</v>
      </c>
      <c r="P14" s="165">
        <v>-0.29400200031995599</v>
      </c>
      <c r="Q14" s="165">
        <v>-0.63372730063326799</v>
      </c>
      <c r="R14" s="165">
        <v>-0.20260637946755</v>
      </c>
      <c r="S14" s="165">
        <v>0.52399380842194099</v>
      </c>
      <c r="T14" s="165">
        <v>-0.134001361073672</v>
      </c>
      <c r="U14" s="165">
        <v>-0.45542001760115802</v>
      </c>
      <c r="V14" s="165">
        <v>0.452872722708069</v>
      </c>
      <c r="W14" s="135"/>
      <c r="X14" s="135"/>
    </row>
    <row r="15" spans="1:41" ht="16">
      <c r="A15" s="643"/>
      <c r="B15" s="648"/>
      <c r="C15" s="163" t="s">
        <v>116</v>
      </c>
      <c r="D15" s="147">
        <v>1.1966208048326401</v>
      </c>
      <c r="E15" s="164">
        <v>-0.33499608048914398</v>
      </c>
      <c r="F15" s="165">
        <v>-0.43579785504610502</v>
      </c>
      <c r="G15" s="165">
        <v>0.44653584822612002</v>
      </c>
      <c r="H15" s="165">
        <v>-3.7515767267909297E-2</v>
      </c>
      <c r="I15" s="165">
        <v>-0.70672293655561902</v>
      </c>
      <c r="J15" s="165">
        <v>0.27560011723073102</v>
      </c>
      <c r="K15" s="165">
        <v>0.22483729014596299</v>
      </c>
      <c r="L15" s="165">
        <v>0.32996288458877898</v>
      </c>
      <c r="M15" s="165">
        <v>0.18222515332365399</v>
      </c>
      <c r="N15" s="165">
        <v>0.35334389129190302</v>
      </c>
      <c r="O15" s="165">
        <v>0.51863036089818904</v>
      </c>
      <c r="P15" s="165">
        <v>-0.92992650336613403</v>
      </c>
      <c r="Q15" s="165">
        <v>0.33212821139542997</v>
      </c>
      <c r="R15" s="165">
        <v>0.49713120022708401</v>
      </c>
      <c r="S15" s="165">
        <v>-0.29248303927570202</v>
      </c>
      <c r="T15" s="165">
        <v>-0.162586462710471</v>
      </c>
      <c r="U15" s="165">
        <v>0.29839531302341199</v>
      </c>
      <c r="V15" s="165">
        <v>-1.2764588513738E-2</v>
      </c>
      <c r="W15" s="135"/>
      <c r="X15" s="135"/>
    </row>
    <row r="16" spans="1:41" ht="16">
      <c r="A16" s="643"/>
      <c r="B16" s="648"/>
      <c r="C16" s="163" t="s">
        <v>117</v>
      </c>
      <c r="D16" s="147">
        <v>-0.64017256585021098</v>
      </c>
      <c r="E16" s="164">
        <v>-0.21648406269985601</v>
      </c>
      <c r="F16" s="165">
        <v>0.498987988263144</v>
      </c>
      <c r="G16" s="165">
        <v>2.1740299717649399E-2</v>
      </c>
      <c r="H16" s="165">
        <v>0.114900495151622</v>
      </c>
      <c r="I16" s="165">
        <v>0.50626981375510105</v>
      </c>
      <c r="J16" s="165">
        <v>0.231791166545911</v>
      </c>
      <c r="K16" s="165">
        <v>0.61008991609893604</v>
      </c>
      <c r="L16" s="165">
        <v>0.25671407359231702</v>
      </c>
      <c r="M16" s="165">
        <v>1.44884567379115E-2</v>
      </c>
      <c r="N16" s="165">
        <v>0.57105154025987703</v>
      </c>
      <c r="O16" s="165">
        <v>-0.29464439367002598</v>
      </c>
      <c r="P16" s="165">
        <v>2.6590607807409999E-2</v>
      </c>
      <c r="Q16" s="165">
        <v>0.50483138379621395</v>
      </c>
      <c r="R16" s="165">
        <v>-0.37928778267102098</v>
      </c>
      <c r="S16" s="165">
        <v>-4.54203902615683E-2</v>
      </c>
      <c r="T16" s="165">
        <v>0.18012691162202399</v>
      </c>
      <c r="U16" s="165">
        <v>0.13723082336975101</v>
      </c>
      <c r="V16" s="165">
        <v>9.7941127018952495E-2</v>
      </c>
      <c r="W16" s="135"/>
      <c r="X16" s="135"/>
    </row>
    <row r="17" spans="1:24" ht="16">
      <c r="A17" s="643"/>
      <c r="B17" s="648"/>
      <c r="C17" s="163" t="s">
        <v>118</v>
      </c>
      <c r="D17" s="147">
        <v>0.50440430300501504</v>
      </c>
      <c r="E17" s="164">
        <v>0.39134413745028801</v>
      </c>
      <c r="F17" s="165">
        <v>-7.3456205366371199E-3</v>
      </c>
      <c r="G17" s="165">
        <v>0.17551644154745599</v>
      </c>
      <c r="H17" s="165">
        <v>5.2350061009108502E-2</v>
      </c>
      <c r="I17" s="165">
        <v>0.12437796260167799</v>
      </c>
      <c r="J17" s="165">
        <v>-0.36667220861344701</v>
      </c>
      <c r="K17" s="165">
        <v>0.93088403208850101</v>
      </c>
      <c r="L17" s="165">
        <v>0.69560576333736002</v>
      </c>
      <c r="M17" s="165">
        <v>-0.14770209199571099</v>
      </c>
      <c r="N17" s="165">
        <v>-0.15080989496172201</v>
      </c>
      <c r="O17" s="165">
        <v>0.216701334932977</v>
      </c>
      <c r="P17" s="165">
        <v>0.172845079906393</v>
      </c>
      <c r="Q17" s="165">
        <v>-0.89027123752540205</v>
      </c>
      <c r="R17" s="165">
        <v>-6.7996967751118298E-2</v>
      </c>
      <c r="S17" s="165">
        <v>0.44715916563052599</v>
      </c>
      <c r="T17" s="165">
        <v>-8.9601589923502603E-2</v>
      </c>
      <c r="U17" s="165">
        <v>0.30447211580169598</v>
      </c>
      <c r="V17" s="165">
        <v>0.48843058657029498</v>
      </c>
      <c r="W17" s="135"/>
      <c r="X17" s="135"/>
    </row>
    <row r="18" spans="1:24" ht="16">
      <c r="A18" s="643"/>
      <c r="B18" s="648"/>
      <c r="C18" s="163" t="s">
        <v>119</v>
      </c>
      <c r="D18" s="147">
        <v>-0.93451166621527004</v>
      </c>
      <c r="E18" s="164">
        <v>-0.49467602910591901</v>
      </c>
      <c r="F18" s="165">
        <v>0.19394778892124501</v>
      </c>
      <c r="G18" s="165">
        <v>-0.13640660602315599</v>
      </c>
      <c r="H18" s="165">
        <v>0.96420733321478003</v>
      </c>
      <c r="I18" s="165">
        <v>-0.38230079301667902</v>
      </c>
      <c r="J18" s="165">
        <v>-0.85818770879350204</v>
      </c>
      <c r="K18" s="165">
        <v>0.56782401136669702</v>
      </c>
      <c r="L18" s="165">
        <v>1.8334891174560101E-2</v>
      </c>
      <c r="M18" s="165">
        <v>7.3447467471295894E-2</v>
      </c>
      <c r="N18" s="165">
        <v>-0.303882437992681</v>
      </c>
      <c r="O18" s="165">
        <v>-0.21055869249084999</v>
      </c>
      <c r="P18" s="165">
        <v>-0.64360233603444605</v>
      </c>
      <c r="Q18" s="165">
        <v>-1.7207455397837501</v>
      </c>
      <c r="R18" s="165">
        <v>-0.10536750744788</v>
      </c>
      <c r="S18" s="165">
        <v>0.487180318093209</v>
      </c>
      <c r="T18" s="165">
        <v>-0.407364957626559</v>
      </c>
      <c r="U18" s="165">
        <v>7.9091394761059405E-2</v>
      </c>
      <c r="V18" s="165">
        <v>6.8590951745603798E-2</v>
      </c>
      <c r="W18" s="135"/>
      <c r="X18" s="135"/>
    </row>
    <row r="19" spans="1:24" ht="16">
      <c r="A19" s="643"/>
      <c r="B19" s="648"/>
      <c r="C19" s="163" t="s">
        <v>120</v>
      </c>
      <c r="D19" s="147">
        <v>-8.8019829568919405E-2</v>
      </c>
      <c r="E19" s="164">
        <v>-0.30727763475473402</v>
      </c>
      <c r="F19" s="165">
        <v>0.12536168665323799</v>
      </c>
      <c r="G19" s="165">
        <v>0.31294903930469598</v>
      </c>
      <c r="H19" s="165">
        <v>-0.684287526424876</v>
      </c>
      <c r="I19" s="165">
        <v>0.78125940389549198</v>
      </c>
      <c r="J19" s="165">
        <v>0.397496714684898</v>
      </c>
      <c r="K19" s="165">
        <v>0.15255503471530399</v>
      </c>
      <c r="L19" s="165">
        <v>0.13617163062634499</v>
      </c>
      <c r="M19" s="165">
        <v>9.6179114168465293E-3</v>
      </c>
      <c r="N19" s="165">
        <v>1.7255566736651299E-2</v>
      </c>
      <c r="O19" s="165">
        <v>-0.471407688998151</v>
      </c>
      <c r="P19" s="165">
        <v>0.225987951920536</v>
      </c>
      <c r="Q19" s="165">
        <v>-0.25782861754240299</v>
      </c>
      <c r="R19" s="165">
        <v>0.35227999932694198</v>
      </c>
      <c r="S19" s="165">
        <v>-0.17453472036262799</v>
      </c>
      <c r="T19" s="165">
        <v>-4.0584709587444999E-2</v>
      </c>
      <c r="U19" s="165">
        <v>-0.54263211710315795</v>
      </c>
      <c r="V19" s="165">
        <v>-0.14301945658489301</v>
      </c>
      <c r="W19" s="135"/>
      <c r="X19" s="135"/>
    </row>
    <row r="20" spans="1:24" ht="16">
      <c r="A20" s="643"/>
      <c r="B20" s="648"/>
      <c r="C20" s="163" t="s">
        <v>121</v>
      </c>
      <c r="D20" s="147">
        <v>-0.15944224091647499</v>
      </c>
      <c r="E20" s="164">
        <v>-7.9136730967549904E-2</v>
      </c>
      <c r="F20" s="165">
        <v>-0.44380125854733599</v>
      </c>
      <c r="G20" s="165">
        <v>-0.47879948681689</v>
      </c>
      <c r="H20" s="165">
        <v>0.57574434328386503</v>
      </c>
      <c r="I20" s="165">
        <v>3.0301412586833699E-2</v>
      </c>
      <c r="J20" s="165">
        <v>-0.69130001110422701</v>
      </c>
      <c r="K20" s="165">
        <v>0.28522780644280199</v>
      </c>
      <c r="L20" s="165">
        <v>-8.4313650408540497E-2</v>
      </c>
      <c r="M20" s="165">
        <v>-0.26298781494336199</v>
      </c>
      <c r="N20" s="165">
        <v>-0.31901296832512399</v>
      </c>
      <c r="O20" s="165">
        <v>8.7508147602102807E-2</v>
      </c>
      <c r="P20" s="165">
        <v>-0.54238705229689699</v>
      </c>
      <c r="Q20" s="165">
        <v>0.21419634567221299</v>
      </c>
      <c r="R20" s="165">
        <v>0.43111468258418301</v>
      </c>
      <c r="S20" s="165">
        <v>2.4140834105430601E-3</v>
      </c>
      <c r="T20" s="165">
        <v>7.22952121344132E-2</v>
      </c>
      <c r="U20" s="165">
        <v>-0.32389676250448901</v>
      </c>
      <c r="V20" s="165">
        <v>-0.48294743647430399</v>
      </c>
      <c r="W20" s="135"/>
      <c r="X20" s="135"/>
    </row>
    <row r="21" spans="1:24" ht="16">
      <c r="A21" s="643"/>
      <c r="B21" s="648"/>
      <c r="C21" s="163" t="s">
        <v>122</v>
      </c>
      <c r="D21" s="147">
        <v>0.25062952827347101</v>
      </c>
      <c r="E21" s="164">
        <v>0.141825962540854</v>
      </c>
      <c r="F21" s="165">
        <v>7.6078415044557507E-2</v>
      </c>
      <c r="G21" s="165">
        <v>-0.52835654835607204</v>
      </c>
      <c r="H21" s="165">
        <v>-1.1468411281056201E-3</v>
      </c>
      <c r="I21" s="165">
        <v>-0.24740336510486299</v>
      </c>
      <c r="J21" s="165">
        <v>-0.17324459629834199</v>
      </c>
      <c r="K21" s="165">
        <v>-0.31896661356706002</v>
      </c>
      <c r="L21" s="165">
        <v>-0.495949992690565</v>
      </c>
      <c r="M21" s="165">
        <v>0.119019921263658</v>
      </c>
      <c r="N21" s="165">
        <v>0.54034292742707601</v>
      </c>
      <c r="O21" s="165">
        <v>6.3866716360059694E-2</v>
      </c>
      <c r="P21" s="165">
        <v>-0.230528057130856</v>
      </c>
      <c r="Q21" s="165">
        <v>-8.1257679147344802E-2</v>
      </c>
      <c r="R21" s="165">
        <v>0.22062876110542601</v>
      </c>
      <c r="S21" s="165">
        <v>-9.4064900230779E-2</v>
      </c>
      <c r="T21" s="165">
        <v>-0.35649579015626398</v>
      </c>
      <c r="U21" s="165">
        <v>-0.61962303054513201</v>
      </c>
      <c r="V21" s="165">
        <v>0.115589733403062</v>
      </c>
      <c r="W21" s="135"/>
      <c r="X21" s="135"/>
    </row>
    <row r="22" spans="1:24" ht="15" customHeight="1">
      <c r="A22" s="644"/>
      <c r="B22" s="649"/>
      <c r="C22" s="166" t="s">
        <v>175</v>
      </c>
      <c r="D22" s="147">
        <v>0.36596349648405302</v>
      </c>
      <c r="E22" s="165">
        <v>1.32468525879893E-2</v>
      </c>
      <c r="F22" s="165">
        <v>-0.87659985367219995</v>
      </c>
      <c r="G22" s="165">
        <v>-5.0448415989356697E-2</v>
      </c>
      <c r="H22" s="165">
        <v>-8.7569622233869507E-2</v>
      </c>
      <c r="I22" s="165">
        <v>0.14491726483506001</v>
      </c>
      <c r="J22" s="165">
        <v>0.824400659292996</v>
      </c>
      <c r="K22" s="165">
        <v>-5.4047923858838401E-2</v>
      </c>
      <c r="L22" s="165">
        <v>0.11444089067334901</v>
      </c>
      <c r="M22" s="165">
        <v>-3.9991469893314299E-2</v>
      </c>
      <c r="N22" s="165">
        <v>0.43465603019846299</v>
      </c>
      <c r="O22" s="165">
        <v>-8.1372365867881297E-2</v>
      </c>
      <c r="P22" s="165">
        <v>0.50684786171884799</v>
      </c>
      <c r="Q22" s="165">
        <v>1.0401589725829901</v>
      </c>
      <c r="R22" s="165">
        <v>-0.44211878308493802</v>
      </c>
      <c r="S22" s="165">
        <v>-0.28629089245797801</v>
      </c>
      <c r="T22" s="165">
        <v>0.23089978297709299</v>
      </c>
      <c r="U22" s="165">
        <v>-8.2354176217549202E-2</v>
      </c>
      <c r="V22" s="165">
        <v>-0.53352823811519801</v>
      </c>
      <c r="W22" s="167"/>
      <c r="X22" s="167"/>
    </row>
    <row r="23" spans="1:24" ht="15" customHeight="1">
      <c r="A23" s="650" t="s">
        <v>123</v>
      </c>
      <c r="B23" s="168"/>
      <c r="C23" s="168"/>
      <c r="D23" s="169" t="s">
        <v>124</v>
      </c>
      <c r="E23" s="170" t="s">
        <v>125</v>
      </c>
      <c r="F23" s="148"/>
      <c r="G23" s="171"/>
      <c r="H23" s="172"/>
      <c r="I23" s="171"/>
      <c r="J23" s="171"/>
      <c r="K23" s="171"/>
      <c r="L23" s="148"/>
      <c r="M23" s="148"/>
      <c r="N23" s="148"/>
      <c r="O23" s="148"/>
      <c r="P23" s="148"/>
      <c r="Q23" s="148"/>
      <c r="R23" s="148"/>
      <c r="S23" s="148"/>
      <c r="T23" s="167"/>
      <c r="U23" s="167"/>
      <c r="V23" s="167"/>
      <c r="W23" s="167"/>
      <c r="X23" s="167"/>
    </row>
    <row r="24" spans="1:24" ht="15" customHeight="1">
      <c r="A24" s="651"/>
      <c r="B24" s="653" t="s">
        <v>126</v>
      </c>
      <c r="C24" s="173" t="s">
        <v>111</v>
      </c>
      <c r="D24" s="147">
        <v>0.319619509557245</v>
      </c>
      <c r="E24" s="174">
        <v>-0.72600872845917097</v>
      </c>
      <c r="F24" s="148"/>
      <c r="G24" s="175"/>
      <c r="H24" s="148"/>
      <c r="I24" s="148"/>
      <c r="J24" s="176" t="s">
        <v>142</v>
      </c>
      <c r="K24" s="177"/>
      <c r="L24" s="148"/>
      <c r="M24" s="231">
        <v>0.01</v>
      </c>
      <c r="N24" s="199" t="s">
        <v>514</v>
      </c>
      <c r="P24" s="148"/>
      <c r="Q24" s="148"/>
      <c r="R24" s="148"/>
      <c r="S24" s="148"/>
      <c r="T24" s="167"/>
      <c r="U24" s="167"/>
      <c r="V24" s="167"/>
      <c r="W24" s="167"/>
      <c r="X24" s="167"/>
    </row>
    <row r="25" spans="1:24" ht="15" customHeight="1">
      <c r="A25" s="651"/>
      <c r="B25" s="654"/>
      <c r="C25" s="173" t="s">
        <v>112</v>
      </c>
      <c r="D25" s="143"/>
      <c r="E25" s="174">
        <v>-0.89611989955236404</v>
      </c>
      <c r="F25" s="148"/>
      <c r="G25" s="175"/>
      <c r="H25" s="656" t="s">
        <v>143</v>
      </c>
      <c r="I25" s="178" t="s">
        <v>268</v>
      </c>
      <c r="J25" s="99">
        <f>'Lft - Gravity correction'!C12</f>
        <v>-0.29486073487428677</v>
      </c>
      <c r="K25" s="177"/>
      <c r="L25" s="249" t="s">
        <v>274</v>
      </c>
      <c r="M25" s="212">
        <f>IF(J25&lt;-M24,1,IF(J25&gt;M24,3,2))</f>
        <v>1</v>
      </c>
      <c r="P25" s="148"/>
      <c r="Q25" s="148"/>
      <c r="R25" s="148"/>
      <c r="S25" s="148"/>
      <c r="T25" s="167"/>
      <c r="U25" s="167"/>
      <c r="V25" s="167"/>
      <c r="W25" s="167"/>
      <c r="X25" s="167"/>
    </row>
    <row r="26" spans="1:24" ht="15" customHeight="1">
      <c r="A26" s="651"/>
      <c r="B26" s="654"/>
      <c r="C26" s="173" t="s">
        <v>113</v>
      </c>
      <c r="D26" s="143"/>
      <c r="E26" s="174">
        <v>1.3038982874907901</v>
      </c>
      <c r="F26" s="148"/>
      <c r="G26" s="175"/>
      <c r="H26" s="657"/>
      <c r="I26" s="178" t="s">
        <v>269</v>
      </c>
      <c r="J26" s="99">
        <f>'Lft - Gravity correction'!B12</f>
        <v>0.45061862703332134</v>
      </c>
      <c r="K26" s="177"/>
      <c r="L26" s="250"/>
      <c r="P26" s="148"/>
      <c r="Q26" s="148"/>
      <c r="R26" s="148"/>
      <c r="S26" s="148"/>
    </row>
    <row r="27" spans="1:24" ht="15" customHeight="1">
      <c r="A27" s="651"/>
      <c r="B27" s="654"/>
      <c r="C27" s="173" t="s">
        <v>114</v>
      </c>
      <c r="D27" s="143"/>
      <c r="E27" s="174">
        <v>-0.96359952064171195</v>
      </c>
      <c r="F27" s="148"/>
      <c r="G27" s="175"/>
      <c r="H27" s="658"/>
      <c r="I27" s="178" t="s">
        <v>270</v>
      </c>
      <c r="J27" s="99">
        <f>'Lft - Gravity correction'!D12</f>
        <v>0.15000000000000002</v>
      </c>
      <c r="K27" s="177"/>
      <c r="L27" s="250"/>
      <c r="P27" s="148"/>
      <c r="Q27" s="148"/>
      <c r="R27" s="148"/>
      <c r="S27" s="148"/>
    </row>
    <row r="28" spans="1:24" ht="15" customHeight="1">
      <c r="A28" s="651"/>
      <c r="B28" s="654"/>
      <c r="C28" s="173" t="s">
        <v>115</v>
      </c>
      <c r="D28" s="143"/>
      <c r="E28" s="174">
        <v>0.89230417134311102</v>
      </c>
      <c r="F28" s="148"/>
      <c r="G28" s="175"/>
      <c r="H28" s="148"/>
      <c r="I28" s="179"/>
      <c r="J28"/>
      <c r="K28" s="177"/>
      <c r="L28" s="250"/>
      <c r="M28" s="199" t="s">
        <v>275</v>
      </c>
      <c r="N28" s="207" t="s">
        <v>234</v>
      </c>
      <c r="P28" s="148"/>
      <c r="Q28" s="148"/>
      <c r="R28" s="148"/>
      <c r="S28" s="148"/>
    </row>
    <row r="29" spans="1:24" ht="15" customHeight="1">
      <c r="A29" s="651"/>
      <c r="B29" s="654"/>
      <c r="C29" s="173" t="s">
        <v>116</v>
      </c>
      <c r="D29" s="143"/>
      <c r="E29" s="174">
        <v>-1.10949608479192</v>
      </c>
      <c r="F29" s="148"/>
      <c r="G29" s="175"/>
      <c r="H29" s="659" t="s">
        <v>144</v>
      </c>
      <c r="I29" s="178" t="s">
        <v>271</v>
      </c>
      <c r="J29" s="99">
        <f>'Lft - Gravity correction'!N20</f>
        <v>0.7326718619752417</v>
      </c>
      <c r="K29" s="177"/>
      <c r="L29" s="249" t="s">
        <v>148</v>
      </c>
      <c r="M29" s="206">
        <f>IF(ABS(J30)&lt;O29,0,J30/ABS(J30))</f>
        <v>-1</v>
      </c>
      <c r="N29" s="205">
        <f>(M29+2)*100+(M30+2)*10+(M31+2)+M25*1000</f>
        <v>1133</v>
      </c>
      <c r="O29" s="328">
        <v>0.1</v>
      </c>
      <c r="P29" s="327" t="s">
        <v>350</v>
      </c>
      <c r="Q29" s="327"/>
      <c r="R29" s="327"/>
      <c r="S29" s="148"/>
    </row>
    <row r="30" spans="1:24" ht="15" customHeight="1">
      <c r="A30" s="651"/>
      <c r="B30" s="654"/>
      <c r="C30" s="173" t="s">
        <v>117</v>
      </c>
      <c r="D30" s="143"/>
      <c r="E30" s="174">
        <v>1.3204567628156501</v>
      </c>
      <c r="F30" s="148"/>
      <c r="G30" s="175"/>
      <c r="H30" s="660"/>
      <c r="I30" s="178" t="s">
        <v>272</v>
      </c>
      <c r="J30" s="99">
        <f>'Lft - Gravity correction'!N19</f>
        <v>-0.51302236078920804</v>
      </c>
      <c r="K30" s="177"/>
      <c r="L30" s="249" t="s">
        <v>257</v>
      </c>
      <c r="M30" s="206">
        <f>IF(ABS(J29)&lt;O29,0,J29/ABS(J29))</f>
        <v>1</v>
      </c>
      <c r="P30" s="148"/>
      <c r="Q30" s="148"/>
      <c r="R30" s="148"/>
      <c r="S30" s="148"/>
    </row>
    <row r="31" spans="1:24" ht="15" customHeight="1">
      <c r="A31" s="651"/>
      <c r="B31" s="654"/>
      <c r="C31" s="173" t="s">
        <v>118</v>
      </c>
      <c r="D31" s="143"/>
      <c r="E31" s="174">
        <v>-0.88151051162302696</v>
      </c>
      <c r="F31" s="148"/>
      <c r="G31" s="175"/>
      <c r="H31" s="661"/>
      <c r="I31" s="178" t="s">
        <v>273</v>
      </c>
      <c r="J31" s="99">
        <f>-'Lft - Gravity correction'!N21</f>
        <v>0.44721359549995793</v>
      </c>
      <c r="K31" s="177"/>
      <c r="L31" s="249" t="s">
        <v>276</v>
      </c>
      <c r="M31" s="206">
        <f>IF(ABS(J31)&lt;O29,0,J31/ABS(J31))</f>
        <v>1</v>
      </c>
      <c r="P31" s="148"/>
      <c r="Q31" s="148"/>
      <c r="R31" s="148"/>
      <c r="S31" s="148"/>
    </row>
    <row r="32" spans="1:24" ht="15" customHeight="1">
      <c r="A32" s="651"/>
      <c r="B32" s="654"/>
      <c r="C32" s="173" t="s">
        <v>119</v>
      </c>
      <c r="D32" s="143"/>
      <c r="E32" s="174">
        <v>1.19732970053209</v>
      </c>
      <c r="F32" s="148"/>
      <c r="G32" s="177"/>
      <c r="H32" s="177"/>
      <c r="I32" s="177"/>
      <c r="J32" s="177"/>
      <c r="K32" s="177"/>
      <c r="L32" s="180"/>
      <c r="M32" s="180"/>
      <c r="N32" s="180"/>
      <c r="O32" s="180"/>
      <c r="P32" s="180"/>
      <c r="Q32" s="180"/>
      <c r="R32" s="180"/>
      <c r="S32" s="180"/>
    </row>
    <row r="33" spans="1:25" ht="15" customHeight="1">
      <c r="A33" s="651"/>
      <c r="B33" s="654"/>
      <c r="C33" s="173" t="s">
        <v>120</v>
      </c>
      <c r="D33" s="143"/>
      <c r="E33" s="174">
        <v>-1.1976418523187999</v>
      </c>
      <c r="F33" s="148"/>
      <c r="G33" s="148"/>
      <c r="H33" s="148"/>
      <c r="I33" s="148"/>
      <c r="J33" s="148"/>
      <c r="K33" s="148"/>
      <c r="L33" s="180"/>
      <c r="M33" s="180"/>
      <c r="N33" s="180"/>
      <c r="O33" s="180"/>
      <c r="P33" s="180"/>
      <c r="Q33" s="180"/>
      <c r="R33" s="180"/>
      <c r="S33" s="180"/>
    </row>
    <row r="34" spans="1:25" ht="15" customHeight="1">
      <c r="A34" s="651"/>
      <c r="B34" s="654"/>
      <c r="C34" s="173" t="s">
        <v>121</v>
      </c>
      <c r="D34" s="143"/>
      <c r="E34" s="174">
        <v>-0.83642974636656098</v>
      </c>
      <c r="F34" s="148"/>
      <c r="G34" s="148"/>
      <c r="H34" s="148"/>
      <c r="I34" s="148"/>
      <c r="J34" s="148"/>
      <c r="K34" s="148"/>
      <c r="L34" s="180"/>
      <c r="M34" s="180"/>
      <c r="N34" s="180"/>
      <c r="O34" s="180"/>
      <c r="P34" s="180"/>
      <c r="Q34" s="180"/>
      <c r="R34" s="180"/>
      <c r="S34" s="180"/>
    </row>
    <row r="35" spans="1:25" ht="15" customHeight="1">
      <c r="A35" s="651"/>
      <c r="B35" s="654"/>
      <c r="C35" s="173" t="s">
        <v>122</v>
      </c>
      <c r="D35" s="143"/>
      <c r="E35" s="174">
        <v>-0.85334110181181799</v>
      </c>
      <c r="F35" s="148"/>
      <c r="G35" s="148"/>
      <c r="H35" s="148"/>
      <c r="I35" s="148"/>
      <c r="J35" s="148"/>
      <c r="K35" s="148"/>
      <c r="L35" s="180"/>
      <c r="M35" s="180"/>
      <c r="N35" s="180"/>
      <c r="O35" s="180"/>
      <c r="P35" s="180"/>
      <c r="Q35" s="180"/>
      <c r="R35" s="180"/>
      <c r="S35" s="180"/>
    </row>
    <row r="36" spans="1:25" ht="15" customHeight="1">
      <c r="A36" s="652"/>
      <c r="B36" s="655"/>
      <c r="C36" s="181" t="s">
        <v>175</v>
      </c>
      <c r="D36" s="143"/>
      <c r="E36" s="174">
        <v>1.69729115635384</v>
      </c>
      <c r="F36" s="148"/>
      <c r="G36" s="148"/>
      <c r="H36" s="148"/>
      <c r="I36" s="148"/>
      <c r="J36" s="148"/>
      <c r="K36" s="148"/>
      <c r="L36" s="180"/>
      <c r="M36" s="180"/>
      <c r="N36" s="180"/>
      <c r="O36" s="180"/>
      <c r="P36" s="180"/>
      <c r="Q36" s="180"/>
      <c r="R36" s="180"/>
      <c r="S36" s="180"/>
    </row>
    <row r="37" spans="1:25" ht="15" customHeight="1">
      <c r="A37" s="662" t="s">
        <v>127</v>
      </c>
      <c r="B37" s="182" t="s">
        <v>128</v>
      </c>
      <c r="C37" s="100"/>
      <c r="D37" s="100"/>
      <c r="E37" s="183">
        <v>-1</v>
      </c>
      <c r="F37" s="148"/>
      <c r="G37" s="148"/>
      <c r="H37" s="148"/>
      <c r="I37" s="148"/>
      <c r="J37" s="148"/>
      <c r="K37" s="148"/>
      <c r="L37" s="148"/>
      <c r="M37" s="148"/>
      <c r="N37" s="148"/>
      <c r="O37" s="148"/>
      <c r="P37" s="148"/>
      <c r="Q37" s="148"/>
      <c r="R37" s="148"/>
      <c r="S37" s="148"/>
    </row>
    <row r="38" spans="1:25" ht="15" customHeight="1">
      <c r="A38" s="662"/>
      <c r="B38" s="184" t="s">
        <v>129</v>
      </c>
      <c r="C38" s="101"/>
      <c r="D38" s="100"/>
      <c r="E38" s="154">
        <v>1.11758422535829E-2</v>
      </c>
      <c r="F38" s="148"/>
      <c r="G38" s="148"/>
      <c r="H38" s="148"/>
      <c r="I38" s="148"/>
      <c r="J38" s="148"/>
      <c r="K38" s="148"/>
      <c r="L38" s="148"/>
      <c r="M38" s="148"/>
      <c r="N38" s="148"/>
      <c r="O38" s="148"/>
      <c r="P38" s="148"/>
      <c r="Q38" s="148"/>
      <c r="R38" s="148"/>
      <c r="S38" s="148"/>
    </row>
    <row r="39" spans="1:25" ht="15" customHeight="1">
      <c r="A39" s="662"/>
      <c r="B39" s="185" t="s">
        <v>130</v>
      </c>
      <c r="C39" s="100"/>
      <c r="D39" s="100"/>
      <c r="E39" s="186">
        <v>44.245180138539901</v>
      </c>
      <c r="F39" s="148"/>
      <c r="G39" s="148"/>
      <c r="H39" s="148"/>
      <c r="I39" s="148"/>
      <c r="J39" s="148"/>
      <c r="K39" s="148"/>
      <c r="L39" s="148"/>
      <c r="M39" s="148"/>
      <c r="N39" s="148"/>
      <c r="O39" s="148"/>
      <c r="P39" s="148"/>
      <c r="Q39" s="148"/>
      <c r="R39" s="148"/>
      <c r="S39" s="148"/>
    </row>
    <row r="40" spans="1:25" ht="15" customHeight="1">
      <c r="A40" s="180"/>
      <c r="B40" s="180"/>
      <c r="C40" s="180"/>
      <c r="D40" s="180"/>
      <c r="E40" s="180"/>
      <c r="F40" s="148"/>
      <c r="G40" s="148"/>
      <c r="H40" s="148"/>
      <c r="I40" s="148"/>
      <c r="J40" s="148"/>
      <c r="K40" s="148"/>
      <c r="L40" s="148"/>
      <c r="M40" s="148"/>
      <c r="N40" s="148"/>
      <c r="O40" s="148"/>
      <c r="P40" s="148"/>
      <c r="Q40" s="148"/>
      <c r="R40" s="148"/>
      <c r="S40" s="148"/>
    </row>
    <row r="42" spans="1:25" ht="20">
      <c r="E42" s="663" t="s">
        <v>145</v>
      </c>
      <c r="F42" s="663"/>
      <c r="G42" s="663"/>
      <c r="H42" s="663"/>
      <c r="I42" s="663"/>
      <c r="J42" s="663"/>
      <c r="K42" s="663"/>
      <c r="L42" s="663"/>
      <c r="M42" s="663"/>
      <c r="N42" s="663"/>
      <c r="O42" s="663"/>
      <c r="P42" s="663"/>
      <c r="Q42" s="663"/>
      <c r="R42" s="663"/>
      <c r="S42" s="663"/>
      <c r="T42" s="663"/>
      <c r="U42" s="663"/>
      <c r="V42" s="663"/>
      <c r="W42" s="187"/>
      <c r="X42" s="187"/>
    </row>
    <row r="43" spans="1:25" ht="26" customHeight="1">
      <c r="E43" s="634" t="s">
        <v>91</v>
      </c>
      <c r="F43" s="634"/>
      <c r="G43" s="634"/>
      <c r="H43" s="664" t="s">
        <v>92</v>
      </c>
      <c r="I43" s="664"/>
      <c r="J43" s="664"/>
      <c r="K43" s="634" t="s">
        <v>91</v>
      </c>
      <c r="L43" s="634"/>
      <c r="M43" s="634"/>
      <c r="N43" s="664" t="s">
        <v>92</v>
      </c>
      <c r="O43" s="664"/>
      <c r="P43" s="664"/>
      <c r="Q43" s="664"/>
      <c r="R43" s="664"/>
      <c r="S43" s="664"/>
      <c r="T43" s="664"/>
      <c r="U43" s="664"/>
      <c r="V43" s="664"/>
      <c r="W43"/>
      <c r="X43"/>
      <c r="Y43"/>
    </row>
    <row r="44" spans="1:25" ht="16">
      <c r="A44" s="148"/>
      <c r="B44" s="148"/>
      <c r="C44" s="148"/>
      <c r="D44" s="148"/>
      <c r="E44" s="634" t="s">
        <v>94</v>
      </c>
      <c r="F44" s="634"/>
      <c r="G44" s="634"/>
      <c r="H44" s="638" t="s">
        <v>95</v>
      </c>
      <c r="I44" s="638"/>
      <c r="J44" s="638"/>
      <c r="K44" s="634" t="s">
        <v>96</v>
      </c>
      <c r="L44" s="634"/>
      <c r="M44" s="634"/>
      <c r="N44" s="639" t="s">
        <v>97</v>
      </c>
      <c r="O44" s="639"/>
      <c r="P44" s="639"/>
      <c r="Q44" s="640" t="s">
        <v>98</v>
      </c>
      <c r="R44" s="640"/>
      <c r="S44" s="640"/>
      <c r="T44" s="630" t="s">
        <v>99</v>
      </c>
      <c r="U44" s="630"/>
      <c r="V44" s="630"/>
      <c r="W44"/>
      <c r="X44"/>
      <c r="Y44"/>
    </row>
    <row r="45" spans="1:25" ht="26" customHeight="1">
      <c r="A45" s="148"/>
      <c r="B45" s="148"/>
      <c r="C45" s="148"/>
      <c r="D45" s="148"/>
      <c r="E45" s="136" t="s">
        <v>194</v>
      </c>
      <c r="F45" s="136" t="s">
        <v>195</v>
      </c>
      <c r="G45" s="136" t="s">
        <v>196</v>
      </c>
      <c r="H45" s="137" t="s">
        <v>197</v>
      </c>
      <c r="I45" s="137" t="s">
        <v>198</v>
      </c>
      <c r="J45" s="137" t="s">
        <v>199</v>
      </c>
      <c r="K45" s="136" t="s">
        <v>200</v>
      </c>
      <c r="L45" s="136" t="s">
        <v>201</v>
      </c>
      <c r="M45" s="136" t="s">
        <v>202</v>
      </c>
      <c r="N45" s="138" t="s">
        <v>203</v>
      </c>
      <c r="O45" s="138" t="s">
        <v>204</v>
      </c>
      <c r="P45" s="138" t="s">
        <v>205</v>
      </c>
      <c r="Q45" s="139" t="s">
        <v>100</v>
      </c>
      <c r="R45" s="139" t="s">
        <v>101</v>
      </c>
      <c r="S45" s="139" t="s">
        <v>102</v>
      </c>
      <c r="T45" s="140" t="s">
        <v>207</v>
      </c>
      <c r="U45" s="140" t="s">
        <v>206</v>
      </c>
      <c r="V45" s="140" t="s">
        <v>208</v>
      </c>
      <c r="W45"/>
      <c r="X45"/>
      <c r="Y45"/>
    </row>
    <row r="46" spans="1:25" ht="18" customHeight="1">
      <c r="A46" s="148"/>
      <c r="B46" s="148"/>
      <c r="C46" s="148"/>
      <c r="D46" s="148"/>
      <c r="E46" s="136" t="s">
        <v>135</v>
      </c>
      <c r="F46" s="136" t="s">
        <v>136</v>
      </c>
      <c r="G46" s="136" t="s">
        <v>137</v>
      </c>
      <c r="H46" s="137" t="s">
        <v>138</v>
      </c>
      <c r="I46" s="137" t="s">
        <v>139</v>
      </c>
      <c r="J46" s="137" t="s">
        <v>140</v>
      </c>
      <c r="K46" s="136" t="s">
        <v>214</v>
      </c>
      <c r="L46" s="136" t="s">
        <v>215</v>
      </c>
      <c r="M46" s="136" t="s">
        <v>216</v>
      </c>
      <c r="N46" s="138" t="s">
        <v>217</v>
      </c>
      <c r="O46" s="138" t="s">
        <v>218</v>
      </c>
      <c r="P46" s="138" t="s">
        <v>219</v>
      </c>
      <c r="Q46" s="139" t="s">
        <v>220</v>
      </c>
      <c r="R46" s="139" t="s">
        <v>221</v>
      </c>
      <c r="S46" s="139" t="s">
        <v>222</v>
      </c>
      <c r="T46" s="140" t="s">
        <v>223</v>
      </c>
      <c r="U46" s="140" t="s">
        <v>224</v>
      </c>
      <c r="V46" s="140" t="s">
        <v>225</v>
      </c>
      <c r="W46"/>
      <c r="X46"/>
      <c r="Y46"/>
    </row>
    <row r="47" spans="1:25">
      <c r="A47" s="148"/>
      <c r="B47" s="148"/>
      <c r="C47" s="232" t="s">
        <v>256</v>
      </c>
      <c r="D47" s="232"/>
      <c r="E47" s="188">
        <f>J25</f>
        <v>-0.29486073487428677</v>
      </c>
      <c r="F47" s="188">
        <f>J26</f>
        <v>0.45061862703332134</v>
      </c>
      <c r="G47" s="188">
        <f>J27</f>
        <v>0.15000000000000002</v>
      </c>
      <c r="H47" s="189">
        <f>(F47^2 + G47^2)^0.5</f>
        <v>0.47492857044969988</v>
      </c>
      <c r="I47" s="189">
        <f>(E47^2 + G47^2)^0.5</f>
        <v>0.33082148202709638</v>
      </c>
      <c r="J47" s="189">
        <f>(E47^2 + F47^2)^0.5</f>
        <v>0.53851648071345037</v>
      </c>
      <c r="K47" s="188">
        <f>J29</f>
        <v>0.7326718619752417</v>
      </c>
      <c r="L47" s="188">
        <f>J30</f>
        <v>-0.51302236078920804</v>
      </c>
      <c r="M47" s="188">
        <f>J31</f>
        <v>0.44721359549995793</v>
      </c>
      <c r="N47" s="102">
        <f>(F47*M47) - (G47*L47)</f>
        <v>0.27847613051320741</v>
      </c>
      <c r="O47" s="102">
        <f>(G47*K47) - (E47*M47)</f>
        <v>0.24176650871117589</v>
      </c>
      <c r="P47" s="102">
        <f>(E47*L47) - (F47*K47)</f>
        <v>-0.17888543819998318</v>
      </c>
      <c r="Q47" s="103">
        <f>(N47^2 + O47^2 + P47^2)^0.5</f>
        <v>0.40987803063838396</v>
      </c>
      <c r="R47" s="103">
        <f>Q47^2</f>
        <v>0.16800000000000001</v>
      </c>
      <c r="S47" s="103">
        <f>Q47^3</f>
        <v>6.8859509147248504E-2</v>
      </c>
      <c r="T47" s="102">
        <f>K47*H47</f>
        <v>0.34796680001662139</v>
      </c>
      <c r="U47" s="102">
        <f>L47*I47</f>
        <v>-0.16971881770932554</v>
      </c>
      <c r="V47" s="102">
        <f>M47*J47</f>
        <v>0.24083189157584589</v>
      </c>
      <c r="W47"/>
      <c r="X47"/>
      <c r="Y47"/>
    </row>
    <row r="48" spans="1:25">
      <c r="A48" s="148"/>
      <c r="B48" s="148"/>
      <c r="C48" s="148"/>
      <c r="D48" s="148"/>
      <c r="E48" s="104"/>
      <c r="F48" s="104"/>
      <c r="G48" s="104"/>
      <c r="K48" s="104"/>
      <c r="L48" s="104"/>
      <c r="M48" s="104"/>
      <c r="W48"/>
      <c r="X48"/>
      <c r="Y48"/>
    </row>
    <row r="49" spans="1:25">
      <c r="A49" s="148"/>
      <c r="B49" s="148"/>
      <c r="C49" s="148"/>
      <c r="D49" s="148"/>
      <c r="E49" s="670" t="s">
        <v>133</v>
      </c>
      <c r="F49" s="670"/>
      <c r="G49" s="670"/>
      <c r="H49" s="670"/>
      <c r="I49" s="670"/>
      <c r="J49" s="670"/>
      <c r="K49" s="670"/>
      <c r="L49" s="670"/>
      <c r="M49" s="670"/>
      <c r="N49" s="670"/>
      <c r="O49" s="670"/>
      <c r="P49" s="670"/>
      <c r="Q49" s="670"/>
      <c r="R49" s="670"/>
      <c r="S49" s="670"/>
      <c r="T49" s="670"/>
      <c r="U49" s="670"/>
      <c r="V49" s="670"/>
      <c r="W49"/>
      <c r="X49"/>
      <c r="Y49"/>
    </row>
    <row r="50" spans="1:25">
      <c r="A50" s="148"/>
      <c r="B50" s="148"/>
      <c r="C50" s="148"/>
      <c r="D50" s="148"/>
      <c r="E50" s="670" t="s">
        <v>141</v>
      </c>
      <c r="F50" s="670"/>
      <c r="G50" s="670"/>
      <c r="H50" s="670"/>
      <c r="I50" s="670"/>
      <c r="J50" s="670"/>
      <c r="K50" s="670"/>
      <c r="L50" s="670"/>
      <c r="M50" s="670"/>
      <c r="N50" s="670"/>
      <c r="O50" s="670"/>
      <c r="P50" s="670"/>
      <c r="Q50" s="670"/>
      <c r="R50" s="670"/>
      <c r="S50" s="670"/>
      <c r="T50" s="670"/>
      <c r="U50" s="670"/>
      <c r="V50" s="670"/>
      <c r="W50"/>
      <c r="X50"/>
      <c r="Y50"/>
    </row>
    <row r="51" spans="1:25">
      <c r="A51" s="148"/>
      <c r="B51" s="148"/>
      <c r="C51" s="148"/>
      <c r="D51" s="232" t="s">
        <v>255</v>
      </c>
      <c r="E51" s="190">
        <f t="shared" ref="E51:V51" si="0">E$7 * (E47 - E$6) - 1</f>
        <v>-0.73145155099893089</v>
      </c>
      <c r="F51" s="190">
        <f t="shared" si="0"/>
        <v>0.72729403524906888</v>
      </c>
      <c r="G51" s="190">
        <f t="shared" si="0"/>
        <v>9.3424254258172024E-3</v>
      </c>
      <c r="H51" s="190">
        <f t="shared" si="0"/>
        <v>0.80645426252608199</v>
      </c>
      <c r="I51" s="190">
        <f t="shared" si="0"/>
        <v>0.23101606888412363</v>
      </c>
      <c r="J51" s="190">
        <f t="shared" si="0"/>
        <v>0.91155115386214103</v>
      </c>
      <c r="K51" s="190">
        <f t="shared" si="0"/>
        <v>0.7326718619752417</v>
      </c>
      <c r="L51" s="190">
        <f t="shared" si="0"/>
        <v>-0.51302236078920804</v>
      </c>
      <c r="M51" s="190">
        <f t="shared" si="0"/>
        <v>0.44721359549995787</v>
      </c>
      <c r="N51" s="190">
        <f t="shared" si="0"/>
        <v>0.57909094460179578</v>
      </c>
      <c r="O51" s="190">
        <f t="shared" si="0"/>
        <v>0.51189917974853172</v>
      </c>
      <c r="P51" s="190">
        <f t="shared" si="0"/>
        <v>-0.36004529300002897</v>
      </c>
      <c r="Q51" s="190">
        <f t="shared" si="0"/>
        <v>0.53132786410954669</v>
      </c>
      <c r="R51" s="190">
        <f t="shared" si="0"/>
        <v>0.17248251369915013</v>
      </c>
      <c r="S51" s="190">
        <f t="shared" si="0"/>
        <v>-0.10227242829564576</v>
      </c>
      <c r="T51" s="190">
        <f t="shared" si="0"/>
        <v>0.73721779664538389</v>
      </c>
      <c r="U51" s="190">
        <f t="shared" si="0"/>
        <v>-0.33367837291372926</v>
      </c>
      <c r="V51" s="190">
        <f t="shared" si="0"/>
        <v>0.44852572436563554</v>
      </c>
    </row>
    <row r="53" spans="1:25" ht="26" customHeight="1">
      <c r="E53" s="671" t="s">
        <v>131</v>
      </c>
      <c r="F53" s="672"/>
      <c r="G53" s="672"/>
      <c r="H53" s="672"/>
      <c r="I53" s="672"/>
      <c r="J53" s="672"/>
      <c r="K53" s="672"/>
      <c r="L53" s="672"/>
      <c r="M53" s="672"/>
      <c r="N53" s="672"/>
      <c r="O53" s="672"/>
      <c r="P53" s="672"/>
      <c r="Q53" s="673"/>
      <c r="R53" s="674" t="s">
        <v>132</v>
      </c>
      <c r="T53" s="681" t="s">
        <v>176</v>
      </c>
    </row>
    <row r="54" spans="1:25" ht="15" customHeight="1">
      <c r="E54" s="675" t="s">
        <v>134</v>
      </c>
      <c r="F54" s="676"/>
      <c r="G54" s="676"/>
      <c r="H54" s="676"/>
      <c r="I54" s="676"/>
      <c r="J54" s="676"/>
      <c r="K54" s="676"/>
      <c r="L54" s="676"/>
      <c r="M54" s="676"/>
      <c r="N54" s="676"/>
      <c r="O54" s="676"/>
      <c r="P54" s="676"/>
      <c r="Q54" s="677"/>
      <c r="R54" s="674"/>
      <c r="T54" s="682"/>
      <c r="U54" s="213" t="s">
        <v>193</v>
      </c>
      <c r="V54" s="213" t="s">
        <v>192</v>
      </c>
    </row>
    <row r="55" spans="1:25" ht="32">
      <c r="E55" s="191" t="s">
        <v>111</v>
      </c>
      <c r="F55" s="191" t="s">
        <v>112</v>
      </c>
      <c r="G55" s="191" t="s">
        <v>113</v>
      </c>
      <c r="H55" s="191" t="s">
        <v>114</v>
      </c>
      <c r="I55" s="191" t="s">
        <v>115</v>
      </c>
      <c r="J55" s="191" t="s">
        <v>116</v>
      </c>
      <c r="K55" s="191" t="s">
        <v>117</v>
      </c>
      <c r="L55" s="191" t="s">
        <v>118</v>
      </c>
      <c r="M55" s="191" t="s">
        <v>119</v>
      </c>
      <c r="N55" s="191" t="s">
        <v>120</v>
      </c>
      <c r="O55" s="191" t="s">
        <v>121</v>
      </c>
      <c r="P55" s="191" t="s">
        <v>122</v>
      </c>
      <c r="Q55" s="191" t="s">
        <v>175</v>
      </c>
      <c r="R55" s="105" t="s">
        <v>189</v>
      </c>
      <c r="T55" s="106">
        <f>(R56 + 1) / E$38 + E$39</f>
        <v>102.17631456793282</v>
      </c>
      <c r="U55" s="227">
        <f>'Min&amp;Max'!O5</f>
        <v>49.870981818063797</v>
      </c>
      <c r="V55" s="227">
        <f>'Min&amp;Max'!P5</f>
        <v>223.20260944180501</v>
      </c>
      <c r="W55" s="192"/>
    </row>
    <row r="56" spans="1:25">
      <c r="D56" s="199" t="s">
        <v>107</v>
      </c>
      <c r="E56" s="233">
        <f>TANH(E51*E$10 + F51*F$10 + G51*G$10 + H51*H$10 + I51*I$10 + J51*J$10 + K51*K$10 + L51*L$10 + M51*M$10 + N51*N$10 + O51*O$10 + P51*P$10 + Q51*Q$10 + R51*R$10 + S51*S$10 + T51*T$10 + U51*U$10 + V51*V$10 + D$10)</f>
        <v>0.87646008838160283</v>
      </c>
      <c r="F56" s="233">
        <f>TANH(E51*E$11 + F51*F$11 + G51*G$11 + H51*H$11 + I51*I$11 + J51*J$11 + K51*K$11 + L51*L$11 + M51*M$11 + N51*N$11 + O51*O$11 + P51*P$11 + Q51*Q$11 + R51*R$11 + S51*S$11 + T51*T$11 + U51*U$11 + V51*V$11 + D$11)</f>
        <v>0.83550270447488584</v>
      </c>
      <c r="G56" s="233">
        <f>TANH(E51*E$12 + F51*F$12 + G51*G$12 + H51*H$12 + I51*I$12 + J51*J$12 + K51*K$12 + L51*L$12 + M51*M$12 + N51*N$12 + O51*O$12 + P51*P$12 + Q51*Q$12 + R51*R$12 + S51*S$12 + T51*T$12 + U51*U$12 + V51*V$12 + D$12)</f>
        <v>-0.15319390478110009</v>
      </c>
      <c r="H56" s="233">
        <f>TANH(E51*E$13 + F51*F$13 + G51*G$13 + H51*H$13 + I51*I$13 + J51*J$13 + K51*K$13 + L51*L$13 + M51*M$13 + N51*N$13 + O51*O$13 + P51*P$13 + Q51*Q$13 + R51*R$13 + S51*S$13 + T51*T$13 + U51*U$13 + V51*V$13 + D$13)</f>
        <v>-0.21549133115758146</v>
      </c>
      <c r="I56" s="233">
        <f>TANH(E51*E$14 + F51*F$14 + G51*G$14 + H51*H$14 + I51*I$14 + J51*J$14 + K51*K$14 + L51*L$14 + M51*M$14 + N51*N$14 + O51*O$14 + P51*P$14 + Q51*Q$14 + R51*R$14 + S51*S$14 + T51*T$14 + U51*U$14 + V51*V$14 + D$14)</f>
        <v>0.58997202449065</v>
      </c>
      <c r="J56" s="233">
        <f>TANH(E51*E$15 + F51*F$15 + G51*G$15 + H51*H$15 +  I51*I$15 + J51*J$15 + K51*K$15 + L51*L$15 + M51*M$15 + N51*N$15 + O51*O$15 + P51*P$15 + Q51*Q$15 + R51*R$15 + S51*S$15 + T51*T$15 + U51*U$15 + V51*V$15 + D$15)</f>
        <v>0.97244476316942219</v>
      </c>
      <c r="K56" s="233">
        <f>TANH(E51*E$16 + F51*F$16 + G51*G$16 + H51*H$16 + I51*I$16 + J51*J$16 + K51*K$16 + L51*L$16 + M51*M$16 + N51*N$16 + O51*O$16 + P51*P$16 + Q51*Q$16 + R51*R$16 + S51*S$16 + T51*T$16 + U51*U$16 + V51*V$16 + D$16)</f>
        <v>0.81192343961565572</v>
      </c>
      <c r="L56" s="233">
        <f>TANH(E51*E$17 + F51*F$17 + G51*G$17 + H51*H$17 + I51*I$17 + J51*J$17 + K51*K$17 + L51*L$17 + M51*M$17 + N51*N$17 + O51*O$17 + P51*P$17 + Q51*Q$17 + R51*R$17 + S51*S$17 + T51*T$17 + U51*U$17 + V51*V$17 + D$17)</f>
        <v>-0.29808791444323268</v>
      </c>
      <c r="M56" s="233">
        <f>TANH(E51*E$18 + F51*F$18 + G51*G$18 + H51*H$18 + I51*I$18 + J51*J$18 + K51*K$18 + L51*L$18 + M51*M$18 + N51*N$18 + O51*O$18 + P51*P$18 + Q51*Q$18 + R51*R$18 + S51*S$18 + T51*T$18 + U51*U$18 + V51*V$18 + D$18)</f>
        <v>-0.88890749835473692</v>
      </c>
      <c r="N56" s="233">
        <f>TANH(E51*E$19 + F51*F$19 + G51*G$19 + H51*H$19 + I51*I$19 + J51*J$19 + K51*K$19 + L51*L$19 + M51*M$19 + N51*N$19 + O51*O$19 + P51*P$19 + Q51*Q$19 + R51*R$19 + S51*S$19 + T51*T$19 + U51*U$19 + V51*V$19 + D$19)</f>
        <v>-1.6039755941594815E-2</v>
      </c>
      <c r="O56" s="233">
        <f>TANH(E51*E$20 + F51*F$20 + G51*G$20 + H51*H$20 + I51*I$20 + J51*J$20 + K51*K$20 + L51*L$20 + M51*M$20 + N51*N$20 + O51*O$20 + P51*P$20 + Q51*Q$20 + R51*R$20 + S51*S$20 + T51*T$20 + U51*U$20 + V51*V$20 + D$20)</f>
        <v>-0.25896959215851029</v>
      </c>
      <c r="P56" s="233">
        <f>TANH(E51*E$21 + F51*F$21 + G51*G$21 + H51*H$21 + I51*I$21 + J51*J$21 + K51*K$21 + L51*L$21 + M51*M$21 + N51*N$21 + O51*O$21 + P51*P$21 + Q51*Q$21 + R51*R$21 + S51*S$21 + T51*T$21 + U51*U$21 + V51*V$21 + D$21)</f>
        <v>0.44954922343075304</v>
      </c>
      <c r="Q56" s="233">
        <f>TANH(E51*E$22 + F51*F$22 + G51*G$22 + H51*H$22 + I51*I$22 + J51*J$22 + K51*K$22 + L51*L$22 + M51*M$22 + N51*N$22 + O51*O$22 + P51*P$22 + Q51*Q$22 + R51*R$22 + S51*S$22 + T51*T$22 + U51*U$22 + V51*V$22 + D$22)</f>
        <v>0.66851586670457508</v>
      </c>
      <c r="R56" s="107">
        <f>E56*E$24 + F56*E$25 + G56*E$26 + H56*E$27 + I56*E$28 + J56*E$29 + K56*E$30 + L56*E$31 + M56*E$32 + N56*E$33 + O56*E$34 + P56*E$35 +Q56*E$36 + D$24</f>
        <v>-0.35257078004599957</v>
      </c>
      <c r="T56" s="2"/>
      <c r="U56" s="2"/>
      <c r="V56" s="2"/>
      <c r="W56" s="2"/>
    </row>
    <row r="57" spans="1:25">
      <c r="T57" s="230" t="s">
        <v>253</v>
      </c>
      <c r="U57" s="265" t="s">
        <v>339</v>
      </c>
      <c r="W57" s="263" t="s">
        <v>281</v>
      </c>
      <c r="X57" s="265" t="s">
        <v>339</v>
      </c>
    </row>
    <row r="58" spans="1:25" ht="18">
      <c r="J58" s="2"/>
      <c r="K58" s="2"/>
      <c r="L58" s="2"/>
      <c r="M58" s="2"/>
      <c r="N58" s="2"/>
      <c r="O58" s="2"/>
      <c r="P58" s="2"/>
      <c r="Q58" s="2"/>
      <c r="T58" s="229">
        <f>IF(T55&lt;U55,U55,IF(T55&gt;V55,V55,T55))</f>
        <v>102.17631456793282</v>
      </c>
      <c r="U58" s="266">
        <f>T58*'Input Data'!D33/100</f>
        <v>0.63951492751786532</v>
      </c>
      <c r="W58" s="229">
        <f>T58*1.66</f>
        <v>169.61268218276848</v>
      </c>
      <c r="X58" s="266">
        <f>U58*1.66</f>
        <v>1.0615947796796563</v>
      </c>
    </row>
    <row r="59" spans="1:25" ht="16">
      <c r="E59" s="180"/>
      <c r="F59" s="180"/>
      <c r="G59" s="180"/>
      <c r="H59" s="180"/>
      <c r="I59" s="180"/>
      <c r="J59" s="2"/>
      <c r="K59" s="2"/>
      <c r="L59" s="2"/>
      <c r="M59" s="2"/>
      <c r="N59" s="3" t="s">
        <v>57</v>
      </c>
      <c r="O59" s="3" t="s">
        <v>212</v>
      </c>
      <c r="P59" s="3" t="s">
        <v>213</v>
      </c>
      <c r="Q59" s="2"/>
      <c r="R59" s="180"/>
      <c r="S59" s="180"/>
    </row>
    <row r="60" spans="1:25" ht="16">
      <c r="E60" s="180"/>
      <c r="F60" s="180"/>
      <c r="G60" s="180"/>
      <c r="H60" s="180"/>
      <c r="I60" s="180"/>
      <c r="J60" s="678" t="s">
        <v>58</v>
      </c>
      <c r="K60" s="679"/>
      <c r="L60" s="679"/>
      <c r="M60" s="680"/>
      <c r="N60" s="117">
        <f>'Lft - Gravity correction'!B47</f>
        <v>-0.9212003561620874</v>
      </c>
      <c r="O60" s="117">
        <f>'Lft - Gravity correction'!C47</f>
        <v>-3.1574921501335615</v>
      </c>
      <c r="P60" s="117">
        <f>'Lft - Gravity correction'!D47</f>
        <v>-3.4394027735453814</v>
      </c>
      <c r="Q60" s="52">
        <f>(N60^2+O60^2+P60^2)^0.5</f>
        <v>4.7589765930313082</v>
      </c>
      <c r="R60" s="180"/>
      <c r="S60" s="53" t="s">
        <v>151</v>
      </c>
      <c r="T60" s="194">
        <f>(100 - 'Input Data'!D3)/100</f>
        <v>0.25</v>
      </c>
      <c r="V60" s="2"/>
      <c r="W60" s="308">
        <f>T60</f>
        <v>0.25</v>
      </c>
    </row>
    <row r="61" spans="1:25" ht="16">
      <c r="E61" s="180"/>
      <c r="F61" s="180"/>
      <c r="G61" s="180"/>
      <c r="H61" s="180"/>
      <c r="I61" s="180"/>
      <c r="J61" s="667" t="s">
        <v>154</v>
      </c>
      <c r="K61" s="668"/>
      <c r="L61" s="668"/>
      <c r="M61" s="669"/>
      <c r="N61" s="121">
        <f>L47</f>
        <v>-0.51302236078920804</v>
      </c>
      <c r="O61" s="121">
        <f>K47</f>
        <v>0.7326718619752417</v>
      </c>
      <c r="P61" s="121">
        <f>M47</f>
        <v>0.44721359549995793</v>
      </c>
      <c r="Q61" s="50">
        <f>N60*N61+O60*O61+P60*P61</f>
        <v>-3.3789569520621905</v>
      </c>
      <c r="R61" s="180"/>
      <c r="S61" s="53" t="s">
        <v>152</v>
      </c>
      <c r="T61" s="118">
        <v>0.27600000000000002</v>
      </c>
      <c r="V61" s="2"/>
      <c r="W61" s="2"/>
      <c r="X61" s="2"/>
    </row>
    <row r="62" spans="1:25">
      <c r="S62" s="53" t="s">
        <v>153</v>
      </c>
      <c r="T62" s="116">
        <f>T58*T61</f>
        <v>28.200662820749461</v>
      </c>
      <c r="U62" s="266">
        <f>T61*U58</f>
        <v>0.17650611999493085</v>
      </c>
      <c r="V62" s="2"/>
      <c r="W62" s="116">
        <f>T62*1.66</f>
        <v>46.813100282444104</v>
      </c>
      <c r="X62" s="267">
        <f>U62*1.66</f>
        <v>0.29300015919158517</v>
      </c>
    </row>
    <row r="63" spans="1:25">
      <c r="T63" s="2"/>
      <c r="U63" s="2"/>
      <c r="V63" s="2"/>
      <c r="W63" s="2"/>
    </row>
    <row r="64" spans="1:25" ht="18">
      <c r="L64" s="465"/>
      <c r="M64" s="466" t="s">
        <v>452</v>
      </c>
      <c r="N64" s="464">
        <f>(N47^2+O47^2+P47^2)^0.5</f>
        <v>0.40987803063838396</v>
      </c>
      <c r="R64" s="665" t="s">
        <v>347</v>
      </c>
      <c r="S64" s="666"/>
      <c r="T64" s="106">
        <f>_xlfn.NORM.INV(T60,T58,T62)</f>
        <v>83.155256546601578</v>
      </c>
      <c r="V64" s="2"/>
      <c r="W64" s="106">
        <f>_xlfn.NORM.INV(W60,W58,W62)</f>
        <v>138.03772586735863</v>
      </c>
    </row>
    <row r="65" spans="13:26">
      <c r="T65" s="2"/>
      <c r="U65" s="2"/>
      <c r="V65" s="2"/>
      <c r="W65" s="2"/>
    </row>
    <row r="66" spans="13:26" ht="18">
      <c r="M66" s="463" t="s">
        <v>453</v>
      </c>
      <c r="N66" s="467">
        <f>'Input Data'!D25*N64</f>
        <v>20.493901531919199</v>
      </c>
      <c r="T66" s="119">
        <f>T64+Q61</f>
        <v>79.776299594539381</v>
      </c>
      <c r="U66" s="120">
        <f>T60</f>
        <v>0.25</v>
      </c>
      <c r="V66" s="195" t="s">
        <v>188</v>
      </c>
      <c r="W66" s="119">
        <f>W64+Q61</f>
        <v>134.65876891529643</v>
      </c>
      <c r="X66" s="134">
        <f>W66/T66</f>
        <v>1.687954562942823</v>
      </c>
    </row>
    <row r="68" spans="13:26" ht="18">
      <c r="T68" s="200">
        <f>'Input Data'!D25</f>
        <v>50</v>
      </c>
      <c r="U68" s="201" t="s">
        <v>178</v>
      </c>
      <c r="W68" s="200">
        <f>T68</f>
        <v>50</v>
      </c>
    </row>
    <row r="69" spans="13:26">
      <c r="T69" s="202">
        <f>T68-Q61</f>
        <v>53.37895695206219</v>
      </c>
      <c r="U69" s="203" t="s">
        <v>190</v>
      </c>
      <c r="W69" s="202">
        <f>T69</f>
        <v>53.37895695206219</v>
      </c>
      <c r="X69"/>
      <c r="Y69"/>
      <c r="Z69"/>
    </row>
    <row r="71" spans="13:26" ht="18">
      <c r="Q71" s="199" t="s">
        <v>338</v>
      </c>
      <c r="S71" s="204" t="s">
        <v>365</v>
      </c>
      <c r="T71" s="268">
        <f>1-_xlfn.NORM.DIST(T69,T58,T62, 1)</f>
        <v>0.95821719794009064</v>
      </c>
      <c r="U71" s="269">
        <f>1-_xlfn.NORM.DIST(T69,U58,U62, 1)</f>
        <v>0</v>
      </c>
      <c r="V71" s="270"/>
      <c r="W71" s="268">
        <f>1-_xlfn.NORM.DIST(W69,W58,W62, 1)</f>
        <v>0.99348469440967335</v>
      </c>
      <c r="X71" s="269">
        <f>1-_xlfn.NORM.DIST(W69,X58,X62, 1)</f>
        <v>0</v>
      </c>
    </row>
    <row r="74" spans="13:26" ht="18">
      <c r="Q74" s="199" t="s">
        <v>366</v>
      </c>
      <c r="S74" s="276" t="s">
        <v>344</v>
      </c>
      <c r="T74" s="300">
        <f>'Input Data'!D33</f>
        <v>0.62589351575474783</v>
      </c>
      <c r="U74" s="301"/>
      <c r="V74" s="301"/>
      <c r="W74" s="302">
        <f>T74</f>
        <v>0.62589351575474783</v>
      </c>
    </row>
    <row r="75" spans="13:26" ht="18">
      <c r="S75" s="276" t="s">
        <v>345</v>
      </c>
      <c r="T75" s="303">
        <f>T58*T74</f>
        <v>63.951492751786532</v>
      </c>
      <c r="U75" s="304"/>
      <c r="V75" s="304"/>
      <c r="W75" s="303">
        <f>W58*W74</f>
        <v>106.15947796796564</v>
      </c>
    </row>
    <row r="76" spans="13:26" ht="18">
      <c r="S76" s="276" t="s">
        <v>284</v>
      </c>
      <c r="T76" s="303">
        <f>T75*T61</f>
        <v>17.650611999493083</v>
      </c>
      <c r="U76" s="304"/>
      <c r="V76" s="304"/>
      <c r="W76" s="303">
        <f>W75*T61</f>
        <v>29.300015919158518</v>
      </c>
    </row>
    <row r="77" spans="13:26" ht="18">
      <c r="S77" s="299" t="s">
        <v>346</v>
      </c>
      <c r="T77" s="305">
        <f>T64*T74+Q61</f>
        <v>48.66737892137828</v>
      </c>
      <c r="U77" s="336"/>
      <c r="V77" s="304"/>
      <c r="W77" s="305">
        <f>W64*W74+Q61</f>
        <v>83.017960597848997</v>
      </c>
      <c r="X77" s="336"/>
    </row>
    <row r="78" spans="13:26" ht="18">
      <c r="S78" s="204" t="s">
        <v>191</v>
      </c>
      <c r="T78" s="268">
        <f>1-_xlfn.NORM.DIST(T69,T75,T76, 1)</f>
        <v>0.72541014257518921</v>
      </c>
      <c r="U78" s="306"/>
      <c r="V78" s="306"/>
      <c r="W78" s="268">
        <f>1-_xlfn.NORM.DIST(W69,W75,W76, 1)</f>
        <v>0.96417865367331324</v>
      </c>
    </row>
    <row r="80" spans="13:26" ht="18">
      <c r="R80" s="337"/>
      <c r="S80" s="337"/>
      <c r="T80" s="337"/>
      <c r="U80" s="337"/>
      <c r="V80" s="337"/>
      <c r="W80" s="337"/>
    </row>
    <row r="81" spans="18:23" ht="18">
      <c r="R81" s="337"/>
      <c r="S81" s="337"/>
      <c r="T81" s="343">
        <f>('Input Data'!D25 - 'Lft - ANN 13 nodes'!Q61)/'Lft - ANN 13 nodes'!T64</f>
        <v>0.64191921435715538</v>
      </c>
      <c r="U81" s="338"/>
      <c r="V81" s="337"/>
      <c r="W81" s="343">
        <f>('Input Data'!D25 - 'Lft - ANN 13 nodes'!Q61) / 'Lft - ANN 13 nodes'!W64</f>
        <v>0.38669832190190084</v>
      </c>
    </row>
    <row r="82" spans="18:23" ht="18">
      <c r="R82" s="337"/>
      <c r="S82" s="347">
        <v>0</v>
      </c>
      <c r="T82" s="343">
        <f>IF(T81&lt;S82,0,T81)</f>
        <v>0.64191921435715538</v>
      </c>
      <c r="U82" s="337"/>
      <c r="V82" s="337"/>
      <c r="W82" s="343">
        <f>IF(W81&lt;S82,0,W81)</f>
        <v>0.38669832190190084</v>
      </c>
    </row>
    <row r="83" spans="18:23" ht="18">
      <c r="R83" s="337"/>
      <c r="S83" s="347">
        <v>1</v>
      </c>
      <c r="T83" s="344">
        <f>IF(T82&gt;S83,1,T82)</f>
        <v>0.64191921435715538</v>
      </c>
      <c r="U83" s="339"/>
      <c r="V83" s="339"/>
      <c r="W83" s="344">
        <f>IF(W82&gt;S83,1,W82)</f>
        <v>0.38669832190190084</v>
      </c>
    </row>
    <row r="84" spans="18:23" ht="18">
      <c r="R84" s="337"/>
      <c r="S84" s="345" t="s">
        <v>282</v>
      </c>
      <c r="T84" s="346">
        <f>IF('Input Data'!D4="Female",'Lft - ANN 13 nodes'!T82,'Lft - ANN 13 nodes'!W82)</f>
        <v>0.64191921435715538</v>
      </c>
      <c r="U84" s="337"/>
      <c r="V84" s="337"/>
      <c r="W84" s="337"/>
    </row>
    <row r="85" spans="18:23" ht="18">
      <c r="R85" s="337"/>
      <c r="S85" s="337"/>
      <c r="T85" s="337"/>
      <c r="U85" s="337"/>
      <c r="V85" s="337"/>
      <c r="W85" s="337"/>
    </row>
    <row r="86" spans="18:23" ht="18">
      <c r="R86" s="337"/>
      <c r="S86" s="337"/>
      <c r="T86" s="337"/>
      <c r="U86" s="337"/>
      <c r="V86" s="337"/>
      <c r="W86" s="337"/>
    </row>
    <row r="87" spans="18:23" ht="18">
      <c r="R87" s="337"/>
      <c r="S87" s="340" t="s">
        <v>363</v>
      </c>
      <c r="T87" s="341">
        <f>T64*T74</f>
        <v>52.046335873440469</v>
      </c>
      <c r="U87" s="337"/>
      <c r="V87" s="337"/>
      <c r="W87" s="337"/>
    </row>
    <row r="88" spans="18:23" ht="18">
      <c r="R88" s="337"/>
      <c r="S88" s="337"/>
      <c r="T88" s="337"/>
      <c r="U88" s="337"/>
      <c r="V88" s="337"/>
      <c r="W88" s="337"/>
    </row>
    <row r="89" spans="18:23" ht="18">
      <c r="R89" s="276"/>
      <c r="S89" s="340" t="s">
        <v>364</v>
      </c>
      <c r="T89" s="342">
        <f>(T68-Q61)/T87</f>
        <v>1.0256045129067723</v>
      </c>
      <c r="U89" s="337"/>
      <c r="V89" s="337"/>
      <c r="W89" s="337"/>
    </row>
    <row r="92" spans="18:23">
      <c r="T92" s="521">
        <f>T69/T64</f>
        <v>0.64191921435715538</v>
      </c>
    </row>
  </sheetData>
  <sheetProtection selectLockedCells="1" selectUnlockedCells="1"/>
  <mergeCells count="41">
    <mergeCell ref="R64:S64"/>
    <mergeCell ref="J61:M61"/>
    <mergeCell ref="E49:V49"/>
    <mergeCell ref="E50:V50"/>
    <mergeCell ref="E53:Q53"/>
    <mergeCell ref="R53:R54"/>
    <mergeCell ref="E54:Q54"/>
    <mergeCell ref="J60:M60"/>
    <mergeCell ref="T53:T54"/>
    <mergeCell ref="T44:V44"/>
    <mergeCell ref="A37:A39"/>
    <mergeCell ref="E42:V42"/>
    <mergeCell ref="E43:G43"/>
    <mergeCell ref="H43:J43"/>
    <mergeCell ref="K43:M43"/>
    <mergeCell ref="N43:V43"/>
    <mergeCell ref="E44:G44"/>
    <mergeCell ref="H44:J44"/>
    <mergeCell ref="K44:M44"/>
    <mergeCell ref="N44:P44"/>
    <mergeCell ref="Q44:S44"/>
    <mergeCell ref="A6:A8"/>
    <mergeCell ref="A9:A22"/>
    <mergeCell ref="E9:V9"/>
    <mergeCell ref="B10:B22"/>
    <mergeCell ref="A23:A36"/>
    <mergeCell ref="B24:B36"/>
    <mergeCell ref="H25:H27"/>
    <mergeCell ref="H29:H31"/>
    <mergeCell ref="T4:V4"/>
    <mergeCell ref="A1:V1"/>
    <mergeCell ref="E2:V2"/>
    <mergeCell ref="E3:G3"/>
    <mergeCell ref="H3:J3"/>
    <mergeCell ref="K3:M3"/>
    <mergeCell ref="N3:V3"/>
    <mergeCell ref="E4:G4"/>
    <mergeCell ref="H4:J4"/>
    <mergeCell ref="K4:M4"/>
    <mergeCell ref="N4:P4"/>
    <mergeCell ref="Q4:S4"/>
  </mergeCells>
  <conditionalFormatting sqref="H47:J47">
    <cfRule type="cellIs" dxfId="13" priority="1" operator="equal">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432FF"/>
  </sheetPr>
  <dimension ref="A1:AO89"/>
  <sheetViews>
    <sheetView showGridLines="0" topLeftCell="A31" workbookViewId="0">
      <selection activeCell="S84" sqref="S84"/>
    </sheetView>
  </sheetViews>
  <sheetFormatPr baseColWidth="10" defaultColWidth="10.6640625" defaultRowHeight="14"/>
  <cols>
    <col min="1" max="1" width="10.6640625" style="134"/>
    <col min="2" max="2" width="13" style="134" bestFit="1" customWidth="1"/>
    <col min="3" max="4" width="10.6640625" style="134"/>
    <col min="5" max="17" width="10.1640625" style="134" customWidth="1"/>
    <col min="18" max="18" width="15.1640625" style="134" bestFit="1" customWidth="1"/>
    <col min="19" max="19" width="10.1640625" style="134" customWidth="1"/>
    <col min="20" max="20" width="14.83203125" style="134" customWidth="1"/>
    <col min="21" max="22" width="12.5" style="134" customWidth="1"/>
    <col min="23" max="24" width="12.6640625" style="134" customWidth="1"/>
    <col min="25" max="36" width="5.5" style="134" customWidth="1"/>
    <col min="37" max="37" width="15.33203125" style="134" customWidth="1"/>
    <col min="38" max="16384" width="10.6640625" style="134"/>
  </cols>
  <sheetData>
    <row r="1" spans="1:41" ht="23">
      <c r="A1" s="685" t="s">
        <v>157</v>
      </c>
      <c r="B1" s="686"/>
      <c r="C1" s="686"/>
      <c r="D1" s="686"/>
      <c r="E1" s="686"/>
      <c r="F1" s="686"/>
      <c r="G1" s="686"/>
      <c r="H1" s="686"/>
      <c r="I1" s="686"/>
      <c r="J1" s="686"/>
      <c r="K1" s="686"/>
      <c r="L1" s="686"/>
      <c r="M1" s="686"/>
      <c r="N1" s="686"/>
      <c r="O1" s="686"/>
      <c r="P1" s="686"/>
      <c r="Q1" s="686"/>
      <c r="R1" s="686"/>
      <c r="S1" s="686"/>
      <c r="T1" s="686"/>
      <c r="U1" s="686"/>
      <c r="V1" s="687"/>
    </row>
    <row r="2" spans="1:41" ht="29" customHeight="1">
      <c r="E2" s="633" t="s">
        <v>173</v>
      </c>
      <c r="F2" s="633"/>
      <c r="G2" s="633"/>
      <c r="H2" s="633"/>
      <c r="I2" s="633"/>
      <c r="J2" s="633"/>
      <c r="K2" s="633"/>
      <c r="L2" s="633"/>
      <c r="M2" s="633"/>
      <c r="N2" s="633"/>
      <c r="O2" s="633"/>
      <c r="P2" s="633"/>
      <c r="Q2" s="633"/>
      <c r="R2" s="633"/>
      <c r="S2" s="633"/>
      <c r="T2" s="633"/>
      <c r="U2" s="633"/>
      <c r="V2" s="633"/>
    </row>
    <row r="3" spans="1:41" ht="18">
      <c r="A3" s="95" t="s">
        <v>90</v>
      </c>
      <c r="B3" s="96"/>
      <c r="C3" s="97" t="s">
        <v>174</v>
      </c>
      <c r="D3" s="96"/>
      <c r="E3" s="634" t="s">
        <v>91</v>
      </c>
      <c r="F3" s="634"/>
      <c r="G3" s="634"/>
      <c r="H3" s="635" t="s">
        <v>92</v>
      </c>
      <c r="I3" s="636"/>
      <c r="J3" s="637"/>
      <c r="K3" s="634" t="s">
        <v>91</v>
      </c>
      <c r="L3" s="634"/>
      <c r="M3" s="634"/>
      <c r="N3" s="635" t="s">
        <v>92</v>
      </c>
      <c r="O3" s="636"/>
      <c r="P3" s="636"/>
      <c r="Q3" s="636"/>
      <c r="R3" s="636"/>
      <c r="S3" s="636"/>
      <c r="T3" s="636"/>
      <c r="U3" s="636"/>
      <c r="V3" s="637"/>
      <c r="W3" s="135"/>
      <c r="X3" s="135"/>
    </row>
    <row r="4" spans="1:41" ht="16">
      <c r="A4" s="96"/>
      <c r="C4" s="97" t="s">
        <v>93</v>
      </c>
      <c r="D4" s="96"/>
      <c r="E4" s="634" t="s">
        <v>94</v>
      </c>
      <c r="F4" s="634"/>
      <c r="G4" s="634"/>
      <c r="H4" s="638" t="s">
        <v>95</v>
      </c>
      <c r="I4" s="638"/>
      <c r="J4" s="638"/>
      <c r="K4" s="634" t="s">
        <v>96</v>
      </c>
      <c r="L4" s="634"/>
      <c r="M4" s="634"/>
      <c r="N4" s="639" t="s">
        <v>97</v>
      </c>
      <c r="O4" s="639"/>
      <c r="P4" s="639"/>
      <c r="Q4" s="640" t="s">
        <v>98</v>
      </c>
      <c r="R4" s="640"/>
      <c r="S4" s="640"/>
      <c r="T4" s="630" t="s">
        <v>99</v>
      </c>
      <c r="U4" s="630"/>
      <c r="V4" s="630"/>
      <c r="W4" s="135"/>
      <c r="X4" s="135"/>
    </row>
    <row r="5" spans="1:41" ht="28">
      <c r="E5" s="136" t="s">
        <v>194</v>
      </c>
      <c r="F5" s="136" t="s">
        <v>195</v>
      </c>
      <c r="G5" s="136" t="s">
        <v>196</v>
      </c>
      <c r="H5" s="137" t="s">
        <v>197</v>
      </c>
      <c r="I5" s="137" t="s">
        <v>198</v>
      </c>
      <c r="J5" s="137" t="s">
        <v>199</v>
      </c>
      <c r="K5" s="136" t="s">
        <v>200</v>
      </c>
      <c r="L5" s="136" t="s">
        <v>201</v>
      </c>
      <c r="M5" s="136" t="s">
        <v>202</v>
      </c>
      <c r="N5" s="138" t="s">
        <v>203</v>
      </c>
      <c r="O5" s="138" t="s">
        <v>204</v>
      </c>
      <c r="P5" s="138" t="s">
        <v>205</v>
      </c>
      <c r="Q5" s="139" t="s">
        <v>100</v>
      </c>
      <c r="R5" s="139" t="s">
        <v>101</v>
      </c>
      <c r="S5" s="139" t="s">
        <v>102</v>
      </c>
      <c r="T5" s="140" t="s">
        <v>207</v>
      </c>
      <c r="U5" s="140" t="s">
        <v>206</v>
      </c>
      <c r="V5" s="140" t="s">
        <v>208</v>
      </c>
      <c r="W5" s="135"/>
      <c r="X5" s="135"/>
      <c r="Z5" s="141"/>
      <c r="AA5" s="141"/>
      <c r="AB5" s="141"/>
    </row>
    <row r="6" spans="1:41" ht="16">
      <c r="A6" s="641" t="s">
        <v>103</v>
      </c>
      <c r="B6" s="142" t="s">
        <v>104</v>
      </c>
      <c r="C6" s="143"/>
      <c r="D6" s="144"/>
      <c r="E6" s="145">
        <v>-0.414545454545454</v>
      </c>
      <c r="F6" s="146">
        <v>0</v>
      </c>
      <c r="G6" s="146">
        <v>-0.2</v>
      </c>
      <c r="H6" s="146">
        <v>2.1145002036205701E-2</v>
      </c>
      <c r="I6" s="146">
        <v>0</v>
      </c>
      <c r="J6" s="146">
        <v>0</v>
      </c>
      <c r="K6" s="147">
        <v>-1</v>
      </c>
      <c r="L6" s="147">
        <v>-1</v>
      </c>
      <c r="M6" s="147">
        <v>-1</v>
      </c>
      <c r="N6" s="146">
        <v>-0.47199999999999998</v>
      </c>
      <c r="O6" s="146">
        <v>-0.50722300278119403</v>
      </c>
      <c r="P6" s="146">
        <v>-0.50214740622402498</v>
      </c>
      <c r="Q6" s="146">
        <v>0</v>
      </c>
      <c r="R6" s="146">
        <v>0</v>
      </c>
      <c r="S6" s="146">
        <v>0</v>
      </c>
      <c r="T6" s="147">
        <v>-0.47199999999999998</v>
      </c>
      <c r="U6" s="147">
        <v>-0.51355287851974596</v>
      </c>
      <c r="V6" s="147">
        <v>-0.532692720733278</v>
      </c>
      <c r="W6" s="135"/>
      <c r="X6" s="135"/>
      <c r="Y6" s="148"/>
      <c r="Z6" s="149"/>
      <c r="AA6" s="149"/>
      <c r="AB6" s="149"/>
      <c r="AC6" s="148"/>
      <c r="AD6" s="148"/>
      <c r="AE6" s="148"/>
      <c r="AF6" s="148"/>
      <c r="AG6" s="148"/>
      <c r="AH6" s="148"/>
      <c r="AI6" s="148"/>
      <c r="AJ6" s="148"/>
      <c r="AK6" s="148"/>
      <c r="AL6" s="148"/>
      <c r="AM6" s="148"/>
      <c r="AN6" s="148"/>
      <c r="AO6" s="148"/>
    </row>
    <row r="7" spans="1:41" ht="16">
      <c r="A7" s="641"/>
      <c r="B7" s="150" t="s">
        <v>105</v>
      </c>
      <c r="C7" s="151"/>
      <c r="D7" s="152"/>
      <c r="E7" s="153">
        <v>2.2437989556135798</v>
      </c>
      <c r="F7" s="154">
        <v>3.83316163963489</v>
      </c>
      <c r="G7" s="154">
        <v>2.8838355012166201</v>
      </c>
      <c r="H7" s="155">
        <v>3.9808719139870101</v>
      </c>
      <c r="I7" s="155">
        <v>3.7210886709687601</v>
      </c>
      <c r="J7" s="155">
        <v>3.5496613795916399</v>
      </c>
      <c r="K7" s="154">
        <v>1</v>
      </c>
      <c r="L7" s="154">
        <v>1</v>
      </c>
      <c r="M7" s="154">
        <v>1</v>
      </c>
      <c r="N7" s="154">
        <v>2.1041188125756198</v>
      </c>
      <c r="O7" s="154">
        <v>2.0185852492594401</v>
      </c>
      <c r="P7" s="154">
        <v>1.9796783114070999</v>
      </c>
      <c r="Q7" s="154">
        <v>3.7360574357315701</v>
      </c>
      <c r="R7" s="154">
        <v>6.9790625815425598</v>
      </c>
      <c r="S7" s="154">
        <v>13.037089326104001</v>
      </c>
      <c r="T7" s="154">
        <v>2.1186440677966099</v>
      </c>
      <c r="U7" s="154">
        <v>1.9379162887927499</v>
      </c>
      <c r="V7" s="154">
        <v>1.8726304261237401</v>
      </c>
      <c r="W7" s="135"/>
      <c r="X7" s="135"/>
      <c r="Y7" s="148"/>
      <c r="Z7" s="149"/>
      <c r="AA7" s="149"/>
      <c r="AB7" s="149"/>
      <c r="AC7" s="148"/>
      <c r="AD7" s="148"/>
      <c r="AE7" s="148"/>
      <c r="AF7" s="148"/>
      <c r="AG7" s="148"/>
      <c r="AH7" s="148"/>
      <c r="AI7" s="148"/>
      <c r="AJ7" s="148"/>
      <c r="AK7" s="148"/>
      <c r="AL7" s="148"/>
      <c r="AM7" s="148"/>
      <c r="AN7" s="148"/>
      <c r="AO7" s="148"/>
    </row>
    <row r="8" spans="1:41" ht="16">
      <c r="A8" s="641"/>
      <c r="B8" s="156" t="s">
        <v>106</v>
      </c>
      <c r="C8" s="151"/>
      <c r="D8" s="157"/>
      <c r="E8" s="158">
        <v>-1</v>
      </c>
      <c r="F8" s="159"/>
      <c r="G8" s="159"/>
      <c r="H8" s="159"/>
      <c r="I8" s="159"/>
      <c r="J8" s="159"/>
      <c r="K8" s="159"/>
      <c r="L8" s="159"/>
      <c r="M8" s="159"/>
      <c r="N8" s="159"/>
      <c r="O8" s="159"/>
      <c r="P8" s="159"/>
      <c r="Q8" s="159"/>
      <c r="R8" s="159"/>
      <c r="S8" s="159"/>
      <c r="T8" s="159"/>
      <c r="U8" s="159"/>
      <c r="V8" s="159"/>
      <c r="W8" s="135"/>
      <c r="X8" s="135"/>
      <c r="Y8" s="160"/>
      <c r="Z8" s="161"/>
      <c r="AA8" s="161"/>
      <c r="AB8" s="161"/>
      <c r="AC8" s="160"/>
      <c r="AD8" s="160"/>
      <c r="AE8" s="160"/>
      <c r="AF8" s="160"/>
      <c r="AG8" s="160"/>
      <c r="AH8" s="160"/>
      <c r="AI8" s="160"/>
      <c r="AJ8" s="160"/>
      <c r="AK8" s="160"/>
      <c r="AL8" s="160"/>
      <c r="AM8" s="160"/>
      <c r="AN8" s="160"/>
      <c r="AO8" s="160"/>
    </row>
    <row r="9" spans="1:41" ht="16">
      <c r="A9" s="642" t="s">
        <v>107</v>
      </c>
      <c r="B9" s="98"/>
      <c r="C9" s="98"/>
      <c r="D9" s="162" t="s">
        <v>108</v>
      </c>
      <c r="E9" s="645" t="s">
        <v>109</v>
      </c>
      <c r="F9" s="646"/>
      <c r="G9" s="646"/>
      <c r="H9" s="646"/>
      <c r="I9" s="646"/>
      <c r="J9" s="646"/>
      <c r="K9" s="646"/>
      <c r="L9" s="646"/>
      <c r="M9" s="646"/>
      <c r="N9" s="646"/>
      <c r="O9" s="646"/>
      <c r="P9" s="646"/>
      <c r="Q9" s="646"/>
      <c r="R9" s="646"/>
      <c r="S9" s="646"/>
      <c r="T9" s="646"/>
      <c r="U9" s="646"/>
      <c r="V9" s="646"/>
      <c r="W9" s="135"/>
      <c r="X9" s="135"/>
      <c r="Y9" s="160"/>
      <c r="Z9" s="160"/>
      <c r="AA9" s="160"/>
      <c r="AB9" s="160"/>
      <c r="AC9" s="160"/>
      <c r="AD9" s="160"/>
      <c r="AE9" s="160"/>
      <c r="AF9" s="160"/>
      <c r="AG9" s="160"/>
      <c r="AH9" s="160"/>
      <c r="AI9" s="160"/>
      <c r="AJ9" s="160"/>
      <c r="AK9" s="160"/>
      <c r="AL9" s="160"/>
      <c r="AM9" s="160"/>
      <c r="AN9" s="160"/>
      <c r="AO9" s="160"/>
    </row>
    <row r="10" spans="1:41" ht="16">
      <c r="A10" s="643"/>
      <c r="B10" s="647" t="s">
        <v>110</v>
      </c>
      <c r="C10" s="163" t="s">
        <v>111</v>
      </c>
      <c r="D10" s="147">
        <v>-0.249390763050715</v>
      </c>
      <c r="E10" s="164">
        <v>3.9646819703628003E-2</v>
      </c>
      <c r="F10" s="165">
        <v>0.51359149134092097</v>
      </c>
      <c r="G10" s="165">
        <v>-0.161515813146099</v>
      </c>
      <c r="H10" s="165">
        <v>0.53357825211541199</v>
      </c>
      <c r="I10" s="165">
        <v>0.39264681490284298</v>
      </c>
      <c r="J10" s="165">
        <v>0.77843653943171198</v>
      </c>
      <c r="K10" s="165">
        <v>-9.0212402458099403E-2</v>
      </c>
      <c r="L10" s="165">
        <v>-2.5872505906428499E-2</v>
      </c>
      <c r="M10" s="165">
        <v>-0.31869761350262099</v>
      </c>
      <c r="N10" s="165">
        <v>0.140856800957881</v>
      </c>
      <c r="O10" s="165">
        <v>-0.101503048541665</v>
      </c>
      <c r="P10" s="165">
        <v>0.223686526210991</v>
      </c>
      <c r="Q10" s="165">
        <v>1.8451548385566102E-2</v>
      </c>
      <c r="R10" s="165">
        <v>0.28486861550888598</v>
      </c>
      <c r="S10" s="165">
        <v>9.6628446454842601E-2</v>
      </c>
      <c r="T10" s="165">
        <v>0.27465621935871298</v>
      </c>
      <c r="U10" s="165">
        <v>2.5981274714416799E-2</v>
      </c>
      <c r="V10" s="165">
        <v>8.7989959884541599E-2</v>
      </c>
      <c r="W10" s="135"/>
      <c r="X10" s="135"/>
    </row>
    <row r="11" spans="1:41" ht="16">
      <c r="A11" s="643"/>
      <c r="B11" s="648"/>
      <c r="C11" s="163" t="s">
        <v>112</v>
      </c>
      <c r="D11" s="147">
        <v>-0.10025015166326</v>
      </c>
      <c r="E11" s="164">
        <v>-0.57461185082176003</v>
      </c>
      <c r="F11" s="165">
        <v>-0.50279049607257098</v>
      </c>
      <c r="G11" s="165">
        <v>-3.46106776749378E-2</v>
      </c>
      <c r="H11" s="165">
        <v>0.34007095179812902</v>
      </c>
      <c r="I11" s="165">
        <v>0.20559555452870301</v>
      </c>
      <c r="J11" s="165">
        <v>0.30161421590845</v>
      </c>
      <c r="K11" s="165">
        <v>0.30070207158119799</v>
      </c>
      <c r="L11" s="165">
        <v>-4.9298561584027102E-2</v>
      </c>
      <c r="M11" s="165">
        <v>-3.03543877659774E-2</v>
      </c>
      <c r="N11" s="165">
        <v>0.87710170580823599</v>
      </c>
      <c r="O11" s="165">
        <v>-0.70254339381752895</v>
      </c>
      <c r="P11" s="165">
        <v>-0.70098102817636199</v>
      </c>
      <c r="Q11" s="165">
        <v>-0.40558997284864601</v>
      </c>
      <c r="R11" s="165">
        <v>0.32272726243919297</v>
      </c>
      <c r="S11" s="165">
        <v>0.40208742349820198</v>
      </c>
      <c r="T11" s="165">
        <v>0.36102667652090997</v>
      </c>
      <c r="U11" s="165">
        <v>-0.19922782308254799</v>
      </c>
      <c r="V11" s="165">
        <v>-0.243078965926456</v>
      </c>
      <c r="W11" s="135"/>
      <c r="X11" s="135"/>
    </row>
    <row r="12" spans="1:41" ht="16">
      <c r="A12" s="643"/>
      <c r="B12" s="648"/>
      <c r="C12" s="163" t="s">
        <v>113</v>
      </c>
      <c r="D12" s="147">
        <v>9.56397669685706E-2</v>
      </c>
      <c r="E12" s="164">
        <v>-5.5718304677555799E-2</v>
      </c>
      <c r="F12" s="165">
        <v>4.9056061624485503E-2</v>
      </c>
      <c r="G12" s="165">
        <v>7.32281213380645E-2</v>
      </c>
      <c r="H12" s="165">
        <v>-0.38083562729555398</v>
      </c>
      <c r="I12" s="165">
        <v>0.239434263622501</v>
      </c>
      <c r="J12" s="165">
        <v>-0.47216903704271501</v>
      </c>
      <c r="K12" s="165">
        <v>0.41002689218042399</v>
      </c>
      <c r="L12" s="165">
        <v>0.270450023262652</v>
      </c>
      <c r="M12" s="165">
        <v>-0.25504848766099802</v>
      </c>
      <c r="N12" s="165">
        <v>0.14496492725032301</v>
      </c>
      <c r="O12" s="165">
        <v>-0.48097438763685402</v>
      </c>
      <c r="P12" s="165">
        <v>-0.25464064548719001</v>
      </c>
      <c r="Q12" s="165">
        <v>0.34654043305798299</v>
      </c>
      <c r="R12" s="165">
        <v>7.0875426246568396E-2</v>
      </c>
      <c r="S12" s="165">
        <v>0.47884335984444198</v>
      </c>
      <c r="T12" s="165">
        <v>0.22158913883765499</v>
      </c>
      <c r="U12" s="165">
        <v>-0.47730303651512501</v>
      </c>
      <c r="V12" s="165">
        <v>-0.20506739713889499</v>
      </c>
      <c r="W12" s="135"/>
      <c r="X12" s="135"/>
    </row>
    <row r="13" spans="1:41" ht="16">
      <c r="A13" s="643"/>
      <c r="B13" s="648"/>
      <c r="C13" s="163" t="s">
        <v>114</v>
      </c>
      <c r="D13" s="147">
        <v>0.101680098004717</v>
      </c>
      <c r="E13" s="164">
        <v>0.36106116657519799</v>
      </c>
      <c r="F13" s="165">
        <v>0.22457543716362499</v>
      </c>
      <c r="G13" s="165">
        <v>0.25543065186056702</v>
      </c>
      <c r="H13" s="165">
        <v>-0.46296069926787897</v>
      </c>
      <c r="I13" s="165">
        <v>-0.32297046567582399</v>
      </c>
      <c r="J13" s="165">
        <v>-0.57810724817300496</v>
      </c>
      <c r="K13" s="165">
        <v>0.21327570876989899</v>
      </c>
      <c r="L13" s="165">
        <v>0.14654326242306601</v>
      </c>
      <c r="M13" s="165">
        <v>3.7696955815714001E-2</v>
      </c>
      <c r="N13" s="165">
        <v>0.49726010700920098</v>
      </c>
      <c r="O13" s="165">
        <v>-0.20986043044125099</v>
      </c>
      <c r="P13" s="165">
        <v>0.67954061401986099</v>
      </c>
      <c r="Q13" s="165">
        <v>0.16272110733214601</v>
      </c>
      <c r="R13" s="165">
        <v>2.1939845844339199E-2</v>
      </c>
      <c r="S13" s="165">
        <v>-6.5891238859650605E-2</v>
      </c>
      <c r="T13" s="165">
        <v>0.43372934825610898</v>
      </c>
      <c r="U13" s="165">
        <v>0.103958931821787</v>
      </c>
      <c r="V13" s="165">
        <v>0.75105606010929205</v>
      </c>
      <c r="W13" s="135"/>
      <c r="X13" s="135"/>
    </row>
    <row r="14" spans="1:41" ht="16">
      <c r="A14" s="643"/>
      <c r="B14" s="648"/>
      <c r="C14" s="163" t="s">
        <v>115</v>
      </c>
      <c r="D14" s="147">
        <v>0.245807318675936</v>
      </c>
      <c r="E14" s="164">
        <v>0.27057978663155102</v>
      </c>
      <c r="F14" s="165">
        <v>-0.64025611859604703</v>
      </c>
      <c r="G14" s="165">
        <v>8.4814998487726598E-2</v>
      </c>
      <c r="H14" s="165">
        <v>0.31255257271478798</v>
      </c>
      <c r="I14" s="165">
        <v>-0.47832925515091501</v>
      </c>
      <c r="J14" s="165">
        <v>0.44180970403313202</v>
      </c>
      <c r="K14" s="165">
        <v>-5.6551181171837099E-2</v>
      </c>
      <c r="L14" s="165">
        <v>-0.50847186863135896</v>
      </c>
      <c r="M14" s="165">
        <v>0.13518661698172599</v>
      </c>
      <c r="N14" s="165">
        <v>0.51878601560517501</v>
      </c>
      <c r="O14" s="165">
        <v>6.4655373228688098E-2</v>
      </c>
      <c r="P14" s="165">
        <v>-0.29400200031995599</v>
      </c>
      <c r="Q14" s="165">
        <v>-0.63372730063326799</v>
      </c>
      <c r="R14" s="165">
        <v>-0.20260637946755</v>
      </c>
      <c r="S14" s="165">
        <v>0.52399380842194099</v>
      </c>
      <c r="T14" s="165">
        <v>-0.134001361073672</v>
      </c>
      <c r="U14" s="165">
        <v>-0.45542001760115802</v>
      </c>
      <c r="V14" s="165">
        <v>0.452872722708069</v>
      </c>
      <c r="W14" s="135"/>
      <c r="X14" s="135"/>
    </row>
    <row r="15" spans="1:41" ht="16">
      <c r="A15" s="643"/>
      <c r="B15" s="648"/>
      <c r="C15" s="163" t="s">
        <v>116</v>
      </c>
      <c r="D15" s="147">
        <v>1.1966208048326401</v>
      </c>
      <c r="E15" s="164">
        <v>-0.33499608048914398</v>
      </c>
      <c r="F15" s="165">
        <v>-0.43579785504610502</v>
      </c>
      <c r="G15" s="165">
        <v>0.44653584822612002</v>
      </c>
      <c r="H15" s="165">
        <v>-3.7515767267909297E-2</v>
      </c>
      <c r="I15" s="165">
        <v>-0.70672293655561902</v>
      </c>
      <c r="J15" s="165">
        <v>0.27560011723073102</v>
      </c>
      <c r="K15" s="165">
        <v>0.22483729014596299</v>
      </c>
      <c r="L15" s="165">
        <v>0.32996288458877898</v>
      </c>
      <c r="M15" s="165">
        <v>0.18222515332365399</v>
      </c>
      <c r="N15" s="165">
        <v>0.35334389129190302</v>
      </c>
      <c r="O15" s="165">
        <v>0.51863036089818904</v>
      </c>
      <c r="P15" s="165">
        <v>-0.92992650336613403</v>
      </c>
      <c r="Q15" s="165">
        <v>0.33212821139542997</v>
      </c>
      <c r="R15" s="165">
        <v>0.49713120022708401</v>
      </c>
      <c r="S15" s="165">
        <v>-0.29248303927570202</v>
      </c>
      <c r="T15" s="165">
        <v>-0.162586462710471</v>
      </c>
      <c r="U15" s="165">
        <v>0.29839531302341199</v>
      </c>
      <c r="V15" s="165">
        <v>-1.2764588513738E-2</v>
      </c>
      <c r="W15" s="135"/>
      <c r="X15" s="135"/>
    </row>
    <row r="16" spans="1:41" ht="16">
      <c r="A16" s="643"/>
      <c r="B16" s="648"/>
      <c r="C16" s="163" t="s">
        <v>117</v>
      </c>
      <c r="D16" s="147">
        <v>-0.64017256585021098</v>
      </c>
      <c r="E16" s="164">
        <v>-0.21648406269985601</v>
      </c>
      <c r="F16" s="165">
        <v>0.498987988263144</v>
      </c>
      <c r="G16" s="165">
        <v>2.1740299717649399E-2</v>
      </c>
      <c r="H16" s="165">
        <v>0.114900495151622</v>
      </c>
      <c r="I16" s="165">
        <v>0.50626981375510105</v>
      </c>
      <c r="J16" s="165">
        <v>0.231791166545911</v>
      </c>
      <c r="K16" s="165">
        <v>0.61008991609893604</v>
      </c>
      <c r="L16" s="165">
        <v>0.25671407359231702</v>
      </c>
      <c r="M16" s="165">
        <v>1.44884567379115E-2</v>
      </c>
      <c r="N16" s="165">
        <v>0.57105154025987703</v>
      </c>
      <c r="O16" s="165">
        <v>-0.29464439367002598</v>
      </c>
      <c r="P16" s="165">
        <v>2.6590607807409999E-2</v>
      </c>
      <c r="Q16" s="165">
        <v>0.50483138379621395</v>
      </c>
      <c r="R16" s="165">
        <v>-0.37928778267102098</v>
      </c>
      <c r="S16" s="165">
        <v>-4.54203902615683E-2</v>
      </c>
      <c r="T16" s="165">
        <v>0.18012691162202399</v>
      </c>
      <c r="U16" s="165">
        <v>0.13723082336975101</v>
      </c>
      <c r="V16" s="165">
        <v>9.7941127018952495E-2</v>
      </c>
      <c r="W16" s="135"/>
      <c r="X16" s="135"/>
    </row>
    <row r="17" spans="1:24" ht="16">
      <c r="A17" s="643"/>
      <c r="B17" s="648"/>
      <c r="C17" s="163" t="s">
        <v>118</v>
      </c>
      <c r="D17" s="147">
        <v>0.50440430300501504</v>
      </c>
      <c r="E17" s="164">
        <v>0.39134413745028801</v>
      </c>
      <c r="F17" s="165">
        <v>-7.3456205366371199E-3</v>
      </c>
      <c r="G17" s="165">
        <v>0.17551644154745599</v>
      </c>
      <c r="H17" s="165">
        <v>5.2350061009108502E-2</v>
      </c>
      <c r="I17" s="165">
        <v>0.12437796260167799</v>
      </c>
      <c r="J17" s="165">
        <v>-0.36667220861344701</v>
      </c>
      <c r="K17" s="165">
        <v>0.93088403208850101</v>
      </c>
      <c r="L17" s="165">
        <v>0.69560576333736002</v>
      </c>
      <c r="M17" s="165">
        <v>-0.14770209199571099</v>
      </c>
      <c r="N17" s="165">
        <v>-0.15080989496172201</v>
      </c>
      <c r="O17" s="165">
        <v>0.216701334932977</v>
      </c>
      <c r="P17" s="165">
        <v>0.172845079906393</v>
      </c>
      <c r="Q17" s="165">
        <v>-0.89027123752540205</v>
      </c>
      <c r="R17" s="165">
        <v>-6.7996967751118298E-2</v>
      </c>
      <c r="S17" s="165">
        <v>0.44715916563052599</v>
      </c>
      <c r="T17" s="165">
        <v>-8.9601589923502603E-2</v>
      </c>
      <c r="U17" s="165">
        <v>0.30447211580169598</v>
      </c>
      <c r="V17" s="165">
        <v>0.48843058657029498</v>
      </c>
      <c r="W17" s="135"/>
      <c r="X17" s="135"/>
    </row>
    <row r="18" spans="1:24" ht="16">
      <c r="A18" s="643"/>
      <c r="B18" s="648"/>
      <c r="C18" s="163" t="s">
        <v>119</v>
      </c>
      <c r="D18" s="147">
        <v>-0.93451166621527004</v>
      </c>
      <c r="E18" s="164">
        <v>-0.49467602910591901</v>
      </c>
      <c r="F18" s="165">
        <v>0.19394778892124501</v>
      </c>
      <c r="G18" s="165">
        <v>-0.13640660602315599</v>
      </c>
      <c r="H18" s="165">
        <v>0.96420733321478003</v>
      </c>
      <c r="I18" s="165">
        <v>-0.38230079301667902</v>
      </c>
      <c r="J18" s="165">
        <v>-0.85818770879350204</v>
      </c>
      <c r="K18" s="165">
        <v>0.56782401136669702</v>
      </c>
      <c r="L18" s="165">
        <v>1.8334891174560101E-2</v>
      </c>
      <c r="M18" s="165">
        <v>7.3447467471295894E-2</v>
      </c>
      <c r="N18" s="165">
        <v>-0.303882437992681</v>
      </c>
      <c r="O18" s="165">
        <v>-0.21055869249084999</v>
      </c>
      <c r="P18" s="165">
        <v>-0.64360233603444605</v>
      </c>
      <c r="Q18" s="165">
        <v>-1.7207455397837501</v>
      </c>
      <c r="R18" s="165">
        <v>-0.10536750744788</v>
      </c>
      <c r="S18" s="165">
        <v>0.487180318093209</v>
      </c>
      <c r="T18" s="165">
        <v>-0.407364957626559</v>
      </c>
      <c r="U18" s="165">
        <v>7.9091394761059405E-2</v>
      </c>
      <c r="V18" s="165">
        <v>6.8590951745603798E-2</v>
      </c>
      <c r="W18" s="135"/>
      <c r="X18" s="135"/>
    </row>
    <row r="19" spans="1:24" ht="16">
      <c r="A19" s="643"/>
      <c r="B19" s="648"/>
      <c r="C19" s="163" t="s">
        <v>120</v>
      </c>
      <c r="D19" s="147">
        <v>-8.8019829568919405E-2</v>
      </c>
      <c r="E19" s="164">
        <v>-0.30727763475473402</v>
      </c>
      <c r="F19" s="165">
        <v>0.12536168665323799</v>
      </c>
      <c r="G19" s="165">
        <v>0.31294903930469598</v>
      </c>
      <c r="H19" s="165">
        <v>-0.684287526424876</v>
      </c>
      <c r="I19" s="165">
        <v>0.78125940389549198</v>
      </c>
      <c r="J19" s="165">
        <v>0.397496714684898</v>
      </c>
      <c r="K19" s="165">
        <v>0.15255503471530399</v>
      </c>
      <c r="L19" s="165">
        <v>0.13617163062634499</v>
      </c>
      <c r="M19" s="165">
        <v>9.6179114168465293E-3</v>
      </c>
      <c r="N19" s="165">
        <v>1.7255566736651299E-2</v>
      </c>
      <c r="O19" s="165">
        <v>-0.471407688998151</v>
      </c>
      <c r="P19" s="165">
        <v>0.225987951920536</v>
      </c>
      <c r="Q19" s="165">
        <v>-0.25782861754240299</v>
      </c>
      <c r="R19" s="165">
        <v>0.35227999932694198</v>
      </c>
      <c r="S19" s="165">
        <v>-0.17453472036262799</v>
      </c>
      <c r="T19" s="165">
        <v>-4.0584709587444999E-2</v>
      </c>
      <c r="U19" s="165">
        <v>-0.54263211710315795</v>
      </c>
      <c r="V19" s="165">
        <v>-0.14301945658489301</v>
      </c>
      <c r="W19" s="135"/>
      <c r="X19" s="135"/>
    </row>
    <row r="20" spans="1:24" ht="16">
      <c r="A20" s="643"/>
      <c r="B20" s="648"/>
      <c r="C20" s="163" t="s">
        <v>121</v>
      </c>
      <c r="D20" s="147">
        <v>-0.15944224091647499</v>
      </c>
      <c r="E20" s="164">
        <v>-7.9136730967549904E-2</v>
      </c>
      <c r="F20" s="165">
        <v>-0.44380125854733599</v>
      </c>
      <c r="G20" s="165">
        <v>-0.47879948681689</v>
      </c>
      <c r="H20" s="165">
        <v>0.57574434328386503</v>
      </c>
      <c r="I20" s="165">
        <v>3.0301412586833699E-2</v>
      </c>
      <c r="J20" s="165">
        <v>-0.69130001110422701</v>
      </c>
      <c r="K20" s="165">
        <v>0.28522780644280199</v>
      </c>
      <c r="L20" s="165">
        <v>-8.4313650408540497E-2</v>
      </c>
      <c r="M20" s="165">
        <v>-0.26298781494336199</v>
      </c>
      <c r="N20" s="165">
        <v>-0.31901296832512399</v>
      </c>
      <c r="O20" s="165">
        <v>8.7508147602102807E-2</v>
      </c>
      <c r="P20" s="165">
        <v>-0.54238705229689699</v>
      </c>
      <c r="Q20" s="165">
        <v>0.21419634567221299</v>
      </c>
      <c r="R20" s="165">
        <v>0.43111468258418301</v>
      </c>
      <c r="S20" s="165">
        <v>2.4140834105430601E-3</v>
      </c>
      <c r="T20" s="165">
        <v>7.22952121344132E-2</v>
      </c>
      <c r="U20" s="165">
        <v>-0.32389676250448901</v>
      </c>
      <c r="V20" s="165">
        <v>-0.48294743647430399</v>
      </c>
      <c r="W20" s="135"/>
      <c r="X20" s="135"/>
    </row>
    <row r="21" spans="1:24" ht="16">
      <c r="A21" s="643"/>
      <c r="B21" s="648"/>
      <c r="C21" s="163" t="s">
        <v>122</v>
      </c>
      <c r="D21" s="147">
        <v>0.25062952827347101</v>
      </c>
      <c r="E21" s="164">
        <v>0.141825962540854</v>
      </c>
      <c r="F21" s="165">
        <v>7.6078415044557507E-2</v>
      </c>
      <c r="G21" s="165">
        <v>-0.52835654835607204</v>
      </c>
      <c r="H21" s="165">
        <v>-1.1468411281056201E-3</v>
      </c>
      <c r="I21" s="165">
        <v>-0.24740336510486299</v>
      </c>
      <c r="J21" s="165">
        <v>-0.17324459629834199</v>
      </c>
      <c r="K21" s="165">
        <v>-0.31896661356706002</v>
      </c>
      <c r="L21" s="165">
        <v>-0.495949992690565</v>
      </c>
      <c r="M21" s="165">
        <v>0.119019921263658</v>
      </c>
      <c r="N21" s="165">
        <v>0.54034292742707601</v>
      </c>
      <c r="O21" s="165">
        <v>6.3866716360059694E-2</v>
      </c>
      <c r="P21" s="165">
        <v>-0.230528057130856</v>
      </c>
      <c r="Q21" s="165">
        <v>-8.1257679147344802E-2</v>
      </c>
      <c r="R21" s="165">
        <v>0.22062876110542601</v>
      </c>
      <c r="S21" s="165">
        <v>-9.4064900230779E-2</v>
      </c>
      <c r="T21" s="165">
        <v>-0.35649579015626398</v>
      </c>
      <c r="U21" s="165">
        <v>-0.61962303054513201</v>
      </c>
      <c r="V21" s="165">
        <v>0.115589733403062</v>
      </c>
      <c r="W21" s="135"/>
      <c r="X21" s="135"/>
    </row>
    <row r="22" spans="1:24" ht="15" customHeight="1">
      <c r="A22" s="644"/>
      <c r="B22" s="649"/>
      <c r="C22" s="166" t="s">
        <v>175</v>
      </c>
      <c r="D22" s="147">
        <v>0.36596349648405302</v>
      </c>
      <c r="E22" s="165">
        <v>1.32468525879893E-2</v>
      </c>
      <c r="F22" s="165">
        <v>-0.87659985367219995</v>
      </c>
      <c r="G22" s="165">
        <v>-5.0448415989356697E-2</v>
      </c>
      <c r="H22" s="165">
        <v>-8.7569622233869507E-2</v>
      </c>
      <c r="I22" s="165">
        <v>0.14491726483506001</v>
      </c>
      <c r="J22" s="165">
        <v>0.824400659292996</v>
      </c>
      <c r="K22" s="165">
        <v>-5.4047923858838401E-2</v>
      </c>
      <c r="L22" s="165">
        <v>0.11444089067334901</v>
      </c>
      <c r="M22" s="165">
        <v>-3.9991469893314299E-2</v>
      </c>
      <c r="N22" s="165">
        <v>0.43465603019846299</v>
      </c>
      <c r="O22" s="165">
        <v>-8.1372365867881297E-2</v>
      </c>
      <c r="P22" s="165">
        <v>0.50684786171884799</v>
      </c>
      <c r="Q22" s="165">
        <v>1.0401589725829901</v>
      </c>
      <c r="R22" s="165">
        <v>-0.44211878308493802</v>
      </c>
      <c r="S22" s="165">
        <v>-0.28629089245797801</v>
      </c>
      <c r="T22" s="165">
        <v>0.23089978297709299</v>
      </c>
      <c r="U22" s="165">
        <v>-8.2354176217549202E-2</v>
      </c>
      <c r="V22" s="165">
        <v>-0.53352823811519801</v>
      </c>
      <c r="W22" s="167"/>
      <c r="X22" s="167"/>
    </row>
    <row r="23" spans="1:24" ht="15" customHeight="1">
      <c r="A23" s="650" t="s">
        <v>123</v>
      </c>
      <c r="B23" s="168"/>
      <c r="C23" s="168"/>
      <c r="D23" s="169" t="s">
        <v>124</v>
      </c>
      <c r="E23" s="170" t="s">
        <v>125</v>
      </c>
      <c r="F23" s="148"/>
      <c r="G23" s="171"/>
      <c r="H23" s="172"/>
      <c r="I23" s="171"/>
      <c r="J23" s="171"/>
      <c r="K23" s="171"/>
      <c r="L23" s="148"/>
      <c r="M23" s="148"/>
      <c r="N23" s="148"/>
      <c r="O23" s="148"/>
      <c r="P23" s="148"/>
      <c r="Q23" s="148"/>
      <c r="R23" s="148"/>
      <c r="S23" s="148"/>
      <c r="T23" s="167"/>
      <c r="U23" s="167"/>
      <c r="V23" s="167"/>
      <c r="W23" s="167"/>
      <c r="X23" s="167"/>
    </row>
    <row r="24" spans="1:24" ht="15" customHeight="1">
      <c r="A24" s="651"/>
      <c r="B24" s="653" t="s">
        <v>126</v>
      </c>
      <c r="C24" s="173" t="s">
        <v>111</v>
      </c>
      <c r="D24" s="147">
        <v>0.319619509557245</v>
      </c>
      <c r="E24" s="174">
        <v>-0.72600872845917097</v>
      </c>
      <c r="F24" s="148"/>
      <c r="G24" s="175"/>
      <c r="H24" s="148"/>
      <c r="I24" s="148"/>
      <c r="J24" s="176" t="s">
        <v>142</v>
      </c>
      <c r="K24" s="177"/>
      <c r="L24" s="148"/>
      <c r="M24" s="523">
        <f>'Lft - ANN 13 nodes'!M24</f>
        <v>0.01</v>
      </c>
      <c r="P24" s="148"/>
      <c r="Q24" s="148"/>
      <c r="R24" s="148"/>
      <c r="S24" s="148"/>
      <c r="T24" s="167"/>
      <c r="U24" s="167"/>
      <c r="V24" s="167"/>
      <c r="W24" s="167"/>
      <c r="X24" s="167"/>
    </row>
    <row r="25" spans="1:24" ht="15" customHeight="1">
      <c r="A25" s="651"/>
      <c r="B25" s="654"/>
      <c r="C25" s="173" t="s">
        <v>112</v>
      </c>
      <c r="D25" s="143"/>
      <c r="E25" s="174">
        <v>-0.89611989955236404</v>
      </c>
      <c r="F25" s="148"/>
      <c r="G25" s="175"/>
      <c r="H25" s="656" t="s">
        <v>143</v>
      </c>
      <c r="I25" s="178" t="s">
        <v>194</v>
      </c>
      <c r="J25" s="99">
        <f>'Rt - Gravity correction'!C12</f>
        <v>0.31134577896931742</v>
      </c>
      <c r="K25" s="177"/>
      <c r="L25" s="249" t="s">
        <v>274</v>
      </c>
      <c r="M25" s="212">
        <f>IF(J25&lt;-M24,1,IF(J25&gt;M24,3,2))</f>
        <v>3</v>
      </c>
      <c r="P25" s="148"/>
      <c r="Q25" s="148"/>
      <c r="R25" s="148"/>
      <c r="S25" s="148"/>
      <c r="T25" s="167"/>
      <c r="U25" s="167"/>
      <c r="V25" s="167"/>
      <c r="W25" s="167"/>
      <c r="X25" s="167"/>
    </row>
    <row r="26" spans="1:24" ht="15" customHeight="1">
      <c r="A26" s="651"/>
      <c r="B26" s="654"/>
      <c r="C26" s="173" t="s">
        <v>113</v>
      </c>
      <c r="D26" s="143"/>
      <c r="E26" s="174">
        <v>1.3038982874907901</v>
      </c>
      <c r="F26" s="148"/>
      <c r="G26" s="175"/>
      <c r="H26" s="657"/>
      <c r="I26" s="178" t="s">
        <v>195</v>
      </c>
      <c r="J26" s="99">
        <f>'Rt - Gravity correction'!B12</f>
        <v>0.27030317408049215</v>
      </c>
      <c r="K26" s="177"/>
      <c r="L26" s="250"/>
      <c r="P26" s="148"/>
      <c r="Q26" s="148"/>
      <c r="R26" s="148"/>
      <c r="S26" s="148"/>
    </row>
    <row r="27" spans="1:24" ht="15" customHeight="1">
      <c r="A27" s="651"/>
      <c r="B27" s="654"/>
      <c r="C27" s="173" t="s">
        <v>114</v>
      </c>
      <c r="D27" s="143"/>
      <c r="E27" s="174">
        <v>-0.96359952064171195</v>
      </c>
      <c r="F27" s="148"/>
      <c r="G27" s="175"/>
      <c r="H27" s="658"/>
      <c r="I27" s="178" t="s">
        <v>196</v>
      </c>
      <c r="J27" s="99">
        <f>'Rt - Gravity correction'!D12</f>
        <v>0.2</v>
      </c>
      <c r="K27" s="177"/>
      <c r="L27" s="250"/>
      <c r="P27" s="148"/>
      <c r="Q27" s="148"/>
      <c r="R27" s="148"/>
      <c r="S27" s="148"/>
    </row>
    <row r="28" spans="1:24" ht="15" customHeight="1">
      <c r="A28" s="651"/>
      <c r="B28" s="654"/>
      <c r="C28" s="173" t="s">
        <v>115</v>
      </c>
      <c r="D28" s="143"/>
      <c r="E28" s="174">
        <v>0.89230417134311102</v>
      </c>
      <c r="F28" s="148"/>
      <c r="G28" s="175"/>
      <c r="H28" s="148"/>
      <c r="I28" s="179"/>
      <c r="J28"/>
      <c r="K28" s="177"/>
      <c r="L28" s="250"/>
      <c r="M28" s="199" t="s">
        <v>275</v>
      </c>
      <c r="N28" s="207" t="s">
        <v>234</v>
      </c>
      <c r="P28" s="148"/>
      <c r="Q28" s="148"/>
      <c r="R28" s="148"/>
      <c r="S28" s="148"/>
    </row>
    <row r="29" spans="1:24" ht="15" customHeight="1">
      <c r="A29" s="651"/>
      <c r="B29" s="654"/>
      <c r="C29" s="173" t="s">
        <v>116</v>
      </c>
      <c r="D29" s="143"/>
      <c r="E29" s="174">
        <v>-1.10949608479192</v>
      </c>
      <c r="F29" s="148"/>
      <c r="G29" s="175"/>
      <c r="H29" s="659" t="s">
        <v>144</v>
      </c>
      <c r="I29" s="178" t="s">
        <v>209</v>
      </c>
      <c r="J29" s="99">
        <f>'Rt - Gravity correction'!N20</f>
        <v>-0.16709303686715049</v>
      </c>
      <c r="K29" s="177"/>
      <c r="L29" s="249" t="s">
        <v>148</v>
      </c>
      <c r="M29" s="206">
        <f>IF(ABS(J30)&lt;O29,0,J30/ABS(J30))</f>
        <v>1</v>
      </c>
      <c r="N29" s="205">
        <f>(M29+2)*100+(M30+2)*10+(M31+2)+M25*1000</f>
        <v>3313</v>
      </c>
      <c r="O29" s="328">
        <v>0.1</v>
      </c>
      <c r="P29" s="327" t="s">
        <v>350</v>
      </c>
      <c r="Q29" s="327"/>
      <c r="R29" s="327"/>
      <c r="S29" s="148"/>
    </row>
    <row r="30" spans="1:24" ht="15" customHeight="1">
      <c r="A30" s="651"/>
      <c r="B30" s="654"/>
      <c r="C30" s="173" t="s">
        <v>117</v>
      </c>
      <c r="D30" s="143"/>
      <c r="E30" s="174">
        <v>1.3204567628156501</v>
      </c>
      <c r="F30" s="148"/>
      <c r="G30" s="175"/>
      <c r="H30" s="660"/>
      <c r="I30" s="178" t="s">
        <v>210</v>
      </c>
      <c r="J30" s="99">
        <f>'Rt - Gravity correction'!N19</f>
        <v>0.94763170216938131</v>
      </c>
      <c r="K30" s="177"/>
      <c r="L30" s="249" t="s">
        <v>257</v>
      </c>
      <c r="M30" s="206">
        <f>IF(ABS(J29)&lt;O29,0,J29/ABS(J29))</f>
        <v>-1</v>
      </c>
      <c r="P30" s="148"/>
      <c r="Q30" s="148"/>
      <c r="R30" s="148"/>
      <c r="S30" s="148"/>
    </row>
    <row r="31" spans="1:24" ht="15" customHeight="1">
      <c r="A31" s="651"/>
      <c r="B31" s="654"/>
      <c r="C31" s="173" t="s">
        <v>118</v>
      </c>
      <c r="D31" s="143"/>
      <c r="E31" s="174">
        <v>-0.88151051162302696</v>
      </c>
      <c r="F31" s="148"/>
      <c r="G31" s="175"/>
      <c r="H31" s="661"/>
      <c r="I31" s="178" t="s">
        <v>211</v>
      </c>
      <c r="J31" s="99">
        <f>'Rt - Gravity correction'!N21</f>
        <v>0.27216552697590868</v>
      </c>
      <c r="K31" s="177"/>
      <c r="L31" s="249" t="s">
        <v>276</v>
      </c>
      <c r="M31" s="206">
        <f>IF(ABS(J31)&lt;O29,0,J31/ABS(J31))</f>
        <v>1</v>
      </c>
      <c r="P31" s="148"/>
      <c r="Q31" s="148"/>
      <c r="R31" s="148"/>
      <c r="S31" s="148"/>
    </row>
    <row r="32" spans="1:24" ht="15" customHeight="1">
      <c r="A32" s="651"/>
      <c r="B32" s="654"/>
      <c r="C32" s="173" t="s">
        <v>119</v>
      </c>
      <c r="D32" s="143"/>
      <c r="E32" s="174">
        <v>1.19732970053209</v>
      </c>
      <c r="F32" s="148"/>
      <c r="G32" s="177"/>
      <c r="H32" s="177"/>
      <c r="I32" s="177"/>
      <c r="J32" s="177"/>
      <c r="K32" s="177"/>
      <c r="L32" s="180"/>
      <c r="M32" s="180"/>
      <c r="N32" s="180"/>
      <c r="O32" s="180"/>
      <c r="P32" s="180"/>
      <c r="Q32" s="180"/>
      <c r="R32" s="180"/>
      <c r="S32" s="180"/>
    </row>
    <row r="33" spans="1:25" ht="15" customHeight="1">
      <c r="A33" s="651"/>
      <c r="B33" s="654"/>
      <c r="C33" s="173" t="s">
        <v>120</v>
      </c>
      <c r="D33" s="143"/>
      <c r="E33" s="174">
        <v>-1.1976418523187999</v>
      </c>
      <c r="F33" s="148"/>
      <c r="G33" s="148"/>
      <c r="H33" s="148"/>
      <c r="I33" s="148"/>
      <c r="J33" s="148"/>
      <c r="K33" s="148"/>
      <c r="L33" s="180"/>
      <c r="M33" s="180"/>
      <c r="N33" s="180"/>
      <c r="O33" s="180"/>
      <c r="P33" s="180"/>
      <c r="Q33" s="180"/>
      <c r="R33" s="180"/>
      <c r="S33" s="180"/>
    </row>
    <row r="34" spans="1:25" ht="15" customHeight="1">
      <c r="A34" s="651"/>
      <c r="B34" s="654"/>
      <c r="C34" s="173" t="s">
        <v>121</v>
      </c>
      <c r="D34" s="143"/>
      <c r="E34" s="174">
        <v>-0.83642974636656098</v>
      </c>
      <c r="F34" s="148"/>
      <c r="G34" s="148"/>
      <c r="H34" s="148"/>
      <c r="I34" s="148"/>
      <c r="J34" s="148"/>
      <c r="K34" s="148"/>
      <c r="L34" s="180"/>
      <c r="M34" s="180"/>
      <c r="N34" s="180"/>
      <c r="O34" s="180"/>
      <c r="P34" s="180"/>
      <c r="Q34" s="180"/>
      <c r="R34" s="180"/>
      <c r="S34" s="180"/>
    </row>
    <row r="35" spans="1:25" ht="15" customHeight="1">
      <c r="A35" s="651"/>
      <c r="B35" s="654"/>
      <c r="C35" s="173" t="s">
        <v>122</v>
      </c>
      <c r="D35" s="143"/>
      <c r="E35" s="174">
        <v>-0.85334110181181799</v>
      </c>
      <c r="F35" s="148"/>
      <c r="G35" s="148"/>
      <c r="H35" s="148"/>
      <c r="I35" s="148"/>
      <c r="J35" s="148"/>
      <c r="K35" s="148"/>
      <c r="L35" s="180"/>
      <c r="M35" s="180"/>
      <c r="N35" s="180"/>
      <c r="O35" s="180"/>
      <c r="P35" s="180"/>
      <c r="Q35" s="180"/>
      <c r="R35" s="180"/>
      <c r="S35" s="180"/>
    </row>
    <row r="36" spans="1:25" ht="15" customHeight="1">
      <c r="A36" s="652"/>
      <c r="B36" s="655"/>
      <c r="C36" s="181" t="s">
        <v>175</v>
      </c>
      <c r="D36" s="143"/>
      <c r="E36" s="174">
        <v>1.69729115635384</v>
      </c>
      <c r="F36" s="148"/>
      <c r="G36" s="148"/>
      <c r="H36" s="148"/>
      <c r="I36" s="148"/>
      <c r="J36" s="148"/>
      <c r="K36" s="148"/>
      <c r="L36" s="180"/>
      <c r="M36" s="180"/>
      <c r="N36" s="180"/>
      <c r="O36" s="180"/>
      <c r="P36" s="180"/>
      <c r="Q36" s="180"/>
      <c r="R36" s="180"/>
      <c r="S36" s="180"/>
    </row>
    <row r="37" spans="1:25" ht="15" customHeight="1">
      <c r="A37" s="662" t="s">
        <v>127</v>
      </c>
      <c r="B37" s="182" t="s">
        <v>128</v>
      </c>
      <c r="C37" s="143"/>
      <c r="D37" s="143"/>
      <c r="E37" s="183">
        <v>-1</v>
      </c>
      <c r="F37" s="148"/>
      <c r="G37" s="148"/>
      <c r="H37" s="148"/>
      <c r="I37" s="148"/>
      <c r="J37" s="148"/>
      <c r="K37" s="148"/>
      <c r="L37" s="148"/>
      <c r="M37" s="148"/>
      <c r="N37" s="148"/>
      <c r="O37" s="148"/>
      <c r="P37" s="148"/>
      <c r="Q37" s="148"/>
      <c r="R37" s="148"/>
      <c r="S37" s="148"/>
    </row>
    <row r="38" spans="1:25" ht="15" customHeight="1">
      <c r="A38" s="662"/>
      <c r="B38" s="184" t="s">
        <v>129</v>
      </c>
      <c r="C38" s="143"/>
      <c r="D38" s="143"/>
      <c r="E38" s="154">
        <v>1.11758422535829E-2</v>
      </c>
      <c r="F38" s="148"/>
      <c r="G38" s="148"/>
      <c r="H38" s="148"/>
      <c r="I38" s="148"/>
      <c r="J38" s="148"/>
      <c r="K38" s="148"/>
      <c r="L38" s="148"/>
      <c r="M38" s="148"/>
      <c r="N38" s="148"/>
      <c r="O38" s="148"/>
      <c r="P38" s="148"/>
      <c r="Q38" s="148"/>
      <c r="R38" s="148"/>
      <c r="S38" s="148"/>
    </row>
    <row r="39" spans="1:25" ht="15" customHeight="1">
      <c r="A39" s="662"/>
      <c r="B39" s="185" t="s">
        <v>130</v>
      </c>
      <c r="C39" s="143"/>
      <c r="D39" s="143"/>
      <c r="E39" s="186">
        <v>44.245180138539901</v>
      </c>
      <c r="F39" s="148"/>
      <c r="G39" s="148"/>
      <c r="H39" s="148"/>
      <c r="I39" s="148"/>
      <c r="J39" s="148"/>
      <c r="K39" s="148"/>
      <c r="L39" s="148"/>
      <c r="M39" s="148"/>
      <c r="N39" s="148"/>
      <c r="O39" s="148"/>
      <c r="P39" s="148"/>
      <c r="Q39" s="148"/>
      <c r="R39" s="148"/>
      <c r="S39" s="148"/>
    </row>
    <row r="40" spans="1:25" ht="15" customHeight="1">
      <c r="A40" s="180"/>
      <c r="B40" s="180"/>
      <c r="C40" s="180"/>
      <c r="D40" s="180"/>
      <c r="E40" s="180"/>
      <c r="F40" s="148"/>
      <c r="G40" s="148"/>
      <c r="H40" s="148"/>
      <c r="I40" s="148"/>
      <c r="J40" s="148"/>
      <c r="K40" s="148"/>
      <c r="L40" s="148"/>
      <c r="M40" s="148"/>
      <c r="N40" s="148"/>
      <c r="O40" s="148"/>
      <c r="P40" s="148"/>
      <c r="Q40" s="148"/>
      <c r="R40" s="148"/>
      <c r="S40" s="148"/>
    </row>
    <row r="42" spans="1:25" ht="20">
      <c r="E42" s="663" t="s">
        <v>145</v>
      </c>
      <c r="F42" s="663"/>
      <c r="G42" s="663"/>
      <c r="H42" s="663"/>
      <c r="I42" s="663"/>
      <c r="J42" s="663"/>
      <c r="K42" s="663"/>
      <c r="L42" s="663"/>
      <c r="M42" s="663"/>
      <c r="N42" s="663"/>
      <c r="O42" s="663"/>
      <c r="P42" s="663"/>
      <c r="Q42" s="663"/>
      <c r="R42" s="663"/>
      <c r="S42" s="663"/>
      <c r="T42" s="663"/>
      <c r="U42" s="663"/>
      <c r="V42" s="663"/>
      <c r="W42" s="187"/>
      <c r="X42" s="187"/>
    </row>
    <row r="43" spans="1:25" ht="26" customHeight="1">
      <c r="E43" s="634" t="s">
        <v>91</v>
      </c>
      <c r="F43" s="634"/>
      <c r="G43" s="634"/>
      <c r="H43" s="664" t="s">
        <v>92</v>
      </c>
      <c r="I43" s="664"/>
      <c r="J43" s="664"/>
      <c r="K43" s="634" t="s">
        <v>91</v>
      </c>
      <c r="L43" s="634"/>
      <c r="M43" s="634"/>
      <c r="N43" s="664" t="s">
        <v>92</v>
      </c>
      <c r="O43" s="664"/>
      <c r="P43" s="664"/>
      <c r="Q43" s="664"/>
      <c r="R43" s="664"/>
      <c r="S43" s="664"/>
      <c r="T43" s="664"/>
      <c r="U43" s="664"/>
      <c r="V43" s="664"/>
      <c r="W43"/>
      <c r="X43"/>
      <c r="Y43"/>
    </row>
    <row r="44" spans="1:25" ht="16">
      <c r="A44" s="148"/>
      <c r="B44" s="148"/>
      <c r="C44" s="148"/>
      <c r="D44" s="148"/>
      <c r="E44" s="634" t="s">
        <v>94</v>
      </c>
      <c r="F44" s="634"/>
      <c r="G44" s="634"/>
      <c r="H44" s="638" t="s">
        <v>95</v>
      </c>
      <c r="I44" s="638"/>
      <c r="J44" s="638"/>
      <c r="K44" s="634" t="s">
        <v>96</v>
      </c>
      <c r="L44" s="634"/>
      <c r="M44" s="634"/>
      <c r="N44" s="639" t="s">
        <v>97</v>
      </c>
      <c r="O44" s="639"/>
      <c r="P44" s="639"/>
      <c r="Q44" s="640" t="s">
        <v>98</v>
      </c>
      <c r="R44" s="640"/>
      <c r="S44" s="640"/>
      <c r="T44" s="630" t="s">
        <v>99</v>
      </c>
      <c r="U44" s="630"/>
      <c r="V44" s="630"/>
      <c r="W44"/>
      <c r="X44"/>
      <c r="Y44"/>
    </row>
    <row r="45" spans="1:25" ht="26" customHeight="1">
      <c r="A45" s="148"/>
      <c r="B45" s="148"/>
      <c r="C45" s="148"/>
      <c r="D45" s="148"/>
      <c r="E45" s="136" t="s">
        <v>194</v>
      </c>
      <c r="F45" s="136" t="s">
        <v>195</v>
      </c>
      <c r="G45" s="136" t="s">
        <v>196</v>
      </c>
      <c r="H45" s="137" t="s">
        <v>197</v>
      </c>
      <c r="I45" s="137" t="s">
        <v>198</v>
      </c>
      <c r="J45" s="137" t="s">
        <v>199</v>
      </c>
      <c r="K45" s="136" t="s">
        <v>200</v>
      </c>
      <c r="L45" s="136" t="s">
        <v>201</v>
      </c>
      <c r="M45" s="136" t="s">
        <v>202</v>
      </c>
      <c r="N45" s="138" t="s">
        <v>203</v>
      </c>
      <c r="O45" s="138" t="s">
        <v>204</v>
      </c>
      <c r="P45" s="138" t="s">
        <v>205</v>
      </c>
      <c r="Q45" s="139" t="s">
        <v>100</v>
      </c>
      <c r="R45" s="139" t="s">
        <v>101</v>
      </c>
      <c r="S45" s="139" t="s">
        <v>102</v>
      </c>
      <c r="T45" s="140" t="s">
        <v>207</v>
      </c>
      <c r="U45" s="140" t="s">
        <v>206</v>
      </c>
      <c r="V45" s="140" t="s">
        <v>208</v>
      </c>
      <c r="W45"/>
      <c r="X45"/>
      <c r="Y45"/>
    </row>
    <row r="46" spans="1:25" ht="18" customHeight="1">
      <c r="A46" s="148"/>
      <c r="B46" s="148"/>
      <c r="C46" s="148"/>
      <c r="D46" s="148"/>
      <c r="E46" s="136" t="s">
        <v>135</v>
      </c>
      <c r="F46" s="136" t="s">
        <v>136</v>
      </c>
      <c r="G46" s="136" t="s">
        <v>137</v>
      </c>
      <c r="H46" s="137" t="s">
        <v>138</v>
      </c>
      <c r="I46" s="137" t="s">
        <v>139</v>
      </c>
      <c r="J46" s="137" t="s">
        <v>140</v>
      </c>
      <c r="K46" s="136" t="s">
        <v>214</v>
      </c>
      <c r="L46" s="136" t="s">
        <v>215</v>
      </c>
      <c r="M46" s="136" t="s">
        <v>216</v>
      </c>
      <c r="N46" s="138" t="s">
        <v>217</v>
      </c>
      <c r="O46" s="138" t="s">
        <v>218</v>
      </c>
      <c r="P46" s="138" t="s">
        <v>219</v>
      </c>
      <c r="Q46" s="139" t="s">
        <v>220</v>
      </c>
      <c r="R46" s="139" t="s">
        <v>221</v>
      </c>
      <c r="S46" s="139" t="s">
        <v>222</v>
      </c>
      <c r="T46" s="140" t="s">
        <v>223</v>
      </c>
      <c r="U46" s="140" t="s">
        <v>224</v>
      </c>
      <c r="V46" s="140" t="s">
        <v>225</v>
      </c>
      <c r="W46"/>
      <c r="X46"/>
      <c r="Y46"/>
    </row>
    <row r="47" spans="1:25">
      <c r="A47" s="148"/>
      <c r="B47" s="148"/>
      <c r="C47" s="148"/>
      <c r="D47" s="148"/>
      <c r="E47" s="188">
        <f>J25</f>
        <v>0.31134577896931742</v>
      </c>
      <c r="F47" s="188">
        <f>J26</f>
        <v>0.27030317408049215</v>
      </c>
      <c r="G47" s="188">
        <f>J27</f>
        <v>0.2</v>
      </c>
      <c r="H47" s="189">
        <f>(F47^2 + G47^2)^0.5</f>
        <v>0.33624961846519447</v>
      </c>
      <c r="I47" s="189">
        <f>(E47^2 + G47^2)^0.5</f>
        <v>0.37004890768925541</v>
      </c>
      <c r="J47" s="189">
        <f>(E47^2 + F47^2)^0.5</f>
        <v>0.41231056256176596</v>
      </c>
      <c r="K47" s="188">
        <f>J29</f>
        <v>-0.16709303686715049</v>
      </c>
      <c r="L47" s="188">
        <f>J30</f>
        <v>0.94763170216938131</v>
      </c>
      <c r="M47" s="188">
        <f>J31</f>
        <v>0.27216552697590868</v>
      </c>
      <c r="N47" s="102">
        <f>(F47*M47) - (G47*L47)</f>
        <v>-0.11595913461699836</v>
      </c>
      <c r="O47" s="102">
        <f>(G47*K47) - (E47*M47)</f>
        <v>-0.11815619537833916</v>
      </c>
      <c r="P47" s="102">
        <f>(E47*L47) - (F47*K47)</f>
        <v>0.34020690871988568</v>
      </c>
      <c r="Q47" s="103">
        <f>(N47^2 + O47^2 + P47^2)^0.5</f>
        <v>0.37834924097736478</v>
      </c>
      <c r="R47" s="103">
        <f>Q47^2</f>
        <v>0.14314814814814805</v>
      </c>
      <c r="S47" s="103">
        <f>Q47^3</f>
        <v>5.4159993199167179E-2</v>
      </c>
      <c r="T47" s="102">
        <f>K47*H47</f>
        <v>-5.6184969894770023E-2</v>
      </c>
      <c r="U47" s="102">
        <f>L47*I47</f>
        <v>0.35067007627948937</v>
      </c>
      <c r="V47" s="102">
        <f>M47*J47</f>
        <v>0.1122167215373564</v>
      </c>
      <c r="W47"/>
      <c r="X47"/>
      <c r="Y47"/>
    </row>
    <row r="48" spans="1:25">
      <c r="A48" s="148"/>
      <c r="B48" s="148"/>
      <c r="C48" s="148"/>
      <c r="D48" s="148"/>
      <c r="E48" s="104"/>
      <c r="F48" s="104"/>
      <c r="G48" s="104"/>
      <c r="K48" s="104"/>
      <c r="L48" s="104"/>
      <c r="M48" s="104"/>
      <c r="W48"/>
      <c r="X48"/>
      <c r="Y48"/>
    </row>
    <row r="49" spans="1:36">
      <c r="A49" s="148"/>
      <c r="B49" s="148"/>
      <c r="C49" s="148"/>
      <c r="D49" s="148"/>
      <c r="E49" s="670" t="s">
        <v>133</v>
      </c>
      <c r="F49" s="670"/>
      <c r="G49" s="670"/>
      <c r="H49" s="670"/>
      <c r="I49" s="670"/>
      <c r="J49" s="670"/>
      <c r="K49" s="670"/>
      <c r="L49" s="670"/>
      <c r="M49" s="670"/>
      <c r="N49" s="670"/>
      <c r="O49" s="670"/>
      <c r="P49" s="670"/>
      <c r="Q49" s="670"/>
      <c r="R49" s="670"/>
      <c r="S49" s="670"/>
      <c r="T49" s="670"/>
      <c r="U49" s="670"/>
      <c r="V49" s="670"/>
      <c r="W49"/>
      <c r="X49"/>
      <c r="Y49"/>
    </row>
    <row r="50" spans="1:36">
      <c r="A50" s="148"/>
      <c r="B50" s="148"/>
      <c r="C50" s="148"/>
      <c r="D50" s="148"/>
      <c r="E50" s="670" t="s">
        <v>141</v>
      </c>
      <c r="F50" s="670"/>
      <c r="G50" s="670"/>
      <c r="H50" s="670"/>
      <c r="I50" s="670"/>
      <c r="J50" s="670"/>
      <c r="K50" s="670"/>
      <c r="L50" s="670"/>
      <c r="M50" s="670"/>
      <c r="N50" s="670"/>
      <c r="O50" s="670"/>
      <c r="P50" s="670"/>
      <c r="Q50" s="670"/>
      <c r="R50" s="670"/>
      <c r="S50" s="670"/>
      <c r="T50" s="670"/>
      <c r="U50" s="670"/>
      <c r="V50" s="670"/>
      <c r="W50"/>
      <c r="X50"/>
      <c r="Y50"/>
    </row>
    <row r="51" spans="1:36">
      <c r="A51" s="148"/>
      <c r="B51" s="148"/>
      <c r="C51" s="148"/>
      <c r="D51" s="148"/>
      <c r="E51" s="190">
        <f t="shared" ref="E51:V51" si="0">E$7 * (E47 - E$6) - 1</f>
        <v>0.62875399164949708</v>
      </c>
      <c r="F51" s="190">
        <f t="shared" si="0"/>
        <v>3.6115757956894479E-2</v>
      </c>
      <c r="G51" s="190">
        <f t="shared" si="0"/>
        <v>0.15353420048664801</v>
      </c>
      <c r="H51" s="190">
        <f t="shared" si="0"/>
        <v>0.25439111750981125</v>
      </c>
      <c r="I51" s="190">
        <f t="shared" si="0"/>
        <v>0.37698479810685281</v>
      </c>
      <c r="J51" s="190">
        <f t="shared" si="0"/>
        <v>0.46356288032320325</v>
      </c>
      <c r="K51" s="190">
        <f t="shared" si="0"/>
        <v>-0.16709303686715049</v>
      </c>
      <c r="L51" s="190">
        <f t="shared" si="0"/>
        <v>0.9476317021693812</v>
      </c>
      <c r="M51" s="190">
        <f t="shared" si="0"/>
        <v>0.27216552697590868</v>
      </c>
      <c r="N51" s="190">
        <f t="shared" si="0"/>
        <v>-0.25084771710192255</v>
      </c>
      <c r="O51" s="190">
        <f t="shared" si="0"/>
        <v>-0.21463548160013368</v>
      </c>
      <c r="P51" s="190">
        <f t="shared" si="0"/>
        <v>0.66759056781464543</v>
      </c>
      <c r="Q51" s="190">
        <f t="shared" si="0"/>
        <v>0.41353449505687934</v>
      </c>
      <c r="R51" s="190">
        <f t="shared" si="0"/>
        <v>-9.6011564214903977E-4</v>
      </c>
      <c r="S51" s="190">
        <f t="shared" si="0"/>
        <v>-0.29391133076127229</v>
      </c>
      <c r="T51" s="190">
        <f t="shared" si="0"/>
        <v>-0.11903595316688576</v>
      </c>
      <c r="U51" s="190">
        <f t="shared" si="0"/>
        <v>0.67479174125403851</v>
      </c>
      <c r="V51" s="190">
        <f t="shared" si="0"/>
        <v>0.20767704369048157</v>
      </c>
    </row>
    <row r="53" spans="1:36" ht="26" customHeight="1">
      <c r="E53" s="671" t="s">
        <v>131</v>
      </c>
      <c r="F53" s="672"/>
      <c r="G53" s="672"/>
      <c r="H53" s="672"/>
      <c r="I53" s="672"/>
      <c r="J53" s="672"/>
      <c r="K53" s="672"/>
      <c r="L53" s="672"/>
      <c r="M53" s="672"/>
      <c r="N53" s="672"/>
      <c r="O53" s="672"/>
      <c r="P53" s="672"/>
      <c r="Q53" s="673"/>
      <c r="R53" s="674" t="s">
        <v>132</v>
      </c>
      <c r="T53" s="683" t="s">
        <v>254</v>
      </c>
    </row>
    <row r="54" spans="1:36" ht="15" customHeight="1">
      <c r="E54" s="675" t="s">
        <v>134</v>
      </c>
      <c r="F54" s="676"/>
      <c r="G54" s="676"/>
      <c r="H54" s="676"/>
      <c r="I54" s="676"/>
      <c r="J54" s="676"/>
      <c r="K54" s="676"/>
      <c r="L54" s="676"/>
      <c r="M54" s="676"/>
      <c r="N54" s="676"/>
      <c r="O54" s="676"/>
      <c r="P54" s="676"/>
      <c r="Q54" s="677"/>
      <c r="R54" s="674"/>
      <c r="T54" s="684"/>
      <c r="U54" s="213" t="s">
        <v>193</v>
      </c>
      <c r="V54" s="213" t="s">
        <v>192</v>
      </c>
    </row>
    <row r="55" spans="1:36" ht="32">
      <c r="E55" s="191" t="s">
        <v>111</v>
      </c>
      <c r="F55" s="191" t="s">
        <v>112</v>
      </c>
      <c r="G55" s="191" t="s">
        <v>113</v>
      </c>
      <c r="H55" s="191" t="s">
        <v>114</v>
      </c>
      <c r="I55" s="191" t="s">
        <v>115</v>
      </c>
      <c r="J55" s="191" t="s">
        <v>116</v>
      </c>
      <c r="K55" s="191" t="s">
        <v>117</v>
      </c>
      <c r="L55" s="191" t="s">
        <v>118</v>
      </c>
      <c r="M55" s="191" t="s">
        <v>119</v>
      </c>
      <c r="N55" s="191" t="s">
        <v>120</v>
      </c>
      <c r="O55" s="191" t="s">
        <v>121</v>
      </c>
      <c r="P55" s="191" t="s">
        <v>122</v>
      </c>
      <c r="Q55" s="191" t="s">
        <v>175</v>
      </c>
      <c r="R55" s="105" t="s">
        <v>189</v>
      </c>
      <c r="T55" s="228">
        <f>(R56 + 1) / E$38 + E$39</f>
        <v>62.449415509308729</v>
      </c>
      <c r="U55" s="227">
        <f>'Min&amp;Max'!O6</f>
        <v>52.9</v>
      </c>
      <c r="V55" s="227">
        <f>'Min&amp;Max'!P6</f>
        <v>179.65909307150099</v>
      </c>
    </row>
    <row r="56" spans="1:36">
      <c r="E56" s="193">
        <f>TANH(E51*E$10 + F51*F$10 + G51*G$10 + H51*H$10 + I51*I$10 + J51*J$10 + K51*K$10 + L51*L$10 + M51*M$10 + N51*N$10 + O51*O$10 + P51*P$10 + Q51*Q$10 + R51*R$10 + S51*S$10 + T51*T$10 + U51*U$10 + V51*V$10 + D$10)</f>
        <v>0.40996658496479843</v>
      </c>
      <c r="F56" s="193">
        <f>TANH(E51*E$11 + F51*F$11 + G51*G$11 + H51*H$11 + I51*I$11 + J51*J$11 + K51*K$11 + L51*L$11 + M51*M$11 + N51*N$11 + O51*O$11 + P51*P$11 + Q51*Q$11 + R51*R$11 + S51*S$11 + T51*T$11 + U51*U$11 + V51*V$11 + D$11)</f>
        <v>-0.87112001542249973</v>
      </c>
      <c r="G56" s="193">
        <f>TANH(E51*E$12 + F51*F$12 + G51*G$12 + H51*H$12 + I51*I$12 + J51*J$12 + K51*K$12 + L51*L$12 + M51*M$12 + N51*N$12 + O51*O$12 + P51*P$12 + Q51*Q$12 + R51*R$12 + S51*S$12 + T51*T$12 + U51*U$12 + V51*V$12 + D$12)</f>
        <v>-0.48169387067197189</v>
      </c>
      <c r="H56" s="193">
        <f>TANH(E51*E$13 + F51*F$13 + G51*G$13 + H51*H$13 + I51*I$13 + J51*J$13 + K51*K$13 + L51*L$13 + M51*M$13 + N51*N$13 + O51*O$13 + P51*P$13 + Q51*Q$13 + R51*R$13 + S51*S$13 + T51*T$13 + U51*U$13 + V51*V$13 + D$13)</f>
        <v>0.54910408241054376</v>
      </c>
      <c r="I56" s="193">
        <f>TANH(E51*E$14 + F51*F$14 + G51*G$14 + H51*H$14 + I51*I$14 + J51*J$14 + K51*K$14 + L51*L$14 + M51*M$14 + N51*N$14 + O51*O$14 + P51*P$14 + Q51*Q$14 + R51*R$14 + S51*S$14 + T51*T$14 + U51*U$14 + V51*V$14 + D$14)</f>
        <v>-0.70604463972558129</v>
      </c>
      <c r="J56" s="193">
        <f>TANH(E51*E$15 + F51*F$15 + G51*G$15 + H51*H$15 +  I51*I$15 + J51*J$15 + K51*K$15 + L51*L$15 + M51*M$15 + N51*N$15 + O51*O$15 + P51*P$15 + Q51*Q$15 + R51*R$15 + S51*S$15 + T51*T$15 + U51*U$15 + V51*V$15 + D$15)</f>
        <v>0.68338569451834663</v>
      </c>
      <c r="K56" s="193">
        <f>TANH(E51*E$16 + F51*F$16 + G51*G$16 + H51*H$16 + I51*I$16 + J51*J$16 + K51*K$16 + L51*L$16 + M51*M$16 + N51*N$16 + O51*O$16 + P51*P$16 + Q51*Q$16 + R51*R$16 + S51*S$16 + T51*T$16 + U51*U$16 + V51*V$16 + D$16)</f>
        <v>-3.0386376900662333E-2</v>
      </c>
      <c r="L56" s="193">
        <f>TANH(E51*E$17 + F51*F$17 + G51*G$17 + H51*H$17 + I51*I$17 + J51*J$17 + K51*K$17 + L51*L$17 + M51*M$17 + N51*N$17 + O51*O$17 + P51*P$17 + Q51*Q$17 + R51*R$17 + S51*S$17 + T51*T$17 + U51*U$17 + V51*V$17 + D$17)</f>
        <v>0.78395789586454967</v>
      </c>
      <c r="M56" s="193">
        <f>TANH(E51*E$18 + F51*F$18 + G51*G$18 + H51*H$18 + I51*I$18 + J51*J$18 + K51*K$18 + L51*L$18 + M51*M$18 + N51*N$18 + O51*O$18 + P51*P$18 + Q51*Q$18 + R51*R$18 + S51*S$18 + T51*T$18 + U51*U$18 + V51*V$18 + D$18)</f>
        <v>-0.99027112250065796</v>
      </c>
      <c r="N56" s="193">
        <f>TANH(E51*E$19 + F51*F$19 + G51*G$19 + H51*H$19 + I51*I$19 + J51*J$19 + K51*K$19 + L51*L$19 + M51*M$19 + N51*N$19 + O51*O$19 + P51*P$19 + Q51*Q$19 + R51*R$19 + S51*S$19 + T51*T$19 + U51*U$19 + V51*V$19 + D$19)</f>
        <v>-1.6742377710667927E-2</v>
      </c>
      <c r="O56" s="193">
        <f>TANH(E51*E$20 + F51*F$20 + G51*G$20 + H51*H$20 + I51*I$20 + J51*J$20 + K51*K$20 + L51*L$20 + M51*M$20 + N51*N$20 + O51*O$20 + P51*P$20 + Q51*Q$20 + R51*R$20 + S51*S$20 + T51*T$20 + U51*U$20 + V51*V$20 + D$20)</f>
        <v>-0.83405389807177555</v>
      </c>
      <c r="P56" s="193">
        <f>TANH(E51*E$21 + F51*F$21 + G51*G$21 + H51*H$21 + I51*I$21 + J51*J$21 + K51*K$21 + L51*L$21 + M51*M$21 + N51*N$21 + O51*O$21 + P51*P$21 + Q51*Q$21 + R51*R$21 + S51*S$21 + T51*T$21 + U51*U$21 + V51*V$21 + D$21)</f>
        <v>-0.74325816069005157</v>
      </c>
      <c r="Q56" s="193">
        <f>TANH(E51*E$22 + F51*F$22 + G51*G$22 + H51*H$22 + I51*I$22 + J51*J$22 + K51*K$22 + L51*L$22 + M51*M$22 + N51*N$22 + O51*O$22 + P51*P$22 + Q51*Q$22 + R51*R$22 + S51*S$22 + T51*T$22 + U51*U$22 + V51*V$22 + D$22)</f>
        <v>0.89035785530410094</v>
      </c>
      <c r="R56" s="107">
        <f>E56*E$24 + F56*E$25 + G56*E$26 + H56*E$27 + I56*E$28 + J56*E$29 + K56*E$30 + L56*E$31 + M56*E$32 + N56*E$33 + O56*E$34 + P56*E$35 +Q56*E$36 + D$24</f>
        <v>-0.79655233714919338</v>
      </c>
      <c r="T56" s="2"/>
      <c r="U56" s="2"/>
      <c r="V56" s="2"/>
      <c r="W56" s="2"/>
    </row>
    <row r="57" spans="1:36">
      <c r="T57" s="230" t="s">
        <v>253</v>
      </c>
      <c r="U57" s="265" t="s">
        <v>339</v>
      </c>
      <c r="W57" s="263" t="s">
        <v>281</v>
      </c>
      <c r="X57" s="265" t="s">
        <v>339</v>
      </c>
    </row>
    <row r="58" spans="1:36" ht="18">
      <c r="J58" s="2"/>
      <c r="K58" s="2"/>
      <c r="L58" s="2"/>
      <c r="M58" s="2"/>
      <c r="N58" s="2"/>
      <c r="O58" s="2"/>
      <c r="P58" s="2"/>
      <c r="Q58" s="2"/>
      <c r="T58" s="229">
        <f>IF(T55&lt;U55,U55,IF(T55&gt;V55,V55,T55))</f>
        <v>62.449415509308729</v>
      </c>
      <c r="U58" s="266">
        <f>T58*'Input Data'!H33/100</f>
        <v>0.45924292730681765</v>
      </c>
      <c r="W58" s="229">
        <f>T58*1.66</f>
        <v>103.66602974545249</v>
      </c>
      <c r="X58" s="266">
        <f>U58*1.66</f>
        <v>0.76234325932931724</v>
      </c>
    </row>
    <row r="59" spans="1:36" ht="16">
      <c r="E59" s="180"/>
      <c r="F59" s="180"/>
      <c r="G59" s="180"/>
      <c r="H59" s="180"/>
      <c r="I59" s="180"/>
      <c r="J59" s="2"/>
      <c r="K59" s="2"/>
      <c r="L59" s="2"/>
      <c r="M59" s="2"/>
      <c r="N59" s="3" t="s">
        <v>57</v>
      </c>
      <c r="O59" s="3" t="s">
        <v>212</v>
      </c>
      <c r="P59" s="3" t="s">
        <v>213</v>
      </c>
      <c r="Q59" s="2"/>
      <c r="R59" s="180"/>
      <c r="S59" s="180"/>
    </row>
    <row r="60" spans="1:36" ht="16">
      <c r="E60" s="180"/>
      <c r="F60" s="180"/>
      <c r="G60" s="180"/>
      <c r="H60" s="180"/>
      <c r="I60" s="180"/>
      <c r="J60" s="678" t="s">
        <v>58</v>
      </c>
      <c r="K60" s="679"/>
      <c r="L60" s="679"/>
      <c r="M60" s="680"/>
      <c r="N60" s="117">
        <f>'Rt - Gravity correction'!B47</f>
        <v>12.480341171987234</v>
      </c>
      <c r="O60" s="117">
        <f>'Rt - Gravity correction'!C47</f>
        <v>-12.261842754174888</v>
      </c>
      <c r="P60" s="117">
        <f>'Rt - Gravity correction'!D47</f>
        <v>2.2209857575113086</v>
      </c>
      <c r="Q60" s="52">
        <f>(N60^2+O60^2+P60^2)^0.5</f>
        <v>17.6364531930992</v>
      </c>
      <c r="R60" s="180"/>
      <c r="S60" s="53" t="s">
        <v>151</v>
      </c>
      <c r="T60" s="194">
        <f>(100 - 'Input Data'!D3)/100</f>
        <v>0.25</v>
      </c>
      <c r="V60" s="2"/>
      <c r="W60" s="308">
        <f>T60</f>
        <v>0.25</v>
      </c>
    </row>
    <row r="61" spans="1:36" ht="16">
      <c r="E61" s="180"/>
      <c r="F61" s="180"/>
      <c r="G61" s="180"/>
      <c r="H61" s="180"/>
      <c r="I61" s="180"/>
      <c r="J61" s="667" t="s">
        <v>154</v>
      </c>
      <c r="K61" s="668"/>
      <c r="L61" s="668"/>
      <c r="M61" s="669"/>
      <c r="N61" s="121">
        <f>L47</f>
        <v>0.94763170216938131</v>
      </c>
      <c r="O61" s="121">
        <f>K47</f>
        <v>-0.16709303686715049</v>
      </c>
      <c r="P61" s="121">
        <f>M47</f>
        <v>0.27216552697590868</v>
      </c>
      <c r="Q61" s="50">
        <f>N60*N61+O60*O61+P60*P61</f>
        <v>14.480111250946473</v>
      </c>
      <c r="R61" s="180"/>
      <c r="S61" s="53" t="s">
        <v>152</v>
      </c>
      <c r="T61" s="118">
        <v>0.27600000000000002</v>
      </c>
      <c r="V61" s="2"/>
      <c r="W61" s="118"/>
      <c r="AJ61" s="469"/>
    </row>
    <row r="62" spans="1:36">
      <c r="S62" s="53" t="s">
        <v>153</v>
      </c>
      <c r="T62" s="116">
        <f>T58*T61</f>
        <v>17.236038680569212</v>
      </c>
      <c r="U62" s="266">
        <f>T61*U58</f>
        <v>0.12675104793668168</v>
      </c>
      <c r="V62" s="2"/>
      <c r="W62" s="116">
        <f>T62*1.66</f>
        <v>28.611824209744892</v>
      </c>
      <c r="X62" s="267">
        <f>U62*1.66</f>
        <v>0.21040673957489159</v>
      </c>
      <c r="AJ62" s="469"/>
    </row>
    <row r="63" spans="1:36">
      <c r="T63" s="2"/>
      <c r="U63" s="2"/>
      <c r="V63" s="2"/>
      <c r="W63" s="2"/>
      <c r="AJ63" s="469"/>
    </row>
    <row r="64" spans="1:36" ht="18">
      <c r="M64" s="463" t="s">
        <v>452</v>
      </c>
      <c r="N64" s="464">
        <f>(N47^2+O47^2+P47^2)^0.5</f>
        <v>0.37834924097736478</v>
      </c>
      <c r="R64" s="196" t="s">
        <v>155</v>
      </c>
      <c r="T64" s="106">
        <f>_xlfn.NORM.INV(T60,T58,T62)</f>
        <v>50.823884085281591</v>
      </c>
      <c r="V64" s="2"/>
      <c r="W64" s="106">
        <f>_xlfn.NORM.INV(W60,W58,W62)</f>
        <v>84.367647581567454</v>
      </c>
      <c r="AJ64" s="469"/>
    </row>
    <row r="65" spans="13:36">
      <c r="T65" s="2"/>
      <c r="U65" s="2"/>
      <c r="V65" s="2"/>
      <c r="W65" s="2"/>
      <c r="AJ65" s="469"/>
    </row>
    <row r="66" spans="13:36" ht="18">
      <c r="M66" s="463" t="s">
        <v>453</v>
      </c>
      <c r="N66" s="467">
        <f>'Input Data'!H25*'Rt - ANN 13 nodes'!N64</f>
        <v>18.917462048868238</v>
      </c>
      <c r="T66" s="119">
        <f>T64+Q61</f>
        <v>65.30399533622807</v>
      </c>
      <c r="U66" s="120">
        <f>T60</f>
        <v>0.25</v>
      </c>
      <c r="V66" s="195" t="s">
        <v>188</v>
      </c>
      <c r="W66" s="119">
        <f>W64+Q61</f>
        <v>98.847758832513932</v>
      </c>
      <c r="AJ66" s="469"/>
    </row>
    <row r="67" spans="13:36">
      <c r="AJ67" s="469"/>
    </row>
    <row r="68" spans="13:36" ht="18">
      <c r="T68" s="200">
        <f>'Input Data'!H25</f>
        <v>50</v>
      </c>
      <c r="U68" s="201" t="s">
        <v>178</v>
      </c>
      <c r="W68" s="200">
        <f>T68</f>
        <v>50</v>
      </c>
      <c r="AJ68" s="469"/>
    </row>
    <row r="69" spans="13:36">
      <c r="T69" s="202">
        <f>T68-Q61</f>
        <v>35.519888749053528</v>
      </c>
      <c r="U69" s="203" t="s">
        <v>190</v>
      </c>
      <c r="W69" s="202">
        <f>T69</f>
        <v>35.519888749053528</v>
      </c>
      <c r="AJ69" s="469"/>
    </row>
    <row r="70" spans="13:36">
      <c r="AJ70" s="469"/>
    </row>
    <row r="71" spans="13:36" ht="18">
      <c r="Q71" s="199" t="s">
        <v>338</v>
      </c>
      <c r="S71" s="204" t="s">
        <v>365</v>
      </c>
      <c r="T71" s="268">
        <f>1-_xlfn.NORM.DIST(T69,T58,T62, 1)</f>
        <v>0.94090269616181732</v>
      </c>
      <c r="U71" s="269">
        <f>1-_xlfn.NORM.DIST(T69,U58,U62, 1)</f>
        <v>0</v>
      </c>
      <c r="V71" s="270"/>
      <c r="W71" s="268">
        <f>1-_xlfn.NORM.DIST(W69,W58,W62, 1)</f>
        <v>0.99138464637855417</v>
      </c>
      <c r="X71" s="269">
        <f>1-_xlfn.NORM.DIST(W69,X58,X62, 1)</f>
        <v>0</v>
      </c>
      <c r="AJ71" s="469"/>
    </row>
    <row r="72" spans="13:36">
      <c r="AJ72" s="469"/>
    </row>
    <row r="73" spans="13:36">
      <c r="R73" s="199"/>
    </row>
    <row r="74" spans="13:36" ht="18">
      <c r="Q74" s="199" t="s">
        <v>366</v>
      </c>
      <c r="S74" s="276" t="s">
        <v>344</v>
      </c>
      <c r="T74" s="300">
        <f>'Input Data'!H33</f>
        <v>0.73538386798570232</v>
      </c>
      <c r="U74" s="301"/>
      <c r="V74" s="301"/>
      <c r="W74" s="302">
        <f>T74</f>
        <v>0.73538386798570232</v>
      </c>
    </row>
    <row r="75" spans="13:36" ht="18">
      <c r="S75" s="276" t="s">
        <v>345</v>
      </c>
      <c r="T75" s="303">
        <f>T58*T74</f>
        <v>45.924292730681763</v>
      </c>
      <c r="U75" s="304"/>
      <c r="V75" s="304"/>
      <c r="W75" s="303">
        <f>W58*W74</f>
        <v>76.234325932931725</v>
      </c>
    </row>
    <row r="76" spans="13:36" ht="18">
      <c r="S76" s="276" t="s">
        <v>284</v>
      </c>
      <c r="T76" s="303">
        <f>T75*T61</f>
        <v>12.675104793668167</v>
      </c>
      <c r="U76" s="304"/>
      <c r="V76" s="304"/>
      <c r="W76" s="303">
        <f>W75*T61</f>
        <v>21.040673957489158</v>
      </c>
    </row>
    <row r="77" spans="13:36" ht="18">
      <c r="S77" s="299" t="s">
        <v>346</v>
      </c>
      <c r="T77" s="305">
        <f>T64*T74+Q61</f>
        <v>51.855175715637827</v>
      </c>
      <c r="U77" s="336"/>
      <c r="V77" s="304"/>
      <c r="W77" s="305">
        <f>W64*W74+Q61</f>
        <v>76.522718262334138</v>
      </c>
    </row>
    <row r="78" spans="13:36" ht="18">
      <c r="S78" s="204" t="s">
        <v>191</v>
      </c>
      <c r="T78" s="268">
        <f>1-_xlfn.NORM.DIST(T69,T75,T76, 1)</f>
        <v>0.79413513640880518</v>
      </c>
      <c r="U78" s="306"/>
      <c r="V78" s="306"/>
      <c r="W78" s="268">
        <f>1-_xlfn.NORM.DIST(W69,W75,W76, 1)</f>
        <v>0.97350698980920047</v>
      </c>
    </row>
    <row r="81" spans="18:23" ht="18">
      <c r="R81" s="337"/>
      <c r="S81" s="337"/>
      <c r="T81" s="343">
        <f>('Input Data'!H25 - 'Rt - ANN 13 nodes'!Q61)/'Rt - ANN 13 nodes'!T64</f>
        <v>0.69888182275584787</v>
      </c>
      <c r="U81" s="338"/>
      <c r="V81" s="337"/>
      <c r="W81" s="343">
        <f>('Input Data'!H25 - 'Rt - ANN 13 nodes'!Q61) / 'Rt - ANN 13 nodes'!W64</f>
        <v>0.42101314623846253</v>
      </c>
    </row>
    <row r="82" spans="18:23" ht="18">
      <c r="R82" s="337"/>
      <c r="S82" s="347">
        <v>0</v>
      </c>
      <c r="T82" s="343">
        <f>IF(T81&lt;S82,0,T81)</f>
        <v>0.69888182275584787</v>
      </c>
      <c r="U82" s="337"/>
      <c r="V82" s="337"/>
      <c r="W82" s="343">
        <f>IF(W81&lt;S82,0,W81)</f>
        <v>0.42101314623846253</v>
      </c>
    </row>
    <row r="83" spans="18:23" ht="18">
      <c r="R83" s="337"/>
      <c r="S83" s="347">
        <v>1</v>
      </c>
      <c r="T83" s="344">
        <f>IF(T82&gt;S83,1,T82)</f>
        <v>0.69888182275584787</v>
      </c>
      <c r="U83" s="339"/>
      <c r="V83" s="339"/>
      <c r="W83" s="344">
        <f>IF(W82&gt;S83,1,W82)</f>
        <v>0.42101314623846253</v>
      </c>
    </row>
    <row r="84" spans="18:23" ht="18">
      <c r="R84" s="337"/>
      <c r="S84" s="276" t="s">
        <v>282</v>
      </c>
      <c r="T84" s="348">
        <f>IF('Input Data'!D4="Female",'Rt - ANN 13 nodes'!T82,'Rt - ANN 13 nodes'!W82)</f>
        <v>0.69888182275584787</v>
      </c>
      <c r="U84" s="337"/>
      <c r="V84" s="337"/>
      <c r="W84" s="337"/>
    </row>
    <row r="85" spans="18:23" ht="18">
      <c r="R85" s="337"/>
      <c r="S85" s="337"/>
      <c r="T85" s="337"/>
      <c r="U85" s="337"/>
      <c r="V85" s="337"/>
      <c r="W85" s="337"/>
    </row>
    <row r="86" spans="18:23" ht="18">
      <c r="R86" s="337"/>
      <c r="S86" s="337"/>
      <c r="T86" s="337"/>
      <c r="U86" s="337"/>
      <c r="V86" s="337"/>
      <c r="W86" s="337"/>
    </row>
    <row r="87" spans="18:23" ht="18">
      <c r="R87" s="337"/>
      <c r="S87" s="340" t="s">
        <v>363</v>
      </c>
      <c r="T87" s="341">
        <f>T64*T74</f>
        <v>37.375064464691356</v>
      </c>
      <c r="U87" s="337"/>
      <c r="V87" s="337"/>
      <c r="W87" s="337"/>
    </row>
    <row r="88" spans="18:23" ht="18">
      <c r="R88" s="337"/>
      <c r="S88" s="337"/>
      <c r="T88" s="337"/>
      <c r="U88" s="337"/>
      <c r="V88" s="337"/>
      <c r="W88" s="337"/>
    </row>
    <row r="89" spans="18:23" ht="18">
      <c r="R89" s="276"/>
      <c r="S89" s="340" t="s">
        <v>451</v>
      </c>
      <c r="T89" s="342">
        <f>(T68-Q61)/T87</f>
        <v>0.95036327716864721</v>
      </c>
      <c r="U89" s="337"/>
      <c r="V89" s="337"/>
      <c r="W89" s="337"/>
    </row>
  </sheetData>
  <sheetProtection selectLockedCells="1" selectUnlockedCells="1"/>
  <mergeCells count="40">
    <mergeCell ref="A1:V1"/>
    <mergeCell ref="E53:Q53"/>
    <mergeCell ref="E54:Q54"/>
    <mergeCell ref="J60:M60"/>
    <mergeCell ref="J61:M61"/>
    <mergeCell ref="E49:V49"/>
    <mergeCell ref="E50:V50"/>
    <mergeCell ref="R53:R54"/>
    <mergeCell ref="E44:G44"/>
    <mergeCell ref="H44:J44"/>
    <mergeCell ref="K44:M44"/>
    <mergeCell ref="N44:P44"/>
    <mergeCell ref="Q44:S44"/>
    <mergeCell ref="T44:V44"/>
    <mergeCell ref="A37:A39"/>
    <mergeCell ref="E42:V42"/>
    <mergeCell ref="A6:A8"/>
    <mergeCell ref="A9:A22"/>
    <mergeCell ref="E9:V9"/>
    <mergeCell ref="B10:B22"/>
    <mergeCell ref="A23:A36"/>
    <mergeCell ref="B24:B36"/>
    <mergeCell ref="H25:H27"/>
    <mergeCell ref="H29:H31"/>
    <mergeCell ref="T53:T54"/>
    <mergeCell ref="E2:V2"/>
    <mergeCell ref="E3:G3"/>
    <mergeCell ref="H3:J3"/>
    <mergeCell ref="K3:M3"/>
    <mergeCell ref="N3:V3"/>
    <mergeCell ref="E43:G43"/>
    <mergeCell ref="H43:J43"/>
    <mergeCell ref="K43:M43"/>
    <mergeCell ref="N43:V43"/>
    <mergeCell ref="T4:V4"/>
    <mergeCell ref="E4:G4"/>
    <mergeCell ref="H4:J4"/>
    <mergeCell ref="K4:M4"/>
    <mergeCell ref="N4:P4"/>
    <mergeCell ref="Q4:S4"/>
  </mergeCells>
  <conditionalFormatting sqref="H47:J47">
    <cfRule type="cellIs" dxfId="12" priority="1" operator="equal">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V80"/>
  <sheetViews>
    <sheetView showGridLines="0" zoomScale="125" zoomScaleNormal="125" zoomScalePageLayoutView="125" workbookViewId="0">
      <selection activeCell="N6" sqref="N6"/>
    </sheetView>
  </sheetViews>
  <sheetFormatPr baseColWidth="10" defaultRowHeight="14"/>
  <cols>
    <col min="1" max="1" width="3" style="197" bestFit="1" customWidth="1"/>
    <col min="2" max="2" width="5.5" bestFit="1" customWidth="1"/>
    <col min="3" max="3" width="3.6640625" style="197" customWidth="1"/>
    <col min="4" max="4" width="4.83203125" style="197" bestFit="1" customWidth="1"/>
    <col min="5" max="5" width="5.33203125" style="197" bestFit="1" customWidth="1"/>
    <col min="6" max="6" width="4.5" style="197" bestFit="1" customWidth="1"/>
    <col min="7" max="9" width="4.5" customWidth="1"/>
    <col min="10" max="11" width="5.5" customWidth="1"/>
    <col min="12" max="12" width="5.83203125" customWidth="1"/>
    <col min="13" max="13" width="4.6640625" bestFit="1" customWidth="1"/>
    <col min="14" max="14" width="5" bestFit="1" customWidth="1"/>
    <col min="15" max="16" width="5.6640625" customWidth="1"/>
    <col min="17" max="17" width="5.1640625" customWidth="1"/>
    <col min="18" max="18" width="5.1640625" bestFit="1" customWidth="1"/>
    <col min="19" max="20" width="4.6640625" bestFit="1" customWidth="1"/>
    <col min="21" max="21" width="9" bestFit="1" customWidth="1"/>
    <col min="22" max="22" width="9.5" bestFit="1" customWidth="1"/>
    <col min="23" max="23" width="9.1640625" bestFit="1" customWidth="1"/>
    <col min="24" max="24" width="9" bestFit="1" customWidth="1"/>
    <col min="25" max="25" width="9.5" bestFit="1" customWidth="1"/>
    <col min="26" max="26" width="9.1640625" bestFit="1" customWidth="1"/>
    <col min="28" max="28" width="5" bestFit="1" customWidth="1"/>
    <col min="29" max="32" width="2.5" bestFit="1" customWidth="1"/>
    <col min="33" max="33" width="4.33203125" bestFit="1" customWidth="1"/>
    <col min="34" max="34" width="3.83203125" bestFit="1" customWidth="1"/>
    <col min="35" max="35" width="4.1640625" bestFit="1" customWidth="1"/>
    <col min="36" max="37" width="5.5" customWidth="1"/>
    <col min="39" max="39" width="5" bestFit="1" customWidth="1"/>
    <col min="40" max="43" width="2.5" bestFit="1" customWidth="1"/>
    <col min="44" max="44" width="4.33203125" bestFit="1" customWidth="1"/>
    <col min="45" max="45" width="3.83203125" bestFit="1" customWidth="1"/>
    <col min="46" max="46" width="4.1640625" bestFit="1" customWidth="1"/>
    <col min="47" max="48" width="5.5" customWidth="1"/>
  </cols>
  <sheetData>
    <row r="1" spans="1:48">
      <c r="B1" s="691" t="s">
        <v>241</v>
      </c>
      <c r="C1" s="691"/>
      <c r="D1" s="691"/>
      <c r="E1" s="691"/>
      <c r="F1" s="691"/>
      <c r="G1" s="691"/>
      <c r="H1" s="691"/>
      <c r="I1" s="691"/>
      <c r="J1" s="691"/>
      <c r="K1" s="691"/>
      <c r="U1" s="692" t="s">
        <v>251</v>
      </c>
      <c r="V1" s="692"/>
      <c r="W1" s="692"/>
      <c r="X1" s="692" t="s">
        <v>250</v>
      </c>
      <c r="Y1" s="692"/>
      <c r="Z1" s="692"/>
    </row>
    <row r="2" spans="1:48">
      <c r="B2" s="205" t="s">
        <v>233</v>
      </c>
      <c r="C2" s="205" t="s">
        <v>249</v>
      </c>
      <c r="D2" s="3" t="s">
        <v>229</v>
      </c>
      <c r="E2" s="3" t="s">
        <v>230</v>
      </c>
      <c r="F2" s="3" t="s">
        <v>231</v>
      </c>
      <c r="G2" s="3"/>
      <c r="H2" s="3"/>
      <c r="I2" s="3"/>
      <c r="J2" s="205" t="s">
        <v>193</v>
      </c>
      <c r="K2" s="205" t="s">
        <v>192</v>
      </c>
      <c r="R2" s="96"/>
      <c r="S2" s="96"/>
      <c r="T2" s="96"/>
      <c r="U2" s="214" t="s">
        <v>242</v>
      </c>
      <c r="V2" s="217" t="s">
        <v>248</v>
      </c>
      <c r="W2" s="214" t="s">
        <v>243</v>
      </c>
      <c r="X2" s="214" t="s">
        <v>242</v>
      </c>
      <c r="Y2" s="217" t="s">
        <v>248</v>
      </c>
      <c r="Z2" s="214" t="s">
        <v>243</v>
      </c>
      <c r="AG2" s="1"/>
      <c r="AH2" s="1"/>
      <c r="AI2" s="1"/>
      <c r="AJ2" s="216" t="s">
        <v>193</v>
      </c>
      <c r="AK2" s="216" t="s">
        <v>192</v>
      </c>
      <c r="AM2" s="691" t="s">
        <v>252</v>
      </c>
      <c r="AN2" s="691"/>
      <c r="AO2" s="691"/>
      <c r="AP2" s="691"/>
      <c r="AQ2" s="691"/>
      <c r="AR2" s="691"/>
      <c r="AS2" s="691"/>
      <c r="AT2" s="691"/>
      <c r="AU2" s="691"/>
      <c r="AV2" s="691"/>
    </row>
    <row r="3" spans="1:48">
      <c r="A3" s="239">
        <v>1</v>
      </c>
      <c r="B3" s="198">
        <v>1111</v>
      </c>
      <c r="C3" s="205">
        <v>-1</v>
      </c>
      <c r="D3" s="205">
        <v>-1</v>
      </c>
      <c r="E3" s="205">
        <v>-1</v>
      </c>
      <c r="F3" s="205">
        <v>-1</v>
      </c>
      <c r="G3" s="210" t="s">
        <v>235</v>
      </c>
      <c r="H3" s="210" t="s">
        <v>237</v>
      </c>
      <c r="I3" s="210" t="s">
        <v>239</v>
      </c>
      <c r="J3" s="221">
        <v>51.3</v>
      </c>
      <c r="K3" s="223">
        <v>223.20260944180501</v>
      </c>
      <c r="R3" s="698" t="s">
        <v>244</v>
      </c>
      <c r="S3" s="693" t="s">
        <v>245</v>
      </c>
      <c r="T3" s="219" t="s">
        <v>72</v>
      </c>
      <c r="U3" s="221">
        <v>51.3</v>
      </c>
      <c r="V3" s="218">
        <v>47.772590069269953</v>
      </c>
      <c r="W3" s="221">
        <v>44.245180138539901</v>
      </c>
      <c r="X3" s="221">
        <v>223.20260944180501</v>
      </c>
      <c r="Y3" s="218">
        <v>220.45741414966051</v>
      </c>
      <c r="Z3" s="221">
        <v>217.71221885751601</v>
      </c>
      <c r="AB3" s="198">
        <f>(AD3+2)*100+(AE3+2)*10+(AF3+2)+(AC3+2)*1000</f>
        <v>1111</v>
      </c>
      <c r="AC3" s="205">
        <v>-1</v>
      </c>
      <c r="AD3" s="205">
        <v>-1</v>
      </c>
      <c r="AE3" s="205">
        <v>-1</v>
      </c>
      <c r="AF3" s="205">
        <v>-1</v>
      </c>
      <c r="AG3" s="210" t="s">
        <v>235</v>
      </c>
      <c r="AH3" s="210" t="s">
        <v>237</v>
      </c>
      <c r="AI3" s="210" t="s">
        <v>239</v>
      </c>
      <c r="AJ3" s="221">
        <f t="shared" ref="AJ3:AJ16" si="0">U3</f>
        <v>51.3</v>
      </c>
      <c r="AK3" s="223">
        <f t="shared" ref="AK3:AK16" si="1">X3</f>
        <v>223.20260944180501</v>
      </c>
      <c r="AM3" s="198">
        <v>1111</v>
      </c>
      <c r="AN3" s="205">
        <v>-1</v>
      </c>
      <c r="AO3" s="205">
        <v>-1</v>
      </c>
      <c r="AP3" s="205">
        <v>-1</v>
      </c>
      <c r="AQ3" s="205">
        <v>-1</v>
      </c>
      <c r="AR3" s="210" t="s">
        <v>235</v>
      </c>
      <c r="AS3" s="210" t="s">
        <v>237</v>
      </c>
      <c r="AT3" s="210" t="s">
        <v>239</v>
      </c>
      <c r="AU3" s="221">
        <v>51.3</v>
      </c>
      <c r="AV3" s="223">
        <v>223.20260944180501</v>
      </c>
    </row>
    <row r="4" spans="1:48">
      <c r="A4" s="239">
        <v>2</v>
      </c>
      <c r="B4" s="198">
        <v>1112</v>
      </c>
      <c r="C4" s="205">
        <v>-1</v>
      </c>
      <c r="D4" s="205">
        <v>-1</v>
      </c>
      <c r="E4" s="205">
        <v>-1</v>
      </c>
      <c r="F4" s="205">
        <v>0</v>
      </c>
      <c r="G4" s="210" t="s">
        <v>235</v>
      </c>
      <c r="H4" s="210" t="s">
        <v>237</v>
      </c>
      <c r="I4" s="222"/>
      <c r="J4" s="226">
        <v>49.870981818063797</v>
      </c>
      <c r="K4" s="226">
        <v>223.20260944180501</v>
      </c>
      <c r="O4" s="205" t="s">
        <v>193</v>
      </c>
      <c r="P4" s="205" t="s">
        <v>192</v>
      </c>
      <c r="Q4" s="197"/>
      <c r="R4" s="698"/>
      <c r="S4" s="694"/>
      <c r="T4" s="220" t="s">
        <v>71</v>
      </c>
      <c r="U4" s="221">
        <v>49.870981818063797</v>
      </c>
      <c r="V4" s="218">
        <v>47.058080978301845</v>
      </c>
      <c r="W4" s="221">
        <v>44.245180138539901</v>
      </c>
      <c r="X4" s="221">
        <v>223.20260944180501</v>
      </c>
      <c r="Y4" s="218">
        <v>220.45741414966051</v>
      </c>
      <c r="Z4" s="221">
        <v>217.71221885751601</v>
      </c>
      <c r="AB4" s="198">
        <f t="shared" ref="AB4:AB67" si="2">(AD4+2)*100+(AE4+2)*10+(AF4+2)+(AC4+2)*1000</f>
        <v>1113</v>
      </c>
      <c r="AC4" s="205">
        <v>-1</v>
      </c>
      <c r="AD4" s="205">
        <v>-1</v>
      </c>
      <c r="AE4" s="205">
        <v>-1</v>
      </c>
      <c r="AF4" s="205">
        <v>1</v>
      </c>
      <c r="AG4" s="210" t="s">
        <v>235</v>
      </c>
      <c r="AH4" s="210" t="s">
        <v>237</v>
      </c>
      <c r="AI4" s="211" t="s">
        <v>240</v>
      </c>
      <c r="AJ4" s="221">
        <f t="shared" si="0"/>
        <v>49.870981818063797</v>
      </c>
      <c r="AK4" s="223">
        <f t="shared" si="1"/>
        <v>223.20260944180501</v>
      </c>
      <c r="AM4" s="198">
        <v>1112</v>
      </c>
      <c r="AN4" s="205">
        <v>-1</v>
      </c>
      <c r="AO4" s="205">
        <v>-1</v>
      </c>
      <c r="AP4" s="205">
        <v>-1</v>
      </c>
      <c r="AQ4" s="205">
        <v>0</v>
      </c>
      <c r="AR4" s="210" t="s">
        <v>235</v>
      </c>
      <c r="AS4" s="210" t="s">
        <v>237</v>
      </c>
      <c r="AT4" s="222"/>
      <c r="AU4" s="226">
        <v>49.870981818063797</v>
      </c>
      <c r="AV4" s="226">
        <v>223.20260944180501</v>
      </c>
    </row>
    <row r="5" spans="1:48">
      <c r="A5" s="239">
        <v>3</v>
      </c>
      <c r="B5" s="198">
        <v>1113</v>
      </c>
      <c r="C5" s="205">
        <v>-1</v>
      </c>
      <c r="D5" s="205">
        <v>-1</v>
      </c>
      <c r="E5" s="205">
        <v>-1</v>
      </c>
      <c r="F5" s="205">
        <v>1</v>
      </c>
      <c r="G5" s="210" t="s">
        <v>235</v>
      </c>
      <c r="H5" s="210" t="s">
        <v>237</v>
      </c>
      <c r="I5" s="211" t="s">
        <v>240</v>
      </c>
      <c r="J5" s="221">
        <v>49.870981818063797</v>
      </c>
      <c r="K5" s="223">
        <v>223.20260944180501</v>
      </c>
      <c r="M5" s="208" t="s">
        <v>72</v>
      </c>
      <c r="N5" s="198">
        <f>'Lft - ANN 13 nodes'!N29</f>
        <v>1133</v>
      </c>
      <c r="O5" s="226">
        <f>INDEX(J2:J80,MATCH(N5,B2:B80,0))</f>
        <v>49.870981818063797</v>
      </c>
      <c r="P5" s="226">
        <f>INDEX(K2:K80,MATCH(N5,B2:B80,0))</f>
        <v>223.20260944180501</v>
      </c>
      <c r="R5" s="698"/>
      <c r="S5" s="695" t="s">
        <v>246</v>
      </c>
      <c r="T5" s="219" t="s">
        <v>72</v>
      </c>
      <c r="U5" s="221">
        <v>52.9</v>
      </c>
      <c r="V5" s="218">
        <v>52.9</v>
      </c>
      <c r="W5" s="221">
        <v>52.9</v>
      </c>
      <c r="X5" s="221">
        <v>184.10700293514699</v>
      </c>
      <c r="Y5" s="218">
        <v>190.88271322225</v>
      </c>
      <c r="Z5" s="221">
        <v>197.65842350935301</v>
      </c>
      <c r="AB5" s="198">
        <f t="shared" si="2"/>
        <v>1311</v>
      </c>
      <c r="AC5" s="205">
        <v>-1</v>
      </c>
      <c r="AD5" s="205">
        <v>1</v>
      </c>
      <c r="AE5" s="205">
        <v>-1</v>
      </c>
      <c r="AF5" s="205">
        <v>-1</v>
      </c>
      <c r="AG5" s="211" t="s">
        <v>236</v>
      </c>
      <c r="AH5" s="210" t="s">
        <v>237</v>
      </c>
      <c r="AI5" s="210" t="s">
        <v>239</v>
      </c>
      <c r="AJ5" s="221">
        <f t="shared" si="0"/>
        <v>52.9</v>
      </c>
      <c r="AK5" s="223">
        <f t="shared" si="1"/>
        <v>184.10700293514699</v>
      </c>
      <c r="AM5" s="198">
        <v>1113</v>
      </c>
      <c r="AN5" s="205">
        <v>-1</v>
      </c>
      <c r="AO5" s="205">
        <v>-1</v>
      </c>
      <c r="AP5" s="205">
        <v>-1</v>
      </c>
      <c r="AQ5" s="205">
        <v>1</v>
      </c>
      <c r="AR5" s="210" t="s">
        <v>235</v>
      </c>
      <c r="AS5" s="210" t="s">
        <v>237</v>
      </c>
      <c r="AT5" s="211" t="s">
        <v>240</v>
      </c>
      <c r="AU5" s="221">
        <v>49.870981818063797</v>
      </c>
      <c r="AV5" s="223">
        <v>223.20260944180501</v>
      </c>
    </row>
    <row r="6" spans="1:48">
      <c r="A6" s="239">
        <v>4</v>
      </c>
      <c r="B6" s="198">
        <v>1121</v>
      </c>
      <c r="C6" s="205">
        <v>-1</v>
      </c>
      <c r="D6" s="205">
        <v>-1</v>
      </c>
      <c r="E6" s="205">
        <v>0</v>
      </c>
      <c r="F6" s="205">
        <v>-1</v>
      </c>
      <c r="G6" s="210" t="s">
        <v>235</v>
      </c>
      <c r="H6" s="222"/>
      <c r="I6" s="210" t="s">
        <v>239</v>
      </c>
      <c r="J6" s="226">
        <v>51.3</v>
      </c>
      <c r="K6" s="226">
        <v>223.20260944180501</v>
      </c>
      <c r="M6" s="209" t="s">
        <v>71</v>
      </c>
      <c r="N6" s="198">
        <f>'Rt - ANN 13 nodes'!N29</f>
        <v>3313</v>
      </c>
      <c r="O6" s="226">
        <f>INDEX(J2:J80,MATCH(N6,B2:B80,0))</f>
        <v>52.9</v>
      </c>
      <c r="P6" s="226">
        <f>INDEX(K2:K80,MATCH(N6,B2:B80,0))</f>
        <v>179.65909307150099</v>
      </c>
      <c r="R6" s="698"/>
      <c r="S6" s="696"/>
      <c r="T6" s="220" t="s">
        <v>71</v>
      </c>
      <c r="U6" s="221">
        <v>49.870981818063797</v>
      </c>
      <c r="V6" s="218">
        <v>51.385490909031901</v>
      </c>
      <c r="W6" s="221">
        <v>52.9</v>
      </c>
      <c r="X6" s="221">
        <v>184.10700293514699</v>
      </c>
      <c r="Y6" s="218">
        <v>181.88304800332401</v>
      </c>
      <c r="Z6" s="221">
        <v>179.65909307150099</v>
      </c>
      <c r="AB6" s="198">
        <f t="shared" si="2"/>
        <v>1313</v>
      </c>
      <c r="AC6" s="205">
        <v>-1</v>
      </c>
      <c r="AD6" s="205">
        <v>1</v>
      </c>
      <c r="AE6" s="205">
        <v>-1</v>
      </c>
      <c r="AF6" s="205">
        <v>1</v>
      </c>
      <c r="AG6" s="211" t="s">
        <v>236</v>
      </c>
      <c r="AH6" s="210" t="s">
        <v>237</v>
      </c>
      <c r="AI6" s="211" t="s">
        <v>240</v>
      </c>
      <c r="AJ6" s="221">
        <f t="shared" si="0"/>
        <v>49.870981818063797</v>
      </c>
      <c r="AK6" s="223">
        <f t="shared" si="1"/>
        <v>184.10700293514699</v>
      </c>
      <c r="AM6" s="198">
        <v>1121</v>
      </c>
      <c r="AN6" s="205">
        <v>-1</v>
      </c>
      <c r="AO6" s="205">
        <v>-1</v>
      </c>
      <c r="AP6" s="205">
        <v>0</v>
      </c>
      <c r="AQ6" s="205">
        <v>-1</v>
      </c>
      <c r="AR6" s="210" t="s">
        <v>235</v>
      </c>
      <c r="AS6" s="222"/>
      <c r="AT6" s="210" t="s">
        <v>239</v>
      </c>
      <c r="AU6" s="226">
        <v>51.3</v>
      </c>
      <c r="AV6" s="226">
        <v>223.20260944180501</v>
      </c>
    </row>
    <row r="7" spans="1:48">
      <c r="A7" s="239">
        <v>5</v>
      </c>
      <c r="B7" s="198">
        <v>1122</v>
      </c>
      <c r="C7" s="205">
        <v>-1</v>
      </c>
      <c r="D7" s="205">
        <v>-1</v>
      </c>
      <c r="E7" s="205">
        <v>0</v>
      </c>
      <c r="F7" s="205">
        <v>0</v>
      </c>
      <c r="G7" s="210" t="s">
        <v>235</v>
      </c>
      <c r="H7" s="222"/>
      <c r="I7" s="222"/>
      <c r="J7" s="221">
        <v>51.3</v>
      </c>
      <c r="K7" s="223">
        <v>223.20260944180501</v>
      </c>
      <c r="R7" s="697" t="s">
        <v>247</v>
      </c>
      <c r="S7" s="693" t="s">
        <v>245</v>
      </c>
      <c r="T7" s="219" t="s">
        <v>72</v>
      </c>
      <c r="U7" s="221">
        <v>51.3</v>
      </c>
      <c r="V7" s="218">
        <v>47.772590069269953</v>
      </c>
      <c r="W7" s="221">
        <v>44.245180138539901</v>
      </c>
      <c r="X7" s="221">
        <v>223.20260944180501</v>
      </c>
      <c r="Y7" s="218">
        <v>210.430516475579</v>
      </c>
      <c r="Z7" s="221">
        <v>197.65842350935301</v>
      </c>
      <c r="AB7" s="198">
        <f t="shared" si="2"/>
        <v>1131</v>
      </c>
      <c r="AC7" s="205">
        <v>-1</v>
      </c>
      <c r="AD7" s="205">
        <v>-1</v>
      </c>
      <c r="AE7" s="205">
        <v>1</v>
      </c>
      <c r="AF7" s="205">
        <v>-1</v>
      </c>
      <c r="AG7" s="210" t="s">
        <v>235</v>
      </c>
      <c r="AH7" s="211" t="s">
        <v>238</v>
      </c>
      <c r="AI7" s="210" t="s">
        <v>239</v>
      </c>
      <c r="AJ7" s="221">
        <f t="shared" si="0"/>
        <v>51.3</v>
      </c>
      <c r="AK7" s="223">
        <f t="shared" si="1"/>
        <v>223.20260944180501</v>
      </c>
      <c r="AM7" s="198">
        <v>1122</v>
      </c>
      <c r="AN7" s="205">
        <v>-1</v>
      </c>
      <c r="AO7" s="205">
        <v>-1</v>
      </c>
      <c r="AP7" s="205">
        <v>0</v>
      </c>
      <c r="AQ7" s="205">
        <v>0</v>
      </c>
      <c r="AR7" s="210" t="s">
        <v>235</v>
      </c>
      <c r="AS7" s="222"/>
      <c r="AT7" s="222"/>
      <c r="AU7" s="221">
        <v>51.3</v>
      </c>
      <c r="AV7" s="223">
        <v>223.20260944180501</v>
      </c>
    </row>
    <row r="8" spans="1:48">
      <c r="A8" s="239">
        <v>6</v>
      </c>
      <c r="B8" s="198">
        <v>1123</v>
      </c>
      <c r="C8" s="205">
        <v>-1</v>
      </c>
      <c r="D8" s="205">
        <v>-1</v>
      </c>
      <c r="E8" s="205">
        <v>0</v>
      </c>
      <c r="F8" s="205">
        <v>1</v>
      </c>
      <c r="G8" s="210" t="s">
        <v>235</v>
      </c>
      <c r="H8" s="222"/>
      <c r="I8" s="211" t="s">
        <v>240</v>
      </c>
      <c r="J8" s="226">
        <v>49.870981818063797</v>
      </c>
      <c r="K8" s="226">
        <v>223.20260944180501</v>
      </c>
      <c r="R8" s="697"/>
      <c r="S8" s="694"/>
      <c r="T8" s="220" t="s">
        <v>71</v>
      </c>
      <c r="U8" s="221">
        <v>49.870981818063797</v>
      </c>
      <c r="V8" s="218">
        <v>47.058080978301845</v>
      </c>
      <c r="W8" s="221">
        <v>44.245180138539901</v>
      </c>
      <c r="X8" s="221">
        <v>223.20260944180501</v>
      </c>
      <c r="Y8" s="218">
        <v>199.58101717206449</v>
      </c>
      <c r="Z8" s="221">
        <v>175.959424902324</v>
      </c>
      <c r="AB8" s="198">
        <f t="shared" si="2"/>
        <v>1133</v>
      </c>
      <c r="AC8" s="205">
        <v>-1</v>
      </c>
      <c r="AD8" s="205">
        <v>-1</v>
      </c>
      <c r="AE8" s="205">
        <v>1</v>
      </c>
      <c r="AF8" s="205">
        <v>1</v>
      </c>
      <c r="AG8" s="210" t="s">
        <v>235</v>
      </c>
      <c r="AH8" s="211" t="s">
        <v>238</v>
      </c>
      <c r="AI8" s="211" t="s">
        <v>240</v>
      </c>
      <c r="AJ8" s="221">
        <f t="shared" si="0"/>
        <v>49.870981818063797</v>
      </c>
      <c r="AK8" s="223">
        <f t="shared" si="1"/>
        <v>223.20260944180501</v>
      </c>
      <c r="AM8" s="198">
        <v>1123</v>
      </c>
      <c r="AN8" s="205">
        <v>-1</v>
      </c>
      <c r="AO8" s="205">
        <v>-1</v>
      </c>
      <c r="AP8" s="205">
        <v>0</v>
      </c>
      <c r="AQ8" s="205">
        <v>1</v>
      </c>
      <c r="AR8" s="210" t="s">
        <v>235</v>
      </c>
      <c r="AS8" s="222"/>
      <c r="AT8" s="211" t="s">
        <v>240</v>
      </c>
      <c r="AU8" s="226">
        <v>49.870981818063797</v>
      </c>
      <c r="AV8" s="226">
        <v>223.20260944180501</v>
      </c>
    </row>
    <row r="9" spans="1:48">
      <c r="A9" s="239">
        <v>7</v>
      </c>
      <c r="B9" s="198">
        <v>1131</v>
      </c>
      <c r="C9" s="205">
        <v>-1</v>
      </c>
      <c r="D9" s="205">
        <v>-1</v>
      </c>
      <c r="E9" s="205">
        <v>1</v>
      </c>
      <c r="F9" s="205">
        <v>-1</v>
      </c>
      <c r="G9" s="210" t="s">
        <v>235</v>
      </c>
      <c r="H9" s="211" t="s">
        <v>238</v>
      </c>
      <c r="I9" s="210" t="s">
        <v>239</v>
      </c>
      <c r="J9" s="221">
        <v>51.3</v>
      </c>
      <c r="K9" s="223">
        <v>223.20260944180501</v>
      </c>
      <c r="R9" s="697"/>
      <c r="S9" s="695" t="s">
        <v>246</v>
      </c>
      <c r="T9" s="219" t="s">
        <v>72</v>
      </c>
      <c r="U9" s="221">
        <v>52.9</v>
      </c>
      <c r="V9" s="218">
        <v>52.9</v>
      </c>
      <c r="W9" s="221">
        <v>52.9</v>
      </c>
      <c r="X9" s="221">
        <v>184.10700293514699</v>
      </c>
      <c r="Y9" s="218">
        <v>190.88271322225</v>
      </c>
      <c r="Z9" s="221">
        <v>197.65842350935301</v>
      </c>
      <c r="AB9" s="198">
        <f t="shared" si="2"/>
        <v>1331</v>
      </c>
      <c r="AC9" s="205">
        <v>-1</v>
      </c>
      <c r="AD9" s="205">
        <v>1</v>
      </c>
      <c r="AE9" s="205">
        <v>1</v>
      </c>
      <c r="AF9" s="205">
        <v>-1</v>
      </c>
      <c r="AG9" s="211" t="s">
        <v>236</v>
      </c>
      <c r="AH9" s="211" t="s">
        <v>238</v>
      </c>
      <c r="AI9" s="210" t="s">
        <v>239</v>
      </c>
      <c r="AJ9" s="221">
        <f t="shared" si="0"/>
        <v>52.9</v>
      </c>
      <c r="AK9" s="223">
        <f t="shared" si="1"/>
        <v>184.10700293514699</v>
      </c>
      <c r="AM9" s="198">
        <v>1131</v>
      </c>
      <c r="AN9" s="205">
        <v>-1</v>
      </c>
      <c r="AO9" s="205">
        <v>-1</v>
      </c>
      <c r="AP9" s="205">
        <v>1</v>
      </c>
      <c r="AQ9" s="205">
        <v>-1</v>
      </c>
      <c r="AR9" s="210" t="s">
        <v>235</v>
      </c>
      <c r="AS9" s="211" t="s">
        <v>238</v>
      </c>
      <c r="AT9" s="210" t="s">
        <v>239</v>
      </c>
      <c r="AU9" s="221">
        <v>51.3</v>
      </c>
      <c r="AV9" s="223">
        <v>223.20260944180501</v>
      </c>
    </row>
    <row r="10" spans="1:48">
      <c r="A10" s="239">
        <v>8</v>
      </c>
      <c r="B10" s="198">
        <v>1132</v>
      </c>
      <c r="C10" s="205">
        <v>-1</v>
      </c>
      <c r="D10" s="205">
        <v>-1</v>
      </c>
      <c r="E10" s="205">
        <v>1</v>
      </c>
      <c r="F10" s="205">
        <v>0</v>
      </c>
      <c r="G10" s="210" t="s">
        <v>235</v>
      </c>
      <c r="H10" s="211" t="s">
        <v>238</v>
      </c>
      <c r="I10" s="222"/>
      <c r="J10" s="226">
        <v>49.870981818063797</v>
      </c>
      <c r="K10" s="226">
        <v>223.20260944180501</v>
      </c>
      <c r="R10" s="697"/>
      <c r="S10" s="696"/>
      <c r="T10" s="220" t="s">
        <v>71</v>
      </c>
      <c r="U10" s="221">
        <v>49.870981818063797</v>
      </c>
      <c r="V10" s="218">
        <v>51.385490909031901</v>
      </c>
      <c r="W10" s="221">
        <v>52.9</v>
      </c>
      <c r="X10" s="221">
        <v>184.10700293514699</v>
      </c>
      <c r="Y10" s="218">
        <v>177.13161234725851</v>
      </c>
      <c r="Z10" s="221">
        <v>170.15622175937</v>
      </c>
      <c r="AB10" s="198">
        <f t="shared" si="2"/>
        <v>1333</v>
      </c>
      <c r="AC10" s="205">
        <v>-1</v>
      </c>
      <c r="AD10" s="205">
        <v>1</v>
      </c>
      <c r="AE10" s="205">
        <v>1</v>
      </c>
      <c r="AF10" s="205">
        <v>1</v>
      </c>
      <c r="AG10" s="211" t="s">
        <v>236</v>
      </c>
      <c r="AH10" s="211" t="s">
        <v>238</v>
      </c>
      <c r="AI10" s="211" t="s">
        <v>240</v>
      </c>
      <c r="AJ10" s="221">
        <f t="shared" si="0"/>
        <v>49.870981818063797</v>
      </c>
      <c r="AK10" s="223">
        <f t="shared" si="1"/>
        <v>184.10700293514699</v>
      </c>
      <c r="AM10" s="198">
        <v>1132</v>
      </c>
      <c r="AN10" s="205">
        <v>-1</v>
      </c>
      <c r="AO10" s="205">
        <v>-1</v>
      </c>
      <c r="AP10" s="205">
        <v>1</v>
      </c>
      <c r="AQ10" s="205">
        <v>0</v>
      </c>
      <c r="AR10" s="210" t="s">
        <v>235</v>
      </c>
      <c r="AS10" s="211" t="s">
        <v>238</v>
      </c>
      <c r="AT10" s="222"/>
      <c r="AU10" s="226">
        <v>49.870981818063797</v>
      </c>
      <c r="AV10" s="226">
        <v>223.20260944180501</v>
      </c>
    </row>
    <row r="11" spans="1:48">
      <c r="A11" s="239">
        <v>9</v>
      </c>
      <c r="B11" s="198">
        <v>1133</v>
      </c>
      <c r="C11" s="205">
        <v>-1</v>
      </c>
      <c r="D11" s="205">
        <v>-1</v>
      </c>
      <c r="E11" s="205">
        <v>1</v>
      </c>
      <c r="F11" s="205">
        <v>1</v>
      </c>
      <c r="G11" s="210" t="s">
        <v>235</v>
      </c>
      <c r="H11" s="211" t="s">
        <v>238</v>
      </c>
      <c r="I11" s="211" t="s">
        <v>240</v>
      </c>
      <c r="J11" s="221">
        <v>49.870981818063797</v>
      </c>
      <c r="K11" s="223">
        <v>223.20260944180501</v>
      </c>
      <c r="R11" s="222"/>
      <c r="S11" s="222"/>
      <c r="T11" s="214" t="s">
        <v>244</v>
      </c>
      <c r="U11" s="225">
        <v>64.299414597301705</v>
      </c>
      <c r="V11" s="218">
        <v>64.299414597301705</v>
      </c>
      <c r="W11" s="225">
        <v>64.299414597301705</v>
      </c>
      <c r="X11" s="225">
        <v>120.009181286085</v>
      </c>
      <c r="Y11" s="218">
        <v>149.83413717879299</v>
      </c>
      <c r="Z11" s="225">
        <v>179.65909307150099</v>
      </c>
      <c r="AB11" s="198">
        <f t="shared" si="2"/>
        <v>1212</v>
      </c>
      <c r="AC11" s="205">
        <v>-1</v>
      </c>
      <c r="AD11" s="205">
        <v>0</v>
      </c>
      <c r="AE11" s="205">
        <v>-1</v>
      </c>
      <c r="AF11" s="205">
        <v>0</v>
      </c>
      <c r="AG11" s="222"/>
      <c r="AH11" s="210" t="s">
        <v>237</v>
      </c>
      <c r="AI11" s="222"/>
      <c r="AJ11" s="221">
        <f t="shared" si="0"/>
        <v>64.299414597301705</v>
      </c>
      <c r="AK11" s="223">
        <f t="shared" si="1"/>
        <v>120.009181286085</v>
      </c>
      <c r="AM11" s="198">
        <v>1133</v>
      </c>
      <c r="AN11" s="205">
        <v>-1</v>
      </c>
      <c r="AO11" s="205">
        <v>-1</v>
      </c>
      <c r="AP11" s="205">
        <v>1</v>
      </c>
      <c r="AQ11" s="205">
        <v>1</v>
      </c>
      <c r="AR11" s="210" t="s">
        <v>235</v>
      </c>
      <c r="AS11" s="211" t="s">
        <v>238</v>
      </c>
      <c r="AT11" s="211" t="s">
        <v>240</v>
      </c>
      <c r="AU11" s="221">
        <v>49.870981818063797</v>
      </c>
      <c r="AV11" s="223">
        <v>223.20260944180501</v>
      </c>
    </row>
    <row r="12" spans="1:48">
      <c r="A12" s="239">
        <v>10</v>
      </c>
      <c r="B12" s="198">
        <v>1211</v>
      </c>
      <c r="C12" s="205">
        <v>-1</v>
      </c>
      <c r="D12" s="205">
        <v>0</v>
      </c>
      <c r="E12" s="205">
        <v>-1</v>
      </c>
      <c r="F12" s="205">
        <v>-1</v>
      </c>
      <c r="G12" s="222"/>
      <c r="H12" s="210" t="s">
        <v>237</v>
      </c>
      <c r="I12" s="210" t="s">
        <v>239</v>
      </c>
      <c r="J12" s="226">
        <v>51.3</v>
      </c>
      <c r="K12" s="226">
        <v>223.20260944180501</v>
      </c>
      <c r="R12" s="222"/>
      <c r="S12" s="222"/>
      <c r="T12" s="215" t="s">
        <v>247</v>
      </c>
      <c r="U12" s="225">
        <v>72.300585402698303</v>
      </c>
      <c r="V12" s="218">
        <v>72.300585402698303</v>
      </c>
      <c r="W12" s="225">
        <v>72.300585402698303</v>
      </c>
      <c r="X12" s="225">
        <v>125.741338055895</v>
      </c>
      <c r="Y12" s="218">
        <v>127.97069812754</v>
      </c>
      <c r="Z12" s="225">
        <v>130.20005819918501</v>
      </c>
      <c r="AB12" s="198">
        <f t="shared" si="2"/>
        <v>1232</v>
      </c>
      <c r="AC12" s="205">
        <v>-1</v>
      </c>
      <c r="AD12" s="205">
        <v>0</v>
      </c>
      <c r="AE12" s="205">
        <v>1</v>
      </c>
      <c r="AF12" s="205">
        <v>0</v>
      </c>
      <c r="AG12" s="222"/>
      <c r="AH12" s="211" t="s">
        <v>238</v>
      </c>
      <c r="AI12" s="222"/>
      <c r="AJ12" s="221">
        <f t="shared" si="0"/>
        <v>72.300585402698303</v>
      </c>
      <c r="AK12" s="223">
        <f t="shared" si="1"/>
        <v>125.741338055895</v>
      </c>
      <c r="AM12" s="198">
        <v>1211</v>
      </c>
      <c r="AN12" s="205">
        <v>-1</v>
      </c>
      <c r="AO12" s="205">
        <v>0</v>
      </c>
      <c r="AP12" s="205">
        <v>-1</v>
      </c>
      <c r="AQ12" s="205">
        <v>-1</v>
      </c>
      <c r="AR12" s="222"/>
      <c r="AS12" s="210" t="s">
        <v>237</v>
      </c>
      <c r="AT12" s="210" t="s">
        <v>239</v>
      </c>
      <c r="AU12" s="226">
        <v>51.3</v>
      </c>
      <c r="AV12" s="226">
        <v>223.20260944180501</v>
      </c>
    </row>
    <row r="13" spans="1:48">
      <c r="A13" s="239">
        <v>11</v>
      </c>
      <c r="B13" s="198">
        <v>1212</v>
      </c>
      <c r="C13" s="205">
        <v>-1</v>
      </c>
      <c r="D13" s="205">
        <v>0</v>
      </c>
      <c r="E13" s="205">
        <v>-1</v>
      </c>
      <c r="F13" s="205">
        <v>0</v>
      </c>
      <c r="G13" s="222"/>
      <c r="H13" s="210" t="s">
        <v>237</v>
      </c>
      <c r="I13" s="222"/>
      <c r="J13" s="221">
        <v>64.299414597301705</v>
      </c>
      <c r="K13" s="223">
        <v>120.009181286085</v>
      </c>
      <c r="R13" s="222"/>
      <c r="S13" s="222"/>
      <c r="T13" s="214" t="s">
        <v>245</v>
      </c>
      <c r="U13" s="225">
        <v>51.3</v>
      </c>
      <c r="V13" s="218">
        <v>47.772590069269953</v>
      </c>
      <c r="W13" s="225">
        <v>44.245180138539901</v>
      </c>
      <c r="X13" s="225">
        <v>223.20260944180501</v>
      </c>
      <c r="Y13" s="218">
        <v>199.58101717206449</v>
      </c>
      <c r="Z13" s="225">
        <v>175.959424902324</v>
      </c>
      <c r="AB13" s="198">
        <f t="shared" si="2"/>
        <v>1122</v>
      </c>
      <c r="AC13" s="205">
        <v>-1</v>
      </c>
      <c r="AD13" s="205">
        <v>-1</v>
      </c>
      <c r="AE13" s="205">
        <v>0</v>
      </c>
      <c r="AF13" s="205">
        <v>0</v>
      </c>
      <c r="AG13" s="210" t="s">
        <v>235</v>
      </c>
      <c r="AH13" s="222"/>
      <c r="AI13" s="222"/>
      <c r="AJ13" s="221">
        <f t="shared" si="0"/>
        <v>51.3</v>
      </c>
      <c r="AK13" s="223">
        <f t="shared" si="1"/>
        <v>223.20260944180501</v>
      </c>
      <c r="AM13" s="198">
        <v>1212</v>
      </c>
      <c r="AN13" s="205">
        <v>-1</v>
      </c>
      <c r="AO13" s="205">
        <v>0</v>
      </c>
      <c r="AP13" s="205">
        <v>-1</v>
      </c>
      <c r="AQ13" s="205">
        <v>0</v>
      </c>
      <c r="AR13" s="222"/>
      <c r="AS13" s="210" t="s">
        <v>237</v>
      </c>
      <c r="AT13" s="222"/>
      <c r="AU13" s="221">
        <v>64.299414597301705</v>
      </c>
      <c r="AV13" s="223">
        <v>120.009181286085</v>
      </c>
    </row>
    <row r="14" spans="1:48">
      <c r="A14" s="239">
        <v>12</v>
      </c>
      <c r="B14" s="198">
        <v>1213</v>
      </c>
      <c r="C14" s="205">
        <v>-1</v>
      </c>
      <c r="D14" s="205">
        <v>0</v>
      </c>
      <c r="E14" s="205">
        <v>-1</v>
      </c>
      <c r="F14" s="205">
        <v>1</v>
      </c>
      <c r="G14" s="222"/>
      <c r="H14" s="210" t="s">
        <v>237</v>
      </c>
      <c r="I14" s="211" t="s">
        <v>240</v>
      </c>
      <c r="J14" s="226">
        <v>49.870981818063797</v>
      </c>
      <c r="K14" s="226">
        <v>223.20260944180501</v>
      </c>
      <c r="R14" s="222"/>
      <c r="S14" s="222"/>
      <c r="T14" s="215" t="s">
        <v>246</v>
      </c>
      <c r="U14" s="225">
        <v>52.9</v>
      </c>
      <c r="V14" s="218">
        <v>52.9</v>
      </c>
      <c r="W14" s="225">
        <v>52.9</v>
      </c>
      <c r="X14" s="225">
        <v>184.10700293514699</v>
      </c>
      <c r="Y14" s="218">
        <v>175.52358233469801</v>
      </c>
      <c r="Z14" s="225">
        <v>166.94016173424899</v>
      </c>
      <c r="AB14" s="198">
        <f t="shared" si="2"/>
        <v>1322</v>
      </c>
      <c r="AC14" s="205">
        <v>-1</v>
      </c>
      <c r="AD14" s="205">
        <v>1</v>
      </c>
      <c r="AE14" s="205">
        <v>0</v>
      </c>
      <c r="AF14" s="205">
        <v>0</v>
      </c>
      <c r="AG14" s="211" t="s">
        <v>236</v>
      </c>
      <c r="AH14" s="222"/>
      <c r="AI14" s="222"/>
      <c r="AJ14" s="221">
        <f t="shared" si="0"/>
        <v>52.9</v>
      </c>
      <c r="AK14" s="223">
        <f t="shared" si="1"/>
        <v>184.10700293514699</v>
      </c>
      <c r="AM14" s="198">
        <v>1213</v>
      </c>
      <c r="AN14" s="205">
        <v>-1</v>
      </c>
      <c r="AO14" s="205">
        <v>0</v>
      </c>
      <c r="AP14" s="205">
        <v>-1</v>
      </c>
      <c r="AQ14" s="205">
        <v>1</v>
      </c>
      <c r="AR14" s="222"/>
      <c r="AS14" s="210" t="s">
        <v>237</v>
      </c>
      <c r="AT14" s="211" t="s">
        <v>240</v>
      </c>
      <c r="AU14" s="226">
        <v>49.870981818063797</v>
      </c>
      <c r="AV14" s="226">
        <v>223.20260944180501</v>
      </c>
    </row>
    <row r="15" spans="1:48">
      <c r="A15" s="239">
        <v>13</v>
      </c>
      <c r="B15" s="198">
        <v>1221</v>
      </c>
      <c r="C15" s="205">
        <v>-1</v>
      </c>
      <c r="D15" s="205">
        <v>0</v>
      </c>
      <c r="E15" s="205">
        <v>0</v>
      </c>
      <c r="F15" s="205">
        <v>-1</v>
      </c>
      <c r="G15" s="222"/>
      <c r="H15" s="222"/>
      <c r="I15" s="210" t="s">
        <v>239</v>
      </c>
      <c r="J15" s="221">
        <v>72.3</v>
      </c>
      <c r="K15" s="223">
        <v>133.4</v>
      </c>
      <c r="R15" s="222"/>
      <c r="S15" s="222"/>
      <c r="T15" s="219" t="s">
        <v>72</v>
      </c>
      <c r="U15" s="225">
        <v>72.3</v>
      </c>
      <c r="V15" s="218">
        <v>68.882867603733445</v>
      </c>
      <c r="W15" s="225">
        <v>65.465735207466906</v>
      </c>
      <c r="X15" s="225">
        <v>133.4</v>
      </c>
      <c r="Y15" s="218">
        <v>165.52921175467651</v>
      </c>
      <c r="Z15" s="225">
        <v>197.65842350935301</v>
      </c>
      <c r="AB15" s="198">
        <f t="shared" si="2"/>
        <v>1221</v>
      </c>
      <c r="AC15" s="205">
        <v>-1</v>
      </c>
      <c r="AD15" s="205">
        <v>0</v>
      </c>
      <c r="AE15" s="205">
        <v>0</v>
      </c>
      <c r="AF15" s="205">
        <v>-1</v>
      </c>
      <c r="AG15" s="222"/>
      <c r="AH15" s="222"/>
      <c r="AI15" s="210" t="s">
        <v>239</v>
      </c>
      <c r="AJ15" s="221">
        <f t="shared" si="0"/>
        <v>72.3</v>
      </c>
      <c r="AK15" s="223">
        <f t="shared" si="1"/>
        <v>133.4</v>
      </c>
      <c r="AM15" s="198">
        <v>1221</v>
      </c>
      <c r="AN15" s="205">
        <v>-1</v>
      </c>
      <c r="AO15" s="205">
        <v>0</v>
      </c>
      <c r="AP15" s="205">
        <v>0</v>
      </c>
      <c r="AQ15" s="205">
        <v>-1</v>
      </c>
      <c r="AR15" s="222"/>
      <c r="AS15" s="222"/>
      <c r="AT15" s="210" t="s">
        <v>239</v>
      </c>
      <c r="AU15" s="221">
        <v>72.3</v>
      </c>
      <c r="AV15" s="223">
        <v>133.4</v>
      </c>
    </row>
    <row r="16" spans="1:48">
      <c r="A16" s="239">
        <v>14</v>
      </c>
      <c r="B16" s="198">
        <v>1223</v>
      </c>
      <c r="C16" s="205">
        <v>-1</v>
      </c>
      <c r="D16" s="205">
        <v>0</v>
      </c>
      <c r="E16" s="205">
        <v>0</v>
      </c>
      <c r="F16" s="205">
        <v>1</v>
      </c>
      <c r="G16" s="222"/>
      <c r="H16" s="222"/>
      <c r="I16" s="211" t="s">
        <v>240</v>
      </c>
      <c r="J16" s="221">
        <v>49.870981818063797</v>
      </c>
      <c r="K16" s="223">
        <v>99.3</v>
      </c>
      <c r="R16" s="222"/>
      <c r="S16" s="222"/>
      <c r="T16" s="220" t="s">
        <v>71</v>
      </c>
      <c r="U16" s="225">
        <v>49.870981818063797</v>
      </c>
      <c r="V16" s="218">
        <v>53.095306724034899</v>
      </c>
      <c r="W16" s="225">
        <v>56.319631630006</v>
      </c>
      <c r="X16" s="225">
        <v>99.3</v>
      </c>
      <c r="Y16" s="218">
        <v>134.728110879685</v>
      </c>
      <c r="Z16" s="225">
        <v>170.15622175937</v>
      </c>
      <c r="AB16" s="198">
        <f t="shared" si="2"/>
        <v>1223</v>
      </c>
      <c r="AC16" s="205">
        <v>-1</v>
      </c>
      <c r="AD16" s="205">
        <v>0</v>
      </c>
      <c r="AE16" s="205">
        <v>0</v>
      </c>
      <c r="AF16" s="205">
        <v>1</v>
      </c>
      <c r="AG16" s="222"/>
      <c r="AH16" s="222"/>
      <c r="AI16" s="211" t="s">
        <v>240</v>
      </c>
      <c r="AJ16" s="221">
        <f t="shared" si="0"/>
        <v>49.870981818063797</v>
      </c>
      <c r="AK16" s="223">
        <f t="shared" si="1"/>
        <v>99.3</v>
      </c>
      <c r="AM16" s="198">
        <v>1223</v>
      </c>
      <c r="AN16" s="205">
        <v>-1</v>
      </c>
      <c r="AO16" s="205">
        <v>0</v>
      </c>
      <c r="AP16" s="205">
        <v>0</v>
      </c>
      <c r="AQ16" s="205">
        <v>1</v>
      </c>
      <c r="AR16" s="222"/>
      <c r="AS16" s="222"/>
      <c r="AT16" s="211" t="s">
        <v>240</v>
      </c>
      <c r="AU16" s="221">
        <v>49.870981818063797</v>
      </c>
      <c r="AV16" s="223">
        <v>99.3</v>
      </c>
    </row>
    <row r="17" spans="1:48">
      <c r="A17" s="239">
        <v>15</v>
      </c>
      <c r="B17" s="198">
        <v>1231</v>
      </c>
      <c r="C17" s="205">
        <v>-1</v>
      </c>
      <c r="D17" s="205">
        <v>0</v>
      </c>
      <c r="E17" s="205">
        <v>1</v>
      </c>
      <c r="F17" s="205">
        <v>-1</v>
      </c>
      <c r="G17" s="222"/>
      <c r="H17" s="211" t="s">
        <v>238</v>
      </c>
      <c r="I17" s="210" t="s">
        <v>239</v>
      </c>
      <c r="J17" s="226">
        <v>51.3</v>
      </c>
      <c r="K17" s="226">
        <v>223.20260944180501</v>
      </c>
      <c r="O17" s="205">
        <v>-1</v>
      </c>
      <c r="P17" s="205">
        <v>-1</v>
      </c>
      <c r="Q17" s="205">
        <v>0</v>
      </c>
      <c r="R17" s="699" t="s">
        <v>244</v>
      </c>
      <c r="S17" s="238" t="s">
        <v>245</v>
      </c>
      <c r="T17" s="55"/>
      <c r="U17" s="226">
        <f>MIN(U3:U4)</f>
        <v>49.870981818063797</v>
      </c>
      <c r="V17" s="218">
        <f>AVERAGE(U17,W17)</f>
        <v>47.058080978301845</v>
      </c>
      <c r="W17" s="226">
        <f>MIN(W3:W4)</f>
        <v>44.245180138539901</v>
      </c>
      <c r="X17" s="226">
        <f>MAX(X3:X4)</f>
        <v>223.20260944180501</v>
      </c>
      <c r="Y17" s="218">
        <f>AVERAGE(X17,Z17)</f>
        <v>220.45741414966051</v>
      </c>
      <c r="Z17" s="226">
        <f>MAX(Z3:Z4)</f>
        <v>217.71221885751601</v>
      </c>
      <c r="AB17" s="198">
        <f t="shared" si="2"/>
        <v>2111</v>
      </c>
      <c r="AC17" s="205">
        <v>0</v>
      </c>
      <c r="AD17" s="205">
        <v>-1</v>
      </c>
      <c r="AE17" s="205">
        <v>-1</v>
      </c>
      <c r="AF17" s="205">
        <v>-1</v>
      </c>
      <c r="AG17" s="210" t="s">
        <v>235</v>
      </c>
      <c r="AH17" s="210" t="s">
        <v>237</v>
      </c>
      <c r="AI17" s="210" t="s">
        <v>239</v>
      </c>
      <c r="AJ17" s="218">
        <f t="shared" ref="AJ17:AJ30" si="3">V3</f>
        <v>47.772590069269953</v>
      </c>
      <c r="AK17" s="224">
        <f t="shared" ref="AK17:AK30" si="4">Y3</f>
        <v>220.45741414966051</v>
      </c>
      <c r="AM17" s="198">
        <v>1231</v>
      </c>
      <c r="AN17" s="205">
        <v>-1</v>
      </c>
      <c r="AO17" s="205">
        <v>0</v>
      </c>
      <c r="AP17" s="205">
        <v>1</v>
      </c>
      <c r="AQ17" s="205">
        <v>-1</v>
      </c>
      <c r="AR17" s="222"/>
      <c r="AS17" s="211" t="s">
        <v>238</v>
      </c>
      <c r="AT17" s="210" t="s">
        <v>239</v>
      </c>
      <c r="AU17" s="226">
        <v>51.3</v>
      </c>
      <c r="AV17" s="226">
        <v>223.20260944180501</v>
      </c>
    </row>
    <row r="18" spans="1:48">
      <c r="A18" s="239">
        <v>16</v>
      </c>
      <c r="B18" s="198">
        <v>1232</v>
      </c>
      <c r="C18" s="205">
        <v>-1</v>
      </c>
      <c r="D18" s="205">
        <v>0</v>
      </c>
      <c r="E18" s="205">
        <v>1</v>
      </c>
      <c r="F18" s="205">
        <v>0</v>
      </c>
      <c r="G18" s="222"/>
      <c r="H18" s="211" t="s">
        <v>238</v>
      </c>
      <c r="I18" s="222"/>
      <c r="J18" s="221">
        <v>72.300585402698303</v>
      </c>
      <c r="K18" s="223">
        <v>125.741338055895</v>
      </c>
      <c r="O18" s="205">
        <v>1</v>
      </c>
      <c r="P18" s="205">
        <v>-1</v>
      </c>
      <c r="Q18" s="205">
        <v>0</v>
      </c>
      <c r="R18" s="598"/>
      <c r="S18" s="236" t="s">
        <v>246</v>
      </c>
      <c r="T18" s="55"/>
      <c r="U18" s="226">
        <f>MIN(U5:U6)</f>
        <v>49.870981818063797</v>
      </c>
      <c r="V18" s="218">
        <f t="shared" ref="V18:V28" si="5">AVERAGE(U18,W18)</f>
        <v>51.385490909031901</v>
      </c>
      <c r="W18" s="226">
        <f>MIN(W5:W6)</f>
        <v>52.9</v>
      </c>
      <c r="X18" s="226">
        <f>MAX(X5:X6)</f>
        <v>184.10700293514699</v>
      </c>
      <c r="Y18" s="218">
        <f t="shared" ref="Y18:Y28" si="6">AVERAGE(X18,Z18)</f>
        <v>190.88271322225</v>
      </c>
      <c r="Z18" s="226">
        <f>MAX(Z5:Z6)</f>
        <v>197.65842350935301</v>
      </c>
      <c r="AB18" s="198">
        <f t="shared" si="2"/>
        <v>2113</v>
      </c>
      <c r="AC18" s="205">
        <v>0</v>
      </c>
      <c r="AD18" s="205">
        <v>-1</v>
      </c>
      <c r="AE18" s="205">
        <v>-1</v>
      </c>
      <c r="AF18" s="205">
        <v>1</v>
      </c>
      <c r="AG18" s="210" t="s">
        <v>235</v>
      </c>
      <c r="AH18" s="210" t="s">
        <v>237</v>
      </c>
      <c r="AI18" s="211" t="s">
        <v>240</v>
      </c>
      <c r="AJ18" s="218">
        <f t="shared" si="3"/>
        <v>47.058080978301845</v>
      </c>
      <c r="AK18" s="224">
        <f t="shared" si="4"/>
        <v>220.45741414966051</v>
      </c>
      <c r="AM18" s="198">
        <v>1232</v>
      </c>
      <c r="AN18" s="205">
        <v>-1</v>
      </c>
      <c r="AO18" s="205">
        <v>0</v>
      </c>
      <c r="AP18" s="205">
        <v>1</v>
      </c>
      <c r="AQ18" s="205">
        <v>0</v>
      </c>
      <c r="AR18" s="222"/>
      <c r="AS18" s="211" t="s">
        <v>238</v>
      </c>
      <c r="AT18" s="222"/>
      <c r="AU18" s="221">
        <v>72.300585402698303</v>
      </c>
      <c r="AV18" s="223">
        <v>125.741338055895</v>
      </c>
    </row>
    <row r="19" spans="1:48">
      <c r="A19" s="239">
        <v>17</v>
      </c>
      <c r="B19" s="198">
        <v>1233</v>
      </c>
      <c r="C19" s="205">
        <v>-1</v>
      </c>
      <c r="D19" s="205">
        <v>0</v>
      </c>
      <c r="E19" s="205">
        <v>1</v>
      </c>
      <c r="F19" s="205">
        <v>1</v>
      </c>
      <c r="G19" s="222"/>
      <c r="H19" s="211" t="s">
        <v>238</v>
      </c>
      <c r="I19" s="211" t="s">
        <v>240</v>
      </c>
      <c r="J19" s="226">
        <v>49.870981818063797</v>
      </c>
      <c r="K19" s="226">
        <v>223.20260944180501</v>
      </c>
      <c r="O19" s="205">
        <v>-1</v>
      </c>
      <c r="P19" s="205">
        <v>1</v>
      </c>
      <c r="Q19" s="205">
        <v>0</v>
      </c>
      <c r="R19" s="700" t="s">
        <v>247</v>
      </c>
      <c r="S19" s="37" t="s">
        <v>245</v>
      </c>
      <c r="T19" s="55"/>
      <c r="U19" s="226">
        <f>MIN(U7:U8)</f>
        <v>49.870981818063797</v>
      </c>
      <c r="V19" s="218">
        <f t="shared" si="5"/>
        <v>47.058080978301845</v>
      </c>
      <c r="W19" s="226">
        <f>MIN(W7:W8)</f>
        <v>44.245180138539901</v>
      </c>
      <c r="X19" s="226">
        <f>MAX(X7:X8)</f>
        <v>223.20260944180501</v>
      </c>
      <c r="Y19" s="218">
        <f t="shared" si="6"/>
        <v>210.430516475579</v>
      </c>
      <c r="Z19" s="226">
        <f>MAX(Z7:Z8)</f>
        <v>197.65842350935301</v>
      </c>
      <c r="AB19" s="198">
        <f t="shared" si="2"/>
        <v>2311</v>
      </c>
      <c r="AC19" s="205">
        <v>0</v>
      </c>
      <c r="AD19" s="205">
        <v>1</v>
      </c>
      <c r="AE19" s="205">
        <v>-1</v>
      </c>
      <c r="AF19" s="205">
        <v>-1</v>
      </c>
      <c r="AG19" s="211" t="s">
        <v>236</v>
      </c>
      <c r="AH19" s="210" t="s">
        <v>237</v>
      </c>
      <c r="AI19" s="210" t="s">
        <v>239</v>
      </c>
      <c r="AJ19" s="218">
        <f t="shared" si="3"/>
        <v>52.9</v>
      </c>
      <c r="AK19" s="224">
        <f t="shared" si="4"/>
        <v>190.88271322225</v>
      </c>
      <c r="AM19" s="198">
        <v>1233</v>
      </c>
      <c r="AN19" s="205">
        <v>-1</v>
      </c>
      <c r="AO19" s="205">
        <v>0</v>
      </c>
      <c r="AP19" s="205">
        <v>1</v>
      </c>
      <c r="AQ19" s="205">
        <v>1</v>
      </c>
      <c r="AR19" s="222"/>
      <c r="AS19" s="211" t="s">
        <v>238</v>
      </c>
      <c r="AT19" s="211" t="s">
        <v>240</v>
      </c>
      <c r="AU19" s="226">
        <v>49.870981818063797</v>
      </c>
      <c r="AV19" s="226">
        <v>223.20260944180501</v>
      </c>
    </row>
    <row r="20" spans="1:48">
      <c r="A20" s="239">
        <v>18</v>
      </c>
      <c r="B20" s="198">
        <v>1311</v>
      </c>
      <c r="C20" s="205">
        <v>-1</v>
      </c>
      <c r="D20" s="205">
        <v>1</v>
      </c>
      <c r="E20" s="205">
        <v>-1</v>
      </c>
      <c r="F20" s="205">
        <v>-1</v>
      </c>
      <c r="G20" s="211" t="s">
        <v>236</v>
      </c>
      <c r="H20" s="210" t="s">
        <v>237</v>
      </c>
      <c r="I20" s="210" t="s">
        <v>239</v>
      </c>
      <c r="J20" s="221">
        <v>52.9</v>
      </c>
      <c r="K20" s="223">
        <v>184.10700293514699</v>
      </c>
      <c r="O20" s="205">
        <v>1</v>
      </c>
      <c r="P20" s="205">
        <v>1</v>
      </c>
      <c r="Q20" s="205">
        <v>0</v>
      </c>
      <c r="R20" s="700"/>
      <c r="S20" s="237" t="s">
        <v>246</v>
      </c>
      <c r="T20" s="55"/>
      <c r="U20" s="226">
        <f>MIN(U9:U10)</f>
        <v>49.870981818063797</v>
      </c>
      <c r="V20" s="218">
        <f t="shared" si="5"/>
        <v>51.385490909031901</v>
      </c>
      <c r="W20" s="226">
        <f>MIN(W9:W10)</f>
        <v>52.9</v>
      </c>
      <c r="X20" s="226">
        <f>MAX(X9:X10)</f>
        <v>184.10700293514699</v>
      </c>
      <c r="Y20" s="218">
        <f t="shared" si="6"/>
        <v>190.88271322225</v>
      </c>
      <c r="Z20" s="226">
        <f>MAX(Z9:Z10)</f>
        <v>197.65842350935301</v>
      </c>
      <c r="AB20" s="198">
        <f t="shared" si="2"/>
        <v>2313</v>
      </c>
      <c r="AC20" s="205">
        <v>0</v>
      </c>
      <c r="AD20" s="205">
        <v>1</v>
      </c>
      <c r="AE20" s="205">
        <v>-1</v>
      </c>
      <c r="AF20" s="205">
        <v>1</v>
      </c>
      <c r="AG20" s="211" t="s">
        <v>236</v>
      </c>
      <c r="AH20" s="210" t="s">
        <v>237</v>
      </c>
      <c r="AI20" s="211" t="s">
        <v>240</v>
      </c>
      <c r="AJ20" s="218">
        <f t="shared" si="3"/>
        <v>51.385490909031901</v>
      </c>
      <c r="AK20" s="224">
        <f t="shared" si="4"/>
        <v>181.88304800332401</v>
      </c>
      <c r="AM20" s="198">
        <v>1311</v>
      </c>
      <c r="AN20" s="205">
        <v>-1</v>
      </c>
      <c r="AO20" s="205">
        <v>1</v>
      </c>
      <c r="AP20" s="205">
        <v>-1</v>
      </c>
      <c r="AQ20" s="205">
        <v>-1</v>
      </c>
      <c r="AR20" s="211" t="s">
        <v>236</v>
      </c>
      <c r="AS20" s="210" t="s">
        <v>237</v>
      </c>
      <c r="AT20" s="210" t="s">
        <v>239</v>
      </c>
      <c r="AU20" s="221">
        <v>52.9</v>
      </c>
      <c r="AV20" s="223">
        <v>184.10700293514699</v>
      </c>
    </row>
    <row r="21" spans="1:48">
      <c r="A21" s="239">
        <v>19</v>
      </c>
      <c r="B21" s="198">
        <v>1312</v>
      </c>
      <c r="C21" s="205">
        <v>-1</v>
      </c>
      <c r="D21" s="205">
        <v>1</v>
      </c>
      <c r="E21" s="205">
        <v>-1</v>
      </c>
      <c r="F21" s="205">
        <v>0</v>
      </c>
      <c r="G21" s="211" t="s">
        <v>236</v>
      </c>
      <c r="H21" s="210" t="s">
        <v>237</v>
      </c>
      <c r="I21" s="222"/>
      <c r="J21" s="226">
        <v>49.870981818063797</v>
      </c>
      <c r="K21" s="226">
        <v>184.10700293514699</v>
      </c>
      <c r="O21" s="205">
        <v>-1</v>
      </c>
      <c r="P21" s="205">
        <v>0</v>
      </c>
      <c r="Q21" s="205">
        <v>-1</v>
      </c>
      <c r="R21" s="55"/>
      <c r="S21" s="24" t="s">
        <v>245</v>
      </c>
      <c r="T21" s="688" t="s">
        <v>72</v>
      </c>
      <c r="U21" s="226">
        <f>MIN(U3,U7)</f>
        <v>51.3</v>
      </c>
      <c r="V21" s="218">
        <f t="shared" si="5"/>
        <v>47.772590069269953</v>
      </c>
      <c r="W21" s="226">
        <f>MIN(W3,W7)</f>
        <v>44.245180138539901</v>
      </c>
      <c r="X21" s="226">
        <f>MAX(X3,X7)</f>
        <v>223.20260944180501</v>
      </c>
      <c r="Y21" s="218">
        <f t="shared" si="6"/>
        <v>220.45741414966051</v>
      </c>
      <c r="Z21" s="226">
        <f>MAX(Z3,Z7)</f>
        <v>217.71221885751601</v>
      </c>
      <c r="AB21" s="198">
        <f t="shared" si="2"/>
        <v>2131</v>
      </c>
      <c r="AC21" s="205">
        <v>0</v>
      </c>
      <c r="AD21" s="205">
        <v>-1</v>
      </c>
      <c r="AE21" s="205">
        <v>1</v>
      </c>
      <c r="AF21" s="205">
        <v>-1</v>
      </c>
      <c r="AG21" s="210" t="s">
        <v>235</v>
      </c>
      <c r="AH21" s="211" t="s">
        <v>238</v>
      </c>
      <c r="AI21" s="210" t="s">
        <v>239</v>
      </c>
      <c r="AJ21" s="218">
        <f t="shared" si="3"/>
        <v>47.772590069269953</v>
      </c>
      <c r="AK21" s="224">
        <f t="shared" si="4"/>
        <v>210.430516475579</v>
      </c>
      <c r="AM21" s="198">
        <v>1312</v>
      </c>
      <c r="AN21" s="205">
        <v>-1</v>
      </c>
      <c r="AO21" s="205">
        <v>1</v>
      </c>
      <c r="AP21" s="205">
        <v>-1</v>
      </c>
      <c r="AQ21" s="205">
        <v>0</v>
      </c>
      <c r="AR21" s="211" t="s">
        <v>236</v>
      </c>
      <c r="AS21" s="210" t="s">
        <v>237</v>
      </c>
      <c r="AT21" s="222"/>
      <c r="AU21" s="226">
        <v>49.870981818063797</v>
      </c>
      <c r="AV21" s="226">
        <v>184.10700293514699</v>
      </c>
    </row>
    <row r="22" spans="1:48">
      <c r="A22" s="239">
        <v>20</v>
      </c>
      <c r="B22" s="198">
        <v>1313</v>
      </c>
      <c r="C22" s="205">
        <v>-1</v>
      </c>
      <c r="D22" s="205">
        <v>1</v>
      </c>
      <c r="E22" s="205">
        <v>-1</v>
      </c>
      <c r="F22" s="205">
        <v>1</v>
      </c>
      <c r="G22" s="211" t="s">
        <v>236</v>
      </c>
      <c r="H22" s="210" t="s">
        <v>237</v>
      </c>
      <c r="I22" s="211" t="s">
        <v>240</v>
      </c>
      <c r="J22" s="221">
        <v>49.870981818063797</v>
      </c>
      <c r="K22" s="223">
        <v>184.10700293514699</v>
      </c>
      <c r="O22" s="205">
        <v>1</v>
      </c>
      <c r="P22" s="205">
        <v>0</v>
      </c>
      <c r="Q22" s="205">
        <v>-1</v>
      </c>
      <c r="R22" s="55"/>
      <c r="S22" s="234" t="s">
        <v>246</v>
      </c>
      <c r="T22" s="689"/>
      <c r="U22" s="226">
        <f>MIN(U5,U9)</f>
        <v>52.9</v>
      </c>
      <c r="V22" s="218">
        <f t="shared" si="5"/>
        <v>52.9</v>
      </c>
      <c r="W22" s="226">
        <f>MIN(W5,W9)</f>
        <v>52.9</v>
      </c>
      <c r="X22" s="226">
        <f>MAX(X5,X9)</f>
        <v>184.10700293514699</v>
      </c>
      <c r="Y22" s="218">
        <f t="shared" si="6"/>
        <v>190.88271322225</v>
      </c>
      <c r="Z22" s="226">
        <f>MAX(Z5,Z9)</f>
        <v>197.65842350935301</v>
      </c>
      <c r="AB22" s="198">
        <f t="shared" si="2"/>
        <v>2133</v>
      </c>
      <c r="AC22" s="205">
        <v>0</v>
      </c>
      <c r="AD22" s="205">
        <v>-1</v>
      </c>
      <c r="AE22" s="205">
        <v>1</v>
      </c>
      <c r="AF22" s="205">
        <v>1</v>
      </c>
      <c r="AG22" s="210" t="s">
        <v>235</v>
      </c>
      <c r="AH22" s="211" t="s">
        <v>238</v>
      </c>
      <c r="AI22" s="211" t="s">
        <v>240</v>
      </c>
      <c r="AJ22" s="218">
        <f t="shared" si="3"/>
        <v>47.058080978301845</v>
      </c>
      <c r="AK22" s="224">
        <f t="shared" si="4"/>
        <v>199.58101717206449</v>
      </c>
      <c r="AM22" s="198">
        <v>1313</v>
      </c>
      <c r="AN22" s="205">
        <v>-1</v>
      </c>
      <c r="AO22" s="205">
        <v>1</v>
      </c>
      <c r="AP22" s="205">
        <v>-1</v>
      </c>
      <c r="AQ22" s="205">
        <v>1</v>
      </c>
      <c r="AR22" s="211" t="s">
        <v>236</v>
      </c>
      <c r="AS22" s="210" t="s">
        <v>237</v>
      </c>
      <c r="AT22" s="211" t="s">
        <v>240</v>
      </c>
      <c r="AU22" s="221">
        <v>49.870981818063797</v>
      </c>
      <c r="AV22" s="223">
        <v>184.10700293514699</v>
      </c>
    </row>
    <row r="23" spans="1:48">
      <c r="A23" s="239">
        <v>21</v>
      </c>
      <c r="B23" s="198">
        <v>1321</v>
      </c>
      <c r="C23" s="205">
        <v>-1</v>
      </c>
      <c r="D23" s="205">
        <v>1</v>
      </c>
      <c r="E23" s="205">
        <v>0</v>
      </c>
      <c r="F23" s="205">
        <v>-1</v>
      </c>
      <c r="G23" s="211" t="s">
        <v>236</v>
      </c>
      <c r="H23" s="222"/>
      <c r="I23" s="210" t="s">
        <v>239</v>
      </c>
      <c r="J23" s="226">
        <v>52.9</v>
      </c>
      <c r="K23" s="226">
        <v>184.10700293514699</v>
      </c>
      <c r="O23" s="205">
        <v>-1</v>
      </c>
      <c r="P23" s="205">
        <v>0</v>
      </c>
      <c r="Q23" s="205">
        <v>1</v>
      </c>
      <c r="R23" s="55"/>
      <c r="S23" s="24" t="s">
        <v>245</v>
      </c>
      <c r="T23" s="690" t="s">
        <v>71</v>
      </c>
      <c r="U23" s="226">
        <f>MIN(U4,U8)</f>
        <v>49.870981818063797</v>
      </c>
      <c r="V23" s="218">
        <f t="shared" si="5"/>
        <v>47.058080978301845</v>
      </c>
      <c r="W23" s="226">
        <f>MIN(W4,W8)</f>
        <v>44.245180138539901</v>
      </c>
      <c r="X23" s="226">
        <f>MAX(X4,X8)</f>
        <v>223.20260944180501</v>
      </c>
      <c r="Y23" s="218">
        <f t="shared" si="6"/>
        <v>220.45741414966051</v>
      </c>
      <c r="Z23" s="226">
        <f>MAX(Z4,Z8)</f>
        <v>217.71221885751601</v>
      </c>
      <c r="AB23" s="198">
        <f t="shared" si="2"/>
        <v>2331</v>
      </c>
      <c r="AC23" s="205">
        <v>0</v>
      </c>
      <c r="AD23" s="205">
        <v>1</v>
      </c>
      <c r="AE23" s="205">
        <v>1</v>
      </c>
      <c r="AF23" s="205">
        <v>-1</v>
      </c>
      <c r="AG23" s="211" t="s">
        <v>236</v>
      </c>
      <c r="AH23" s="211" t="s">
        <v>238</v>
      </c>
      <c r="AI23" s="210" t="s">
        <v>239</v>
      </c>
      <c r="AJ23" s="218">
        <f t="shared" si="3"/>
        <v>52.9</v>
      </c>
      <c r="AK23" s="224">
        <f t="shared" si="4"/>
        <v>190.88271322225</v>
      </c>
      <c r="AM23" s="198">
        <v>1321</v>
      </c>
      <c r="AN23" s="205">
        <v>-1</v>
      </c>
      <c r="AO23" s="205">
        <v>1</v>
      </c>
      <c r="AP23" s="205">
        <v>0</v>
      </c>
      <c r="AQ23" s="205">
        <v>-1</v>
      </c>
      <c r="AR23" s="211" t="s">
        <v>236</v>
      </c>
      <c r="AS23" s="222"/>
      <c r="AT23" s="210" t="s">
        <v>239</v>
      </c>
      <c r="AU23" s="226">
        <v>52.9</v>
      </c>
      <c r="AV23" s="226">
        <v>184.10700293514699</v>
      </c>
    </row>
    <row r="24" spans="1:48">
      <c r="A24" s="239">
        <v>22</v>
      </c>
      <c r="B24" s="198">
        <v>1322</v>
      </c>
      <c r="C24" s="205">
        <v>-1</v>
      </c>
      <c r="D24" s="205">
        <v>1</v>
      </c>
      <c r="E24" s="205">
        <v>0</v>
      </c>
      <c r="F24" s="205">
        <v>0</v>
      </c>
      <c r="G24" s="211" t="s">
        <v>236</v>
      </c>
      <c r="H24" s="222"/>
      <c r="I24" s="222"/>
      <c r="J24" s="221">
        <v>52.9</v>
      </c>
      <c r="K24" s="223">
        <v>184.10700293514699</v>
      </c>
      <c r="O24" s="205">
        <v>1</v>
      </c>
      <c r="P24" s="205">
        <v>0</v>
      </c>
      <c r="Q24" s="205">
        <v>1</v>
      </c>
      <c r="R24" s="55"/>
      <c r="S24" s="234" t="s">
        <v>246</v>
      </c>
      <c r="T24" s="690"/>
      <c r="U24" s="226">
        <f>MIN(U6,U10)</f>
        <v>49.870981818063797</v>
      </c>
      <c r="V24" s="218">
        <f t="shared" si="5"/>
        <v>51.385490909031901</v>
      </c>
      <c r="W24" s="226">
        <f>MIN(W6,W10)</f>
        <v>52.9</v>
      </c>
      <c r="X24" s="226">
        <f>MAX(X6,X10)</f>
        <v>184.10700293514699</v>
      </c>
      <c r="Y24" s="218">
        <f t="shared" si="6"/>
        <v>181.88304800332401</v>
      </c>
      <c r="Z24" s="226">
        <f>MAX(Z6,Z10)</f>
        <v>179.65909307150099</v>
      </c>
      <c r="AB24" s="198">
        <f t="shared" si="2"/>
        <v>2333</v>
      </c>
      <c r="AC24" s="205">
        <v>0</v>
      </c>
      <c r="AD24" s="205">
        <v>1</v>
      </c>
      <c r="AE24" s="205">
        <v>1</v>
      </c>
      <c r="AF24" s="205">
        <v>1</v>
      </c>
      <c r="AG24" s="211" t="s">
        <v>236</v>
      </c>
      <c r="AH24" s="211" t="s">
        <v>238</v>
      </c>
      <c r="AI24" s="211" t="s">
        <v>240</v>
      </c>
      <c r="AJ24" s="218">
        <f t="shared" si="3"/>
        <v>51.385490909031901</v>
      </c>
      <c r="AK24" s="224">
        <f t="shared" si="4"/>
        <v>177.13161234725851</v>
      </c>
      <c r="AM24" s="198">
        <v>1322</v>
      </c>
      <c r="AN24" s="205">
        <v>-1</v>
      </c>
      <c r="AO24" s="205">
        <v>1</v>
      </c>
      <c r="AP24" s="205">
        <v>0</v>
      </c>
      <c r="AQ24" s="205">
        <v>0</v>
      </c>
      <c r="AR24" s="211" t="s">
        <v>236</v>
      </c>
      <c r="AS24" s="222"/>
      <c r="AT24" s="222"/>
      <c r="AU24" s="221">
        <v>52.9</v>
      </c>
      <c r="AV24" s="223">
        <v>184.10700293514699</v>
      </c>
    </row>
    <row r="25" spans="1:48">
      <c r="A25" s="239">
        <v>23</v>
      </c>
      <c r="B25" s="198">
        <v>1323</v>
      </c>
      <c r="C25" s="205">
        <v>-1</v>
      </c>
      <c r="D25" s="205">
        <v>1</v>
      </c>
      <c r="E25" s="205">
        <v>0</v>
      </c>
      <c r="F25" s="205">
        <v>1</v>
      </c>
      <c r="G25" s="211" t="s">
        <v>236</v>
      </c>
      <c r="H25" s="222"/>
      <c r="I25" s="211" t="s">
        <v>240</v>
      </c>
      <c r="J25" s="226">
        <v>49.870981818063797</v>
      </c>
      <c r="K25" s="226">
        <v>184.10700293514699</v>
      </c>
      <c r="O25" s="205">
        <v>0</v>
      </c>
      <c r="P25" s="205">
        <v>-1</v>
      </c>
      <c r="Q25" s="205">
        <v>-1</v>
      </c>
      <c r="R25" s="688" t="s">
        <v>244</v>
      </c>
      <c r="S25" s="222"/>
      <c r="T25" s="219" t="s">
        <v>72</v>
      </c>
      <c r="U25" s="226">
        <f>MIN(U3,U5)</f>
        <v>51.3</v>
      </c>
      <c r="V25" s="218">
        <f t="shared" si="5"/>
        <v>47.772590069269953</v>
      </c>
      <c r="W25" s="226">
        <f>MIN(W3,W5)</f>
        <v>44.245180138539901</v>
      </c>
      <c r="X25" s="226">
        <f>MAX(X3,X5)</f>
        <v>223.20260944180501</v>
      </c>
      <c r="Y25" s="218">
        <f t="shared" si="6"/>
        <v>220.45741414966051</v>
      </c>
      <c r="Z25" s="226">
        <f>MAX(Z3,Z5)</f>
        <v>217.71221885751601</v>
      </c>
      <c r="AB25" s="198">
        <f t="shared" si="2"/>
        <v>2212</v>
      </c>
      <c r="AC25" s="205">
        <v>0</v>
      </c>
      <c r="AD25" s="205">
        <v>0</v>
      </c>
      <c r="AE25" s="205">
        <v>-1</v>
      </c>
      <c r="AF25" s="205">
        <v>0</v>
      </c>
      <c r="AG25" s="222"/>
      <c r="AH25" s="210" t="s">
        <v>237</v>
      </c>
      <c r="AI25" s="222"/>
      <c r="AJ25" s="218">
        <f t="shared" si="3"/>
        <v>64.299414597301705</v>
      </c>
      <c r="AK25" s="224">
        <f t="shared" si="4"/>
        <v>149.83413717879299</v>
      </c>
      <c r="AM25" s="198">
        <v>1323</v>
      </c>
      <c r="AN25" s="205">
        <v>-1</v>
      </c>
      <c r="AO25" s="205">
        <v>1</v>
      </c>
      <c r="AP25" s="205">
        <v>0</v>
      </c>
      <c r="AQ25" s="205">
        <v>1</v>
      </c>
      <c r="AR25" s="211" t="s">
        <v>236</v>
      </c>
      <c r="AS25" s="222"/>
      <c r="AT25" s="211" t="s">
        <v>240</v>
      </c>
      <c r="AU25" s="226">
        <v>49.870981818063797</v>
      </c>
      <c r="AV25" s="226">
        <v>184.10700293514699</v>
      </c>
    </row>
    <row r="26" spans="1:48">
      <c r="A26" s="239">
        <v>24</v>
      </c>
      <c r="B26" s="198">
        <v>1331</v>
      </c>
      <c r="C26" s="205">
        <v>-1</v>
      </c>
      <c r="D26" s="205">
        <v>1</v>
      </c>
      <c r="E26" s="205">
        <v>1</v>
      </c>
      <c r="F26" s="205">
        <v>-1</v>
      </c>
      <c r="G26" s="211" t="s">
        <v>236</v>
      </c>
      <c r="H26" s="211" t="s">
        <v>238</v>
      </c>
      <c r="I26" s="210" t="s">
        <v>239</v>
      </c>
      <c r="J26" s="221">
        <v>52.9</v>
      </c>
      <c r="K26" s="223">
        <v>184.10700293514699</v>
      </c>
      <c r="O26" s="205">
        <v>0</v>
      </c>
      <c r="P26" s="205">
        <v>-1</v>
      </c>
      <c r="Q26" s="205">
        <v>1</v>
      </c>
      <c r="R26" s="689"/>
      <c r="S26" s="222"/>
      <c r="T26" s="220" t="s">
        <v>71</v>
      </c>
      <c r="U26" s="226">
        <f>MIN(U4,U6)</f>
        <v>49.870981818063797</v>
      </c>
      <c r="V26" s="218">
        <f t="shared" si="5"/>
        <v>47.058080978301845</v>
      </c>
      <c r="W26" s="226">
        <f>MIN(W4,W6)</f>
        <v>44.245180138539901</v>
      </c>
      <c r="X26" s="226">
        <f>MAX(X4,X6)</f>
        <v>223.20260944180501</v>
      </c>
      <c r="Y26" s="218">
        <f t="shared" si="6"/>
        <v>220.45741414966051</v>
      </c>
      <c r="Z26" s="226">
        <f>MAX(Z4,Z6)</f>
        <v>217.71221885751601</v>
      </c>
      <c r="AB26" s="198">
        <f t="shared" si="2"/>
        <v>2232</v>
      </c>
      <c r="AC26" s="205">
        <v>0</v>
      </c>
      <c r="AD26" s="205">
        <v>0</v>
      </c>
      <c r="AE26" s="205">
        <v>1</v>
      </c>
      <c r="AF26" s="205">
        <v>0</v>
      </c>
      <c r="AG26" s="222"/>
      <c r="AH26" s="211" t="s">
        <v>238</v>
      </c>
      <c r="AI26" s="222"/>
      <c r="AJ26" s="218">
        <f t="shared" si="3"/>
        <v>72.300585402698303</v>
      </c>
      <c r="AK26" s="224">
        <f t="shared" si="4"/>
        <v>127.97069812754</v>
      </c>
      <c r="AM26" s="198">
        <v>1331</v>
      </c>
      <c r="AN26" s="205">
        <v>-1</v>
      </c>
      <c r="AO26" s="205">
        <v>1</v>
      </c>
      <c r="AP26" s="205">
        <v>1</v>
      </c>
      <c r="AQ26" s="205">
        <v>-1</v>
      </c>
      <c r="AR26" s="211" t="s">
        <v>236</v>
      </c>
      <c r="AS26" s="211" t="s">
        <v>238</v>
      </c>
      <c r="AT26" s="210" t="s">
        <v>239</v>
      </c>
      <c r="AU26" s="221">
        <v>52.9</v>
      </c>
      <c r="AV26" s="223">
        <v>184.10700293514699</v>
      </c>
    </row>
    <row r="27" spans="1:48">
      <c r="A27" s="239">
        <v>25</v>
      </c>
      <c r="B27" s="198">
        <v>1332</v>
      </c>
      <c r="C27" s="205">
        <v>-1</v>
      </c>
      <c r="D27" s="205">
        <v>1</v>
      </c>
      <c r="E27" s="205">
        <v>1</v>
      </c>
      <c r="F27" s="205">
        <v>0</v>
      </c>
      <c r="G27" s="211" t="s">
        <v>236</v>
      </c>
      <c r="H27" s="211" t="s">
        <v>238</v>
      </c>
      <c r="I27" s="222"/>
      <c r="J27" s="226">
        <v>49.870981818063797</v>
      </c>
      <c r="K27" s="226">
        <v>184.10700293514699</v>
      </c>
      <c r="O27" s="205">
        <v>0</v>
      </c>
      <c r="P27" s="205">
        <v>1</v>
      </c>
      <c r="Q27" s="205">
        <v>-1</v>
      </c>
      <c r="R27" s="690" t="s">
        <v>247</v>
      </c>
      <c r="S27" s="222"/>
      <c r="T27" s="219" t="s">
        <v>72</v>
      </c>
      <c r="U27" s="226">
        <f>MIN(U7,U9)</f>
        <v>51.3</v>
      </c>
      <c r="V27" s="218">
        <f t="shared" si="5"/>
        <v>47.772590069269953</v>
      </c>
      <c r="W27" s="226">
        <f>MIN(W7,W9)</f>
        <v>44.245180138539901</v>
      </c>
      <c r="X27" s="226">
        <f>MAX(X7,X9)</f>
        <v>223.20260944180501</v>
      </c>
      <c r="Y27" s="218">
        <f t="shared" si="6"/>
        <v>210.430516475579</v>
      </c>
      <c r="Z27" s="226">
        <f>MAX(Z7,Z9)</f>
        <v>197.65842350935301</v>
      </c>
      <c r="AB27" s="198">
        <f t="shared" si="2"/>
        <v>2122</v>
      </c>
      <c r="AC27" s="205">
        <v>0</v>
      </c>
      <c r="AD27" s="205">
        <v>-1</v>
      </c>
      <c r="AE27" s="205">
        <v>0</v>
      </c>
      <c r="AF27" s="205">
        <v>0</v>
      </c>
      <c r="AG27" s="210" t="s">
        <v>235</v>
      </c>
      <c r="AH27" s="222"/>
      <c r="AI27" s="222"/>
      <c r="AJ27" s="218">
        <f t="shared" si="3"/>
        <v>47.772590069269953</v>
      </c>
      <c r="AK27" s="224">
        <f t="shared" si="4"/>
        <v>199.58101717206449</v>
      </c>
      <c r="AM27" s="198">
        <v>1332</v>
      </c>
      <c r="AN27" s="205">
        <v>-1</v>
      </c>
      <c r="AO27" s="205">
        <v>1</v>
      </c>
      <c r="AP27" s="205">
        <v>1</v>
      </c>
      <c r="AQ27" s="205">
        <v>0</v>
      </c>
      <c r="AR27" s="211" t="s">
        <v>236</v>
      </c>
      <c r="AS27" s="211" t="s">
        <v>238</v>
      </c>
      <c r="AT27" s="222"/>
      <c r="AU27" s="226">
        <v>49.870981818063797</v>
      </c>
      <c r="AV27" s="226">
        <v>184.10700293514699</v>
      </c>
    </row>
    <row r="28" spans="1:48">
      <c r="A28" s="239">
        <v>26</v>
      </c>
      <c r="B28" s="198">
        <v>1333</v>
      </c>
      <c r="C28" s="205">
        <v>-1</v>
      </c>
      <c r="D28" s="205">
        <v>1</v>
      </c>
      <c r="E28" s="205">
        <v>1</v>
      </c>
      <c r="F28" s="205">
        <v>1</v>
      </c>
      <c r="G28" s="211" t="s">
        <v>236</v>
      </c>
      <c r="H28" s="211" t="s">
        <v>238</v>
      </c>
      <c r="I28" s="211" t="s">
        <v>240</v>
      </c>
      <c r="J28" s="221">
        <v>49.870981818063797</v>
      </c>
      <c r="K28" s="223">
        <v>184.10700293514699</v>
      </c>
      <c r="O28" s="205">
        <v>0</v>
      </c>
      <c r="P28" s="205">
        <v>1</v>
      </c>
      <c r="Q28" s="205">
        <v>1</v>
      </c>
      <c r="R28" s="690"/>
      <c r="S28" s="222"/>
      <c r="T28" s="220" t="s">
        <v>71</v>
      </c>
      <c r="U28" s="226">
        <f>MIN(U8,U10)</f>
        <v>49.870981818063797</v>
      </c>
      <c r="V28" s="218">
        <f t="shared" si="5"/>
        <v>47.058080978301845</v>
      </c>
      <c r="W28" s="226">
        <f>MIN(W8,W10)</f>
        <v>44.245180138539901</v>
      </c>
      <c r="X28" s="226">
        <f>MAX(X8,X10)</f>
        <v>223.20260944180501</v>
      </c>
      <c r="Y28" s="218">
        <f t="shared" si="6"/>
        <v>199.58101717206449</v>
      </c>
      <c r="Z28" s="226">
        <f>MAX(Z8,Z10)</f>
        <v>175.959424902324</v>
      </c>
      <c r="AB28" s="198">
        <f t="shared" si="2"/>
        <v>2322</v>
      </c>
      <c r="AC28" s="205">
        <v>0</v>
      </c>
      <c r="AD28" s="205">
        <v>1</v>
      </c>
      <c r="AE28" s="205">
        <v>0</v>
      </c>
      <c r="AF28" s="205">
        <v>0</v>
      </c>
      <c r="AG28" s="211" t="s">
        <v>236</v>
      </c>
      <c r="AH28" s="222"/>
      <c r="AI28" s="222"/>
      <c r="AJ28" s="218">
        <f t="shared" si="3"/>
        <v>52.9</v>
      </c>
      <c r="AK28" s="224">
        <f t="shared" si="4"/>
        <v>175.52358233469801</v>
      </c>
      <c r="AM28" s="198">
        <v>1333</v>
      </c>
      <c r="AN28" s="205">
        <v>-1</v>
      </c>
      <c r="AO28" s="205">
        <v>1</v>
      </c>
      <c r="AP28" s="205">
        <v>1</v>
      </c>
      <c r="AQ28" s="205">
        <v>1</v>
      </c>
      <c r="AR28" s="211" t="s">
        <v>236</v>
      </c>
      <c r="AS28" s="211" t="s">
        <v>238</v>
      </c>
      <c r="AT28" s="211" t="s">
        <v>240</v>
      </c>
      <c r="AU28" s="221">
        <v>49.870981818063797</v>
      </c>
      <c r="AV28" s="223">
        <v>184.10700293514699</v>
      </c>
    </row>
    <row r="29" spans="1:48">
      <c r="A29" s="240">
        <v>1</v>
      </c>
      <c r="B29" s="198">
        <v>2111</v>
      </c>
      <c r="C29" s="205">
        <v>0</v>
      </c>
      <c r="D29" s="205">
        <v>-1</v>
      </c>
      <c r="E29" s="205">
        <v>-1</v>
      </c>
      <c r="F29" s="205">
        <v>-1</v>
      </c>
      <c r="G29" s="210" t="s">
        <v>235</v>
      </c>
      <c r="H29" s="210" t="s">
        <v>237</v>
      </c>
      <c r="I29" s="210" t="s">
        <v>239</v>
      </c>
      <c r="J29" s="218">
        <v>47.772590069269953</v>
      </c>
      <c r="K29" s="224">
        <v>220.45741414966051</v>
      </c>
      <c r="V29" s="235"/>
      <c r="AB29" s="198">
        <f t="shared" si="2"/>
        <v>2221</v>
      </c>
      <c r="AC29" s="205">
        <v>0</v>
      </c>
      <c r="AD29" s="205">
        <v>0</v>
      </c>
      <c r="AE29" s="205">
        <v>0</v>
      </c>
      <c r="AF29" s="205">
        <v>-1</v>
      </c>
      <c r="AG29" s="222"/>
      <c r="AH29" s="222"/>
      <c r="AI29" s="210" t="s">
        <v>239</v>
      </c>
      <c r="AJ29" s="218">
        <f t="shared" si="3"/>
        <v>68.882867603733445</v>
      </c>
      <c r="AK29" s="224">
        <f t="shared" si="4"/>
        <v>165.52921175467651</v>
      </c>
      <c r="AM29" s="198">
        <v>2111</v>
      </c>
      <c r="AN29" s="205">
        <v>0</v>
      </c>
      <c r="AO29" s="205">
        <v>-1</v>
      </c>
      <c r="AP29" s="205">
        <v>-1</v>
      </c>
      <c r="AQ29" s="205">
        <v>-1</v>
      </c>
      <c r="AR29" s="210" t="s">
        <v>235</v>
      </c>
      <c r="AS29" s="210" t="s">
        <v>237</v>
      </c>
      <c r="AT29" s="210" t="s">
        <v>239</v>
      </c>
      <c r="AU29" s="218">
        <v>47.772590069269953</v>
      </c>
      <c r="AV29" s="224">
        <v>220.45741414966051</v>
      </c>
    </row>
    <row r="30" spans="1:48">
      <c r="A30" s="240">
        <v>2</v>
      </c>
      <c r="B30" s="198">
        <v>2112</v>
      </c>
      <c r="C30" s="205">
        <v>0</v>
      </c>
      <c r="D30" s="205">
        <v>-1</v>
      </c>
      <c r="E30" s="205">
        <v>-1</v>
      </c>
      <c r="F30" s="205">
        <v>0</v>
      </c>
      <c r="G30" s="210" t="s">
        <v>235</v>
      </c>
      <c r="H30" s="210" t="s">
        <v>237</v>
      </c>
      <c r="I30" s="222"/>
      <c r="J30" s="218">
        <v>47.058080978301845</v>
      </c>
      <c r="K30" s="218">
        <v>220.45741414966051</v>
      </c>
      <c r="U30" s="325">
        <f>MIN(U3:W28)</f>
        <v>44.245180138539901</v>
      </c>
      <c r="V30" s="325" t="s">
        <v>193</v>
      </c>
      <c r="Y30" s="243">
        <f>MAX(X3:Z28)/9.81*2.2</f>
        <v>50.055631067479204</v>
      </c>
      <c r="Z30" s="244" t="s">
        <v>258</v>
      </c>
      <c r="AB30" s="198">
        <f t="shared" si="2"/>
        <v>2223</v>
      </c>
      <c r="AC30" s="205">
        <v>0</v>
      </c>
      <c r="AD30" s="205">
        <v>0</v>
      </c>
      <c r="AE30" s="205">
        <v>0</v>
      </c>
      <c r="AF30" s="205">
        <v>1</v>
      </c>
      <c r="AG30" s="222"/>
      <c r="AH30" s="222"/>
      <c r="AI30" s="211" t="s">
        <v>240</v>
      </c>
      <c r="AJ30" s="218">
        <f t="shared" si="3"/>
        <v>53.095306724034899</v>
      </c>
      <c r="AK30" s="224">
        <f t="shared" si="4"/>
        <v>134.728110879685</v>
      </c>
      <c r="AM30" s="198">
        <v>2112</v>
      </c>
      <c r="AN30" s="205">
        <v>0</v>
      </c>
      <c r="AO30" s="205">
        <v>-1</v>
      </c>
      <c r="AP30" s="205">
        <v>-1</v>
      </c>
      <c r="AQ30" s="205">
        <v>0</v>
      </c>
      <c r="AR30" s="210" t="s">
        <v>235</v>
      </c>
      <c r="AS30" s="210" t="s">
        <v>237</v>
      </c>
      <c r="AT30" s="222"/>
      <c r="AU30" s="218">
        <v>47.058080978301845</v>
      </c>
      <c r="AV30" s="218">
        <v>220.45741414966051</v>
      </c>
    </row>
    <row r="31" spans="1:48">
      <c r="A31" s="240">
        <v>3</v>
      </c>
      <c r="B31" s="198">
        <v>2113</v>
      </c>
      <c r="C31" s="205">
        <v>0</v>
      </c>
      <c r="D31" s="205">
        <v>-1</v>
      </c>
      <c r="E31" s="205">
        <v>-1</v>
      </c>
      <c r="F31" s="205">
        <v>1</v>
      </c>
      <c r="G31" s="210" t="s">
        <v>235</v>
      </c>
      <c r="H31" s="210" t="s">
        <v>237</v>
      </c>
      <c r="I31" s="211" t="s">
        <v>240</v>
      </c>
      <c r="J31" s="218">
        <v>47.058080978301845</v>
      </c>
      <c r="K31" s="224">
        <v>220.45741414966051</v>
      </c>
      <c r="U31" s="326">
        <f>MAX(X3:Z28)</f>
        <v>223.20260944180501</v>
      </c>
      <c r="V31" s="326" t="s">
        <v>192</v>
      </c>
      <c r="AB31" s="198">
        <f t="shared" si="2"/>
        <v>3111</v>
      </c>
      <c r="AC31" s="205">
        <v>1</v>
      </c>
      <c r="AD31" s="205">
        <v>-1</v>
      </c>
      <c r="AE31" s="205">
        <v>-1</v>
      </c>
      <c r="AF31" s="205">
        <v>-1</v>
      </c>
      <c r="AG31" s="210" t="s">
        <v>235</v>
      </c>
      <c r="AH31" s="210" t="s">
        <v>237</v>
      </c>
      <c r="AI31" s="210" t="s">
        <v>239</v>
      </c>
      <c r="AJ31" s="221">
        <f t="shared" ref="AJ31:AJ44" si="7">W3</f>
        <v>44.245180138539901</v>
      </c>
      <c r="AK31" s="223">
        <f t="shared" ref="AK31:AK44" si="8">Z3</f>
        <v>217.71221885751601</v>
      </c>
      <c r="AM31" s="198">
        <v>2113</v>
      </c>
      <c r="AN31" s="205">
        <v>0</v>
      </c>
      <c r="AO31" s="205">
        <v>-1</v>
      </c>
      <c r="AP31" s="205">
        <v>-1</v>
      </c>
      <c r="AQ31" s="205">
        <v>1</v>
      </c>
      <c r="AR31" s="210" t="s">
        <v>235</v>
      </c>
      <c r="AS31" s="210" t="s">
        <v>237</v>
      </c>
      <c r="AT31" s="211" t="s">
        <v>240</v>
      </c>
      <c r="AU31" s="218">
        <v>47.058080978301845</v>
      </c>
      <c r="AV31" s="224">
        <v>220.45741414966051</v>
      </c>
    </row>
    <row r="32" spans="1:48">
      <c r="A32" s="240">
        <v>4</v>
      </c>
      <c r="B32" s="198">
        <v>2121</v>
      </c>
      <c r="C32" s="205">
        <v>0</v>
      </c>
      <c r="D32" s="205">
        <v>-1</v>
      </c>
      <c r="E32" s="205">
        <v>0</v>
      </c>
      <c r="F32" s="205">
        <v>-1</v>
      </c>
      <c r="G32" s="210" t="s">
        <v>235</v>
      </c>
      <c r="H32" s="222"/>
      <c r="I32" s="210" t="s">
        <v>239</v>
      </c>
      <c r="J32" s="218">
        <v>47.772590069269953</v>
      </c>
      <c r="K32" s="218">
        <v>220.45741414966051</v>
      </c>
      <c r="V32" s="235"/>
      <c r="AB32" s="198">
        <f t="shared" si="2"/>
        <v>3113</v>
      </c>
      <c r="AC32" s="205">
        <v>1</v>
      </c>
      <c r="AD32" s="205">
        <v>-1</v>
      </c>
      <c r="AE32" s="205">
        <v>-1</v>
      </c>
      <c r="AF32" s="205">
        <v>1</v>
      </c>
      <c r="AG32" s="210" t="s">
        <v>235</v>
      </c>
      <c r="AH32" s="210" t="s">
        <v>237</v>
      </c>
      <c r="AI32" s="211" t="s">
        <v>240</v>
      </c>
      <c r="AJ32" s="221">
        <f t="shared" si="7"/>
        <v>44.245180138539901</v>
      </c>
      <c r="AK32" s="223">
        <f t="shared" si="8"/>
        <v>217.71221885751601</v>
      </c>
      <c r="AM32" s="198">
        <v>2121</v>
      </c>
      <c r="AN32" s="205">
        <v>0</v>
      </c>
      <c r="AO32" s="205">
        <v>-1</v>
      </c>
      <c r="AP32" s="205">
        <v>0</v>
      </c>
      <c r="AQ32" s="205">
        <v>-1</v>
      </c>
      <c r="AR32" s="210" t="s">
        <v>235</v>
      </c>
      <c r="AS32" s="222"/>
      <c r="AT32" s="210" t="s">
        <v>239</v>
      </c>
      <c r="AU32" s="218">
        <v>47.772590069269953</v>
      </c>
      <c r="AV32" s="218">
        <v>220.45741414966051</v>
      </c>
    </row>
    <row r="33" spans="1:48">
      <c r="A33" s="240">
        <v>5</v>
      </c>
      <c r="B33" s="198">
        <v>2122</v>
      </c>
      <c r="C33" s="205">
        <v>0</v>
      </c>
      <c r="D33" s="205">
        <v>-1</v>
      </c>
      <c r="E33" s="205">
        <v>0</v>
      </c>
      <c r="F33" s="205">
        <v>0</v>
      </c>
      <c r="G33" s="210" t="s">
        <v>235</v>
      </c>
      <c r="H33" s="222"/>
      <c r="I33" s="222"/>
      <c r="J33" s="218">
        <v>47.772590069269953</v>
      </c>
      <c r="K33" s="224">
        <v>199.58101717206449</v>
      </c>
      <c r="V33" s="235"/>
      <c r="AB33" s="198">
        <f t="shared" si="2"/>
        <v>3311</v>
      </c>
      <c r="AC33" s="205">
        <v>1</v>
      </c>
      <c r="AD33" s="205">
        <v>1</v>
      </c>
      <c r="AE33" s="205">
        <v>-1</v>
      </c>
      <c r="AF33" s="205">
        <v>-1</v>
      </c>
      <c r="AG33" s="211" t="s">
        <v>236</v>
      </c>
      <c r="AH33" s="210" t="s">
        <v>237</v>
      </c>
      <c r="AI33" s="210" t="s">
        <v>239</v>
      </c>
      <c r="AJ33" s="221">
        <f t="shared" si="7"/>
        <v>52.9</v>
      </c>
      <c r="AK33" s="223">
        <f t="shared" si="8"/>
        <v>197.65842350935301</v>
      </c>
      <c r="AM33" s="198">
        <v>2122</v>
      </c>
      <c r="AN33" s="205">
        <v>0</v>
      </c>
      <c r="AO33" s="205">
        <v>-1</v>
      </c>
      <c r="AP33" s="205">
        <v>0</v>
      </c>
      <c r="AQ33" s="205">
        <v>0</v>
      </c>
      <c r="AR33" s="210" t="s">
        <v>235</v>
      </c>
      <c r="AS33" s="222"/>
      <c r="AT33" s="222"/>
      <c r="AU33" s="218">
        <v>47.772590069269953</v>
      </c>
      <c r="AV33" s="224">
        <v>199.58101717206449</v>
      </c>
    </row>
    <row r="34" spans="1:48">
      <c r="A34" s="240">
        <v>6</v>
      </c>
      <c r="B34" s="198">
        <v>2123</v>
      </c>
      <c r="C34" s="205">
        <v>0</v>
      </c>
      <c r="D34" s="205">
        <v>-1</v>
      </c>
      <c r="E34" s="205">
        <v>0</v>
      </c>
      <c r="F34" s="205">
        <v>1</v>
      </c>
      <c r="G34" s="210" t="s">
        <v>235</v>
      </c>
      <c r="H34" s="222"/>
      <c r="I34" s="211" t="s">
        <v>240</v>
      </c>
      <c r="J34" s="218">
        <v>47.058080978301845</v>
      </c>
      <c r="K34" s="218">
        <v>220.45741414966051</v>
      </c>
      <c r="V34" s="235"/>
      <c r="AB34" s="198">
        <f t="shared" si="2"/>
        <v>3313</v>
      </c>
      <c r="AC34" s="205">
        <v>1</v>
      </c>
      <c r="AD34" s="205">
        <v>1</v>
      </c>
      <c r="AE34" s="205">
        <v>-1</v>
      </c>
      <c r="AF34" s="205">
        <v>1</v>
      </c>
      <c r="AG34" s="211" t="s">
        <v>236</v>
      </c>
      <c r="AH34" s="210" t="s">
        <v>237</v>
      </c>
      <c r="AI34" s="211" t="s">
        <v>240</v>
      </c>
      <c r="AJ34" s="221">
        <f t="shared" si="7"/>
        <v>52.9</v>
      </c>
      <c r="AK34" s="223">
        <f t="shared" si="8"/>
        <v>179.65909307150099</v>
      </c>
      <c r="AM34" s="198">
        <v>2123</v>
      </c>
      <c r="AN34" s="205">
        <v>0</v>
      </c>
      <c r="AO34" s="205">
        <v>-1</v>
      </c>
      <c r="AP34" s="205">
        <v>0</v>
      </c>
      <c r="AQ34" s="205">
        <v>1</v>
      </c>
      <c r="AR34" s="210" t="s">
        <v>235</v>
      </c>
      <c r="AS34" s="222"/>
      <c r="AT34" s="211" t="s">
        <v>240</v>
      </c>
      <c r="AU34" s="218">
        <v>47.058080978301845</v>
      </c>
      <c r="AV34" s="218">
        <v>220.45741414966051</v>
      </c>
    </row>
    <row r="35" spans="1:48">
      <c r="A35" s="240">
        <v>7</v>
      </c>
      <c r="B35" s="198">
        <v>2131</v>
      </c>
      <c r="C35" s="205">
        <v>0</v>
      </c>
      <c r="D35" s="205">
        <v>-1</v>
      </c>
      <c r="E35" s="205">
        <v>1</v>
      </c>
      <c r="F35" s="205">
        <v>-1</v>
      </c>
      <c r="G35" s="210" t="s">
        <v>235</v>
      </c>
      <c r="H35" s="211" t="s">
        <v>238</v>
      </c>
      <c r="I35" s="210" t="s">
        <v>239</v>
      </c>
      <c r="J35" s="218">
        <v>47.772590069269953</v>
      </c>
      <c r="K35" s="224">
        <v>210.430516475579</v>
      </c>
      <c r="AB35" s="198">
        <f t="shared" si="2"/>
        <v>3131</v>
      </c>
      <c r="AC35" s="205">
        <v>1</v>
      </c>
      <c r="AD35" s="205">
        <v>-1</v>
      </c>
      <c r="AE35" s="205">
        <v>1</v>
      </c>
      <c r="AF35" s="205">
        <v>-1</v>
      </c>
      <c r="AG35" s="210" t="s">
        <v>235</v>
      </c>
      <c r="AH35" s="211" t="s">
        <v>238</v>
      </c>
      <c r="AI35" s="210" t="s">
        <v>239</v>
      </c>
      <c r="AJ35" s="221">
        <f t="shared" si="7"/>
        <v>44.245180138539901</v>
      </c>
      <c r="AK35" s="223">
        <f t="shared" si="8"/>
        <v>197.65842350935301</v>
      </c>
      <c r="AM35" s="198">
        <v>2131</v>
      </c>
      <c r="AN35" s="205">
        <v>0</v>
      </c>
      <c r="AO35" s="205">
        <v>-1</v>
      </c>
      <c r="AP35" s="205">
        <v>1</v>
      </c>
      <c r="AQ35" s="205">
        <v>-1</v>
      </c>
      <c r="AR35" s="210" t="s">
        <v>235</v>
      </c>
      <c r="AS35" s="211" t="s">
        <v>238</v>
      </c>
      <c r="AT35" s="210" t="s">
        <v>239</v>
      </c>
      <c r="AU35" s="218">
        <v>47.772590069269953</v>
      </c>
      <c r="AV35" s="224">
        <v>210.430516475579</v>
      </c>
    </row>
    <row r="36" spans="1:48">
      <c r="A36" s="240">
        <v>8</v>
      </c>
      <c r="B36" s="198">
        <v>2132</v>
      </c>
      <c r="C36" s="205">
        <v>0</v>
      </c>
      <c r="D36" s="205">
        <v>-1</v>
      </c>
      <c r="E36" s="205">
        <v>1</v>
      </c>
      <c r="F36" s="205">
        <v>0</v>
      </c>
      <c r="G36" s="210" t="s">
        <v>235</v>
      </c>
      <c r="H36" s="211" t="s">
        <v>238</v>
      </c>
      <c r="I36" s="222"/>
      <c r="J36" s="218">
        <v>47.058080978301845</v>
      </c>
      <c r="K36" s="218">
        <v>210.430516475579</v>
      </c>
      <c r="AB36" s="198">
        <f t="shared" si="2"/>
        <v>3133</v>
      </c>
      <c r="AC36" s="205">
        <v>1</v>
      </c>
      <c r="AD36" s="205">
        <v>-1</v>
      </c>
      <c r="AE36" s="205">
        <v>1</v>
      </c>
      <c r="AF36" s="205">
        <v>1</v>
      </c>
      <c r="AG36" s="210" t="s">
        <v>235</v>
      </c>
      <c r="AH36" s="211" t="s">
        <v>238</v>
      </c>
      <c r="AI36" s="211" t="s">
        <v>240</v>
      </c>
      <c r="AJ36" s="221">
        <f t="shared" si="7"/>
        <v>44.245180138539901</v>
      </c>
      <c r="AK36" s="223">
        <f t="shared" si="8"/>
        <v>175.959424902324</v>
      </c>
      <c r="AM36" s="198">
        <v>2132</v>
      </c>
      <c r="AN36" s="205">
        <v>0</v>
      </c>
      <c r="AO36" s="205">
        <v>-1</v>
      </c>
      <c r="AP36" s="205">
        <v>1</v>
      </c>
      <c r="AQ36" s="205">
        <v>0</v>
      </c>
      <c r="AR36" s="210" t="s">
        <v>235</v>
      </c>
      <c r="AS36" s="211" t="s">
        <v>238</v>
      </c>
      <c r="AT36" s="222"/>
      <c r="AU36" s="218">
        <v>47.058080978301845</v>
      </c>
      <c r="AV36" s="218">
        <v>210.430516475579</v>
      </c>
    </row>
    <row r="37" spans="1:48">
      <c r="A37" s="240">
        <v>9</v>
      </c>
      <c r="B37" s="198">
        <v>2133</v>
      </c>
      <c r="C37" s="205">
        <v>0</v>
      </c>
      <c r="D37" s="205">
        <v>-1</v>
      </c>
      <c r="E37" s="205">
        <v>1</v>
      </c>
      <c r="F37" s="205">
        <v>1</v>
      </c>
      <c r="G37" s="210" t="s">
        <v>235</v>
      </c>
      <c r="H37" s="211" t="s">
        <v>238</v>
      </c>
      <c r="I37" s="211" t="s">
        <v>240</v>
      </c>
      <c r="J37" s="218">
        <v>47.058080978301845</v>
      </c>
      <c r="K37" s="224">
        <v>199.58101717206449</v>
      </c>
      <c r="AB37" s="198">
        <f t="shared" si="2"/>
        <v>3331</v>
      </c>
      <c r="AC37" s="205">
        <v>1</v>
      </c>
      <c r="AD37" s="205">
        <v>1</v>
      </c>
      <c r="AE37" s="205">
        <v>1</v>
      </c>
      <c r="AF37" s="205">
        <v>-1</v>
      </c>
      <c r="AG37" s="211" t="s">
        <v>236</v>
      </c>
      <c r="AH37" s="211" t="s">
        <v>238</v>
      </c>
      <c r="AI37" s="210" t="s">
        <v>239</v>
      </c>
      <c r="AJ37" s="221">
        <f t="shared" si="7"/>
        <v>52.9</v>
      </c>
      <c r="AK37" s="223">
        <f t="shared" si="8"/>
        <v>197.65842350935301</v>
      </c>
      <c r="AM37" s="198">
        <v>2133</v>
      </c>
      <c r="AN37" s="205">
        <v>0</v>
      </c>
      <c r="AO37" s="205">
        <v>-1</v>
      </c>
      <c r="AP37" s="205">
        <v>1</v>
      </c>
      <c r="AQ37" s="205">
        <v>1</v>
      </c>
      <c r="AR37" s="210" t="s">
        <v>235</v>
      </c>
      <c r="AS37" s="211" t="s">
        <v>238</v>
      </c>
      <c r="AT37" s="211" t="s">
        <v>240</v>
      </c>
      <c r="AU37" s="218">
        <v>47.058080978301845</v>
      </c>
      <c r="AV37" s="224">
        <v>199.58101717206449</v>
      </c>
    </row>
    <row r="38" spans="1:48">
      <c r="A38" s="240">
        <v>10</v>
      </c>
      <c r="B38" s="198">
        <v>2211</v>
      </c>
      <c r="C38" s="205">
        <v>0</v>
      </c>
      <c r="D38" s="205">
        <v>0</v>
      </c>
      <c r="E38" s="205">
        <v>-1</v>
      </c>
      <c r="F38" s="205">
        <v>-1</v>
      </c>
      <c r="G38" s="222"/>
      <c r="H38" s="210" t="s">
        <v>237</v>
      </c>
      <c r="I38" s="210" t="s">
        <v>239</v>
      </c>
      <c r="J38" s="218">
        <v>47.772590069269953</v>
      </c>
      <c r="K38" s="218">
        <v>220.45741414966051</v>
      </c>
      <c r="AB38" s="198">
        <f t="shared" si="2"/>
        <v>3333</v>
      </c>
      <c r="AC38" s="205">
        <v>1</v>
      </c>
      <c r="AD38" s="205">
        <v>1</v>
      </c>
      <c r="AE38" s="205">
        <v>1</v>
      </c>
      <c r="AF38" s="205">
        <v>1</v>
      </c>
      <c r="AG38" s="211" t="s">
        <v>236</v>
      </c>
      <c r="AH38" s="211" t="s">
        <v>238</v>
      </c>
      <c r="AI38" s="211" t="s">
        <v>240</v>
      </c>
      <c r="AJ38" s="221">
        <f t="shared" si="7"/>
        <v>52.9</v>
      </c>
      <c r="AK38" s="223">
        <f t="shared" si="8"/>
        <v>170.15622175937</v>
      </c>
      <c r="AM38" s="198">
        <v>2211</v>
      </c>
      <c r="AN38" s="205">
        <v>0</v>
      </c>
      <c r="AO38" s="205">
        <v>0</v>
      </c>
      <c r="AP38" s="205">
        <v>-1</v>
      </c>
      <c r="AQ38" s="205">
        <v>-1</v>
      </c>
      <c r="AR38" s="222"/>
      <c r="AS38" s="210" t="s">
        <v>237</v>
      </c>
      <c r="AT38" s="210" t="s">
        <v>239</v>
      </c>
      <c r="AU38" s="218">
        <v>47.772590069269953</v>
      </c>
      <c r="AV38" s="218">
        <v>220.45741414966051</v>
      </c>
    </row>
    <row r="39" spans="1:48">
      <c r="A39" s="240">
        <v>11</v>
      </c>
      <c r="B39" s="198">
        <v>2212</v>
      </c>
      <c r="C39" s="205">
        <v>0</v>
      </c>
      <c r="D39" s="205">
        <v>0</v>
      </c>
      <c r="E39" s="205">
        <v>-1</v>
      </c>
      <c r="F39" s="205">
        <v>0</v>
      </c>
      <c r="G39" s="222"/>
      <c r="H39" s="210" t="s">
        <v>237</v>
      </c>
      <c r="I39" s="222"/>
      <c r="J39" s="218">
        <v>64.299414597301705</v>
      </c>
      <c r="K39" s="224">
        <v>149.83413717879299</v>
      </c>
      <c r="AB39" s="198">
        <f t="shared" si="2"/>
        <v>3212</v>
      </c>
      <c r="AC39" s="205">
        <v>1</v>
      </c>
      <c r="AD39" s="205">
        <v>0</v>
      </c>
      <c r="AE39" s="205">
        <v>-1</v>
      </c>
      <c r="AF39" s="205">
        <v>0</v>
      </c>
      <c r="AG39" s="222"/>
      <c r="AH39" s="210" t="s">
        <v>237</v>
      </c>
      <c r="AI39" s="222"/>
      <c r="AJ39" s="221">
        <f t="shared" si="7"/>
        <v>64.299414597301705</v>
      </c>
      <c r="AK39" s="223">
        <f t="shared" si="8"/>
        <v>179.65909307150099</v>
      </c>
      <c r="AM39" s="198">
        <v>2212</v>
      </c>
      <c r="AN39" s="205">
        <v>0</v>
      </c>
      <c r="AO39" s="205">
        <v>0</v>
      </c>
      <c r="AP39" s="205">
        <v>-1</v>
      </c>
      <c r="AQ39" s="205">
        <v>0</v>
      </c>
      <c r="AR39" s="222"/>
      <c r="AS39" s="210" t="s">
        <v>237</v>
      </c>
      <c r="AT39" s="222"/>
      <c r="AU39" s="218">
        <v>64.299414597301705</v>
      </c>
      <c r="AV39" s="224">
        <v>149.83413717879299</v>
      </c>
    </row>
    <row r="40" spans="1:48">
      <c r="A40" s="240">
        <v>12</v>
      </c>
      <c r="B40" s="198">
        <v>2213</v>
      </c>
      <c r="C40" s="205">
        <v>0</v>
      </c>
      <c r="D40" s="205">
        <v>0</v>
      </c>
      <c r="E40" s="205">
        <v>-1</v>
      </c>
      <c r="F40" s="205">
        <v>1</v>
      </c>
      <c r="G40" s="222"/>
      <c r="H40" s="210" t="s">
        <v>237</v>
      </c>
      <c r="I40" s="211" t="s">
        <v>240</v>
      </c>
      <c r="J40" s="218">
        <v>47.058080978301845</v>
      </c>
      <c r="K40" s="218">
        <v>220.45741414966051</v>
      </c>
      <c r="AB40" s="198">
        <f t="shared" si="2"/>
        <v>3232</v>
      </c>
      <c r="AC40" s="205">
        <v>1</v>
      </c>
      <c r="AD40" s="205">
        <v>0</v>
      </c>
      <c r="AE40" s="205">
        <v>1</v>
      </c>
      <c r="AF40" s="205">
        <v>0</v>
      </c>
      <c r="AG40" s="222"/>
      <c r="AH40" s="211" t="s">
        <v>238</v>
      </c>
      <c r="AI40" s="222"/>
      <c r="AJ40" s="221">
        <f t="shared" si="7"/>
        <v>72.300585402698303</v>
      </c>
      <c r="AK40" s="223">
        <f t="shared" si="8"/>
        <v>130.20005819918501</v>
      </c>
      <c r="AM40" s="198">
        <v>2213</v>
      </c>
      <c r="AN40" s="205">
        <v>0</v>
      </c>
      <c r="AO40" s="205">
        <v>0</v>
      </c>
      <c r="AP40" s="205">
        <v>-1</v>
      </c>
      <c r="AQ40" s="205">
        <v>1</v>
      </c>
      <c r="AR40" s="222"/>
      <c r="AS40" s="210" t="s">
        <v>237</v>
      </c>
      <c r="AT40" s="211" t="s">
        <v>240</v>
      </c>
      <c r="AU40" s="218">
        <v>47.058080978301845</v>
      </c>
      <c r="AV40" s="218">
        <v>220.45741414966051</v>
      </c>
    </row>
    <row r="41" spans="1:48">
      <c r="A41" s="240">
        <v>13</v>
      </c>
      <c r="B41" s="198">
        <v>2221</v>
      </c>
      <c r="C41" s="205">
        <v>0</v>
      </c>
      <c r="D41" s="205">
        <v>0</v>
      </c>
      <c r="E41" s="205">
        <v>0</v>
      </c>
      <c r="F41" s="205">
        <v>-1</v>
      </c>
      <c r="G41" s="222"/>
      <c r="H41" s="222"/>
      <c r="I41" s="210" t="s">
        <v>239</v>
      </c>
      <c r="J41" s="218">
        <v>68.882867603733445</v>
      </c>
      <c r="K41" s="224">
        <v>165.52921175467651</v>
      </c>
      <c r="AB41" s="198">
        <f t="shared" si="2"/>
        <v>3122</v>
      </c>
      <c r="AC41" s="205">
        <v>1</v>
      </c>
      <c r="AD41" s="205">
        <v>-1</v>
      </c>
      <c r="AE41" s="205">
        <v>0</v>
      </c>
      <c r="AF41" s="205">
        <v>0</v>
      </c>
      <c r="AG41" s="210" t="s">
        <v>235</v>
      </c>
      <c r="AH41" s="222"/>
      <c r="AI41" s="222"/>
      <c r="AJ41" s="221">
        <f t="shared" si="7"/>
        <v>44.245180138539901</v>
      </c>
      <c r="AK41" s="223">
        <f t="shared" si="8"/>
        <v>175.959424902324</v>
      </c>
      <c r="AM41" s="198">
        <v>2221</v>
      </c>
      <c r="AN41" s="205">
        <v>0</v>
      </c>
      <c r="AO41" s="205">
        <v>0</v>
      </c>
      <c r="AP41" s="205">
        <v>0</v>
      </c>
      <c r="AQ41" s="205">
        <v>-1</v>
      </c>
      <c r="AR41" s="222"/>
      <c r="AS41" s="222"/>
      <c r="AT41" s="210" t="s">
        <v>239</v>
      </c>
      <c r="AU41" s="218">
        <v>68.882867603733445</v>
      </c>
      <c r="AV41" s="224">
        <v>165.52921175467651</v>
      </c>
    </row>
    <row r="42" spans="1:48">
      <c r="A42" s="240">
        <v>14</v>
      </c>
      <c r="B42" s="198">
        <v>2223</v>
      </c>
      <c r="C42" s="205">
        <v>0</v>
      </c>
      <c r="D42" s="205">
        <v>0</v>
      </c>
      <c r="E42" s="205">
        <v>0</v>
      </c>
      <c r="F42" s="205">
        <v>1</v>
      </c>
      <c r="G42" s="222"/>
      <c r="H42" s="222"/>
      <c r="I42" s="211" t="s">
        <v>240</v>
      </c>
      <c r="J42" s="218">
        <v>53.095306724034899</v>
      </c>
      <c r="K42" s="224">
        <v>134.728110879685</v>
      </c>
      <c r="AB42" s="198">
        <f t="shared" si="2"/>
        <v>3322</v>
      </c>
      <c r="AC42" s="205">
        <v>1</v>
      </c>
      <c r="AD42" s="205">
        <v>1</v>
      </c>
      <c r="AE42" s="205">
        <v>0</v>
      </c>
      <c r="AF42" s="205">
        <v>0</v>
      </c>
      <c r="AG42" s="211" t="s">
        <v>236</v>
      </c>
      <c r="AH42" s="222"/>
      <c r="AI42" s="222"/>
      <c r="AJ42" s="221">
        <f t="shared" si="7"/>
        <v>52.9</v>
      </c>
      <c r="AK42" s="223">
        <f t="shared" si="8"/>
        <v>166.94016173424899</v>
      </c>
      <c r="AM42" s="198">
        <v>2223</v>
      </c>
      <c r="AN42" s="205">
        <v>0</v>
      </c>
      <c r="AO42" s="205">
        <v>0</v>
      </c>
      <c r="AP42" s="205">
        <v>0</v>
      </c>
      <c r="AQ42" s="205">
        <v>1</v>
      </c>
      <c r="AR42" s="222"/>
      <c r="AS42" s="222"/>
      <c r="AT42" s="211" t="s">
        <v>240</v>
      </c>
      <c r="AU42" s="218">
        <v>53.095306724034899</v>
      </c>
      <c r="AV42" s="224">
        <v>134.728110879685</v>
      </c>
    </row>
    <row r="43" spans="1:48">
      <c r="A43" s="240">
        <v>15</v>
      </c>
      <c r="B43" s="198">
        <v>2231</v>
      </c>
      <c r="C43" s="205">
        <v>0</v>
      </c>
      <c r="D43" s="205">
        <v>0</v>
      </c>
      <c r="E43" s="205">
        <v>1</v>
      </c>
      <c r="F43" s="205">
        <v>-1</v>
      </c>
      <c r="G43" s="222"/>
      <c r="H43" s="211" t="s">
        <v>238</v>
      </c>
      <c r="I43" s="210" t="s">
        <v>239</v>
      </c>
      <c r="J43" s="218">
        <v>47.772590069269953</v>
      </c>
      <c r="K43" s="218">
        <v>210.430516475579</v>
      </c>
      <c r="AB43" s="198">
        <f t="shared" si="2"/>
        <v>3221</v>
      </c>
      <c r="AC43" s="205">
        <v>1</v>
      </c>
      <c r="AD43" s="205">
        <v>0</v>
      </c>
      <c r="AE43" s="205">
        <v>0</v>
      </c>
      <c r="AF43" s="205">
        <v>-1</v>
      </c>
      <c r="AG43" s="222"/>
      <c r="AH43" s="222"/>
      <c r="AI43" s="210" t="s">
        <v>239</v>
      </c>
      <c r="AJ43" s="221">
        <f t="shared" si="7"/>
        <v>65.465735207466906</v>
      </c>
      <c r="AK43" s="223">
        <f t="shared" si="8"/>
        <v>197.65842350935301</v>
      </c>
      <c r="AM43" s="198">
        <v>2231</v>
      </c>
      <c r="AN43" s="205">
        <v>0</v>
      </c>
      <c r="AO43" s="205">
        <v>0</v>
      </c>
      <c r="AP43" s="205">
        <v>1</v>
      </c>
      <c r="AQ43" s="205">
        <v>-1</v>
      </c>
      <c r="AR43" s="222"/>
      <c r="AS43" s="211" t="s">
        <v>238</v>
      </c>
      <c r="AT43" s="210" t="s">
        <v>239</v>
      </c>
      <c r="AU43" s="218">
        <v>47.772590069269953</v>
      </c>
      <c r="AV43" s="218">
        <v>210.430516475579</v>
      </c>
    </row>
    <row r="44" spans="1:48">
      <c r="A44" s="240">
        <v>16</v>
      </c>
      <c r="B44" s="198">
        <v>2232</v>
      </c>
      <c r="C44" s="205">
        <v>0</v>
      </c>
      <c r="D44" s="205">
        <v>0</v>
      </c>
      <c r="E44" s="205">
        <v>1</v>
      </c>
      <c r="F44" s="205">
        <v>0</v>
      </c>
      <c r="G44" s="222"/>
      <c r="H44" s="211" t="s">
        <v>238</v>
      </c>
      <c r="I44" s="222"/>
      <c r="J44" s="218">
        <v>72.300585402698303</v>
      </c>
      <c r="K44" s="224">
        <v>127.97069812754</v>
      </c>
      <c r="AB44" s="198">
        <f t="shared" si="2"/>
        <v>3223</v>
      </c>
      <c r="AC44" s="205">
        <v>1</v>
      </c>
      <c r="AD44" s="205">
        <v>0</v>
      </c>
      <c r="AE44" s="205">
        <v>0</v>
      </c>
      <c r="AF44" s="205">
        <v>1</v>
      </c>
      <c r="AG44" s="222"/>
      <c r="AH44" s="222"/>
      <c r="AI44" s="211" t="s">
        <v>240</v>
      </c>
      <c r="AJ44" s="221">
        <f t="shared" si="7"/>
        <v>56.319631630006</v>
      </c>
      <c r="AK44" s="223">
        <f t="shared" si="8"/>
        <v>170.15622175937</v>
      </c>
      <c r="AM44" s="198">
        <v>2232</v>
      </c>
      <c r="AN44" s="205">
        <v>0</v>
      </c>
      <c r="AO44" s="205">
        <v>0</v>
      </c>
      <c r="AP44" s="205">
        <v>1</v>
      </c>
      <c r="AQ44" s="205">
        <v>0</v>
      </c>
      <c r="AR44" s="222"/>
      <c r="AS44" s="211" t="s">
        <v>238</v>
      </c>
      <c r="AT44" s="222"/>
      <c r="AU44" s="218">
        <v>72.300585402698303</v>
      </c>
      <c r="AV44" s="224">
        <v>127.97069812754</v>
      </c>
    </row>
    <row r="45" spans="1:48">
      <c r="A45" s="240">
        <v>17</v>
      </c>
      <c r="B45" s="198">
        <v>2233</v>
      </c>
      <c r="C45" s="205">
        <v>0</v>
      </c>
      <c r="D45" s="205">
        <v>0</v>
      </c>
      <c r="E45" s="205">
        <v>1</v>
      </c>
      <c r="F45" s="205">
        <v>1</v>
      </c>
      <c r="G45" s="222"/>
      <c r="H45" s="211" t="s">
        <v>238</v>
      </c>
      <c r="I45" s="211" t="s">
        <v>240</v>
      </c>
      <c r="J45" s="218">
        <v>47.058080978301845</v>
      </c>
      <c r="K45" s="218">
        <v>199.58101717206449</v>
      </c>
      <c r="AB45" s="198">
        <f t="shared" si="2"/>
        <v>1112</v>
      </c>
      <c r="AC45" s="205">
        <v>-1</v>
      </c>
      <c r="AD45" s="205">
        <v>-1</v>
      </c>
      <c r="AE45" s="205">
        <v>-1</v>
      </c>
      <c r="AF45" s="205">
        <v>0</v>
      </c>
      <c r="AG45" s="210" t="s">
        <v>235</v>
      </c>
      <c r="AH45" s="210" t="s">
        <v>237</v>
      </c>
      <c r="AI45" s="222"/>
      <c r="AJ45" s="226">
        <v>49.870981818063797</v>
      </c>
      <c r="AK45" s="226">
        <v>223.20260944180501</v>
      </c>
      <c r="AM45" s="198">
        <v>2233</v>
      </c>
      <c r="AN45" s="205">
        <v>0</v>
      </c>
      <c r="AO45" s="205">
        <v>0</v>
      </c>
      <c r="AP45" s="205">
        <v>1</v>
      </c>
      <c r="AQ45" s="205">
        <v>1</v>
      </c>
      <c r="AR45" s="222"/>
      <c r="AS45" s="211" t="s">
        <v>238</v>
      </c>
      <c r="AT45" s="211" t="s">
        <v>240</v>
      </c>
      <c r="AU45" s="218">
        <v>47.058080978301845</v>
      </c>
      <c r="AV45" s="218">
        <v>199.58101717206449</v>
      </c>
    </row>
    <row r="46" spans="1:48">
      <c r="A46" s="240">
        <v>18</v>
      </c>
      <c r="B46" s="198">
        <v>2311</v>
      </c>
      <c r="C46" s="205">
        <v>0</v>
      </c>
      <c r="D46" s="205">
        <v>1</v>
      </c>
      <c r="E46" s="205">
        <v>-1</v>
      </c>
      <c r="F46" s="205">
        <v>-1</v>
      </c>
      <c r="G46" s="211" t="s">
        <v>236</v>
      </c>
      <c r="H46" s="210" t="s">
        <v>237</v>
      </c>
      <c r="I46" s="210" t="s">
        <v>239</v>
      </c>
      <c r="J46" s="218">
        <v>52.9</v>
      </c>
      <c r="K46" s="224">
        <v>190.88271322225</v>
      </c>
      <c r="AB46" s="198">
        <f t="shared" si="2"/>
        <v>1312</v>
      </c>
      <c r="AC46" s="205">
        <v>-1</v>
      </c>
      <c r="AD46" s="205">
        <v>1</v>
      </c>
      <c r="AE46" s="205">
        <v>-1</v>
      </c>
      <c r="AF46" s="205">
        <v>0</v>
      </c>
      <c r="AG46" s="211" t="s">
        <v>236</v>
      </c>
      <c r="AH46" s="210" t="s">
        <v>237</v>
      </c>
      <c r="AI46" s="222"/>
      <c r="AJ46" s="226">
        <v>49.870981818063797</v>
      </c>
      <c r="AK46" s="226">
        <v>184.10700293514699</v>
      </c>
      <c r="AM46" s="198">
        <v>2311</v>
      </c>
      <c r="AN46" s="205">
        <v>0</v>
      </c>
      <c r="AO46" s="205">
        <v>1</v>
      </c>
      <c r="AP46" s="205">
        <v>-1</v>
      </c>
      <c r="AQ46" s="205">
        <v>-1</v>
      </c>
      <c r="AR46" s="211" t="s">
        <v>236</v>
      </c>
      <c r="AS46" s="210" t="s">
        <v>237</v>
      </c>
      <c r="AT46" s="210" t="s">
        <v>239</v>
      </c>
      <c r="AU46" s="218">
        <v>52.9</v>
      </c>
      <c r="AV46" s="224">
        <v>190.88271322225</v>
      </c>
    </row>
    <row r="47" spans="1:48">
      <c r="A47" s="240">
        <v>19</v>
      </c>
      <c r="B47" s="198">
        <v>2312</v>
      </c>
      <c r="C47" s="205">
        <v>0</v>
      </c>
      <c r="D47" s="205">
        <v>1</v>
      </c>
      <c r="E47" s="205">
        <v>-1</v>
      </c>
      <c r="F47" s="205">
        <v>0</v>
      </c>
      <c r="G47" s="211" t="s">
        <v>236</v>
      </c>
      <c r="H47" s="210" t="s">
        <v>237</v>
      </c>
      <c r="I47" s="222"/>
      <c r="J47" s="218">
        <v>51.385490909031901</v>
      </c>
      <c r="K47" s="218">
        <v>190.88271322225</v>
      </c>
      <c r="AB47" s="198">
        <f t="shared" si="2"/>
        <v>1132</v>
      </c>
      <c r="AC47" s="205">
        <v>-1</v>
      </c>
      <c r="AD47" s="205">
        <v>-1</v>
      </c>
      <c r="AE47" s="205">
        <v>1</v>
      </c>
      <c r="AF47" s="205">
        <v>0</v>
      </c>
      <c r="AG47" s="210" t="s">
        <v>235</v>
      </c>
      <c r="AH47" s="211" t="s">
        <v>238</v>
      </c>
      <c r="AI47" s="222"/>
      <c r="AJ47" s="226">
        <v>49.870981818063797</v>
      </c>
      <c r="AK47" s="226">
        <v>223.20260944180501</v>
      </c>
      <c r="AM47" s="198">
        <v>2312</v>
      </c>
      <c r="AN47" s="205">
        <v>0</v>
      </c>
      <c r="AO47" s="205">
        <v>1</v>
      </c>
      <c r="AP47" s="205">
        <v>-1</v>
      </c>
      <c r="AQ47" s="205">
        <v>0</v>
      </c>
      <c r="AR47" s="211" t="s">
        <v>236</v>
      </c>
      <c r="AS47" s="210" t="s">
        <v>237</v>
      </c>
      <c r="AT47" s="222"/>
      <c r="AU47" s="218">
        <v>51.385490909031901</v>
      </c>
      <c r="AV47" s="218">
        <v>190.88271322225</v>
      </c>
    </row>
    <row r="48" spans="1:48">
      <c r="A48" s="240">
        <v>20</v>
      </c>
      <c r="B48" s="198">
        <v>2313</v>
      </c>
      <c r="C48" s="205">
        <v>0</v>
      </c>
      <c r="D48" s="205">
        <v>1</v>
      </c>
      <c r="E48" s="205">
        <v>-1</v>
      </c>
      <c r="F48" s="205">
        <v>1</v>
      </c>
      <c r="G48" s="211" t="s">
        <v>236</v>
      </c>
      <c r="H48" s="210" t="s">
        <v>237</v>
      </c>
      <c r="I48" s="211" t="s">
        <v>240</v>
      </c>
      <c r="J48" s="218">
        <v>51.385490909031901</v>
      </c>
      <c r="K48" s="224">
        <v>181.88304800332401</v>
      </c>
      <c r="AB48" s="198">
        <f t="shared" si="2"/>
        <v>1332</v>
      </c>
      <c r="AC48" s="205">
        <v>-1</v>
      </c>
      <c r="AD48" s="205">
        <v>1</v>
      </c>
      <c r="AE48" s="205">
        <v>1</v>
      </c>
      <c r="AF48" s="205">
        <v>0</v>
      </c>
      <c r="AG48" s="211" t="s">
        <v>236</v>
      </c>
      <c r="AH48" s="211" t="s">
        <v>238</v>
      </c>
      <c r="AI48" s="222"/>
      <c r="AJ48" s="226">
        <v>49.870981818063797</v>
      </c>
      <c r="AK48" s="226">
        <v>184.10700293514699</v>
      </c>
      <c r="AM48" s="198">
        <v>2313</v>
      </c>
      <c r="AN48" s="205">
        <v>0</v>
      </c>
      <c r="AO48" s="205">
        <v>1</v>
      </c>
      <c r="AP48" s="205">
        <v>-1</v>
      </c>
      <c r="AQ48" s="205">
        <v>1</v>
      </c>
      <c r="AR48" s="211" t="s">
        <v>236</v>
      </c>
      <c r="AS48" s="210" t="s">
        <v>237</v>
      </c>
      <c r="AT48" s="211" t="s">
        <v>240</v>
      </c>
      <c r="AU48" s="218">
        <v>51.385490909031901</v>
      </c>
      <c r="AV48" s="224">
        <v>181.88304800332401</v>
      </c>
    </row>
    <row r="49" spans="1:48">
      <c r="A49" s="240">
        <v>21</v>
      </c>
      <c r="B49" s="198">
        <v>2321</v>
      </c>
      <c r="C49" s="205">
        <v>0</v>
      </c>
      <c r="D49" s="205">
        <v>1</v>
      </c>
      <c r="E49" s="205">
        <v>0</v>
      </c>
      <c r="F49" s="205">
        <v>-1</v>
      </c>
      <c r="G49" s="211" t="s">
        <v>236</v>
      </c>
      <c r="H49" s="222"/>
      <c r="I49" s="210" t="s">
        <v>239</v>
      </c>
      <c r="J49" s="218">
        <v>52.9</v>
      </c>
      <c r="K49" s="218">
        <v>190.88271322225</v>
      </c>
      <c r="AB49" s="198">
        <f t="shared" si="2"/>
        <v>1121</v>
      </c>
      <c r="AC49" s="205">
        <v>-1</v>
      </c>
      <c r="AD49" s="205">
        <v>-1</v>
      </c>
      <c r="AE49" s="205">
        <v>0</v>
      </c>
      <c r="AF49" s="205">
        <v>-1</v>
      </c>
      <c r="AG49" s="210" t="s">
        <v>235</v>
      </c>
      <c r="AH49" s="222"/>
      <c r="AI49" s="210" t="s">
        <v>239</v>
      </c>
      <c r="AJ49" s="226">
        <v>51.3</v>
      </c>
      <c r="AK49" s="226">
        <v>223.20260944180501</v>
      </c>
      <c r="AM49" s="198">
        <v>2321</v>
      </c>
      <c r="AN49" s="205">
        <v>0</v>
      </c>
      <c r="AO49" s="205">
        <v>1</v>
      </c>
      <c r="AP49" s="205">
        <v>0</v>
      </c>
      <c r="AQ49" s="205">
        <v>-1</v>
      </c>
      <c r="AR49" s="211" t="s">
        <v>236</v>
      </c>
      <c r="AS49" s="222"/>
      <c r="AT49" s="210" t="s">
        <v>239</v>
      </c>
      <c r="AU49" s="218">
        <v>52.9</v>
      </c>
      <c r="AV49" s="218">
        <v>190.88271322225</v>
      </c>
    </row>
    <row r="50" spans="1:48">
      <c r="A50" s="240">
        <v>22</v>
      </c>
      <c r="B50" s="198">
        <v>2322</v>
      </c>
      <c r="C50" s="205">
        <v>0</v>
      </c>
      <c r="D50" s="205">
        <v>1</v>
      </c>
      <c r="E50" s="205">
        <v>0</v>
      </c>
      <c r="F50" s="205">
        <v>0</v>
      </c>
      <c r="G50" s="211" t="s">
        <v>236</v>
      </c>
      <c r="H50" s="222"/>
      <c r="I50" s="222"/>
      <c r="J50" s="218">
        <v>52.9</v>
      </c>
      <c r="K50" s="224">
        <v>175.52358233469801</v>
      </c>
      <c r="AB50" s="198">
        <f t="shared" si="2"/>
        <v>1321</v>
      </c>
      <c r="AC50" s="205">
        <v>-1</v>
      </c>
      <c r="AD50" s="205">
        <v>1</v>
      </c>
      <c r="AE50" s="205">
        <v>0</v>
      </c>
      <c r="AF50" s="205">
        <v>-1</v>
      </c>
      <c r="AG50" s="211" t="s">
        <v>236</v>
      </c>
      <c r="AH50" s="222"/>
      <c r="AI50" s="210" t="s">
        <v>239</v>
      </c>
      <c r="AJ50" s="226">
        <v>52.9</v>
      </c>
      <c r="AK50" s="226">
        <v>184.10700293514699</v>
      </c>
      <c r="AM50" s="198">
        <v>2322</v>
      </c>
      <c r="AN50" s="205">
        <v>0</v>
      </c>
      <c r="AO50" s="205">
        <v>1</v>
      </c>
      <c r="AP50" s="205">
        <v>0</v>
      </c>
      <c r="AQ50" s="205">
        <v>0</v>
      </c>
      <c r="AR50" s="211" t="s">
        <v>236</v>
      </c>
      <c r="AS50" s="222"/>
      <c r="AT50" s="222"/>
      <c r="AU50" s="218">
        <v>52.9</v>
      </c>
      <c r="AV50" s="224">
        <v>175.52358233469801</v>
      </c>
    </row>
    <row r="51" spans="1:48">
      <c r="A51" s="240">
        <v>23</v>
      </c>
      <c r="B51" s="198">
        <v>2323</v>
      </c>
      <c r="C51" s="205">
        <v>0</v>
      </c>
      <c r="D51" s="205">
        <v>1</v>
      </c>
      <c r="E51" s="205">
        <v>0</v>
      </c>
      <c r="F51" s="205">
        <v>1</v>
      </c>
      <c r="G51" s="211" t="s">
        <v>236</v>
      </c>
      <c r="H51" s="222"/>
      <c r="I51" s="211" t="s">
        <v>240</v>
      </c>
      <c r="J51" s="218">
        <v>51.385490909031901</v>
      </c>
      <c r="K51" s="218">
        <v>181.88304800332401</v>
      </c>
      <c r="AB51" s="198">
        <f t="shared" si="2"/>
        <v>1123</v>
      </c>
      <c r="AC51" s="205">
        <v>-1</v>
      </c>
      <c r="AD51" s="205">
        <v>-1</v>
      </c>
      <c r="AE51" s="205">
        <v>0</v>
      </c>
      <c r="AF51" s="205">
        <v>1</v>
      </c>
      <c r="AG51" s="210" t="s">
        <v>235</v>
      </c>
      <c r="AH51" s="222"/>
      <c r="AI51" s="211" t="s">
        <v>240</v>
      </c>
      <c r="AJ51" s="226">
        <v>49.870981818063797</v>
      </c>
      <c r="AK51" s="226">
        <v>223.20260944180501</v>
      </c>
      <c r="AM51" s="198">
        <v>2323</v>
      </c>
      <c r="AN51" s="205">
        <v>0</v>
      </c>
      <c r="AO51" s="205">
        <v>1</v>
      </c>
      <c r="AP51" s="205">
        <v>0</v>
      </c>
      <c r="AQ51" s="205">
        <v>1</v>
      </c>
      <c r="AR51" s="211" t="s">
        <v>236</v>
      </c>
      <c r="AS51" s="222"/>
      <c r="AT51" s="211" t="s">
        <v>240</v>
      </c>
      <c r="AU51" s="218">
        <v>51.385490909031901</v>
      </c>
      <c r="AV51" s="218">
        <v>181.88304800332401</v>
      </c>
    </row>
    <row r="52" spans="1:48">
      <c r="A52" s="240">
        <v>24</v>
      </c>
      <c r="B52" s="198">
        <v>2331</v>
      </c>
      <c r="C52" s="205">
        <v>0</v>
      </c>
      <c r="D52" s="205">
        <v>1</v>
      </c>
      <c r="E52" s="205">
        <v>1</v>
      </c>
      <c r="F52" s="205">
        <v>-1</v>
      </c>
      <c r="G52" s="211" t="s">
        <v>236</v>
      </c>
      <c r="H52" s="211" t="s">
        <v>238</v>
      </c>
      <c r="I52" s="210" t="s">
        <v>239</v>
      </c>
      <c r="J52" s="218">
        <v>52.9</v>
      </c>
      <c r="K52" s="224">
        <v>190.88271322225</v>
      </c>
      <c r="AB52" s="198">
        <f t="shared" si="2"/>
        <v>1323</v>
      </c>
      <c r="AC52" s="205">
        <v>-1</v>
      </c>
      <c r="AD52" s="205">
        <v>1</v>
      </c>
      <c r="AE52" s="205">
        <v>0</v>
      </c>
      <c r="AF52" s="205">
        <v>1</v>
      </c>
      <c r="AG52" s="211" t="s">
        <v>236</v>
      </c>
      <c r="AH52" s="222"/>
      <c r="AI52" s="211" t="s">
        <v>240</v>
      </c>
      <c r="AJ52" s="226">
        <v>49.870981818063797</v>
      </c>
      <c r="AK52" s="226">
        <v>184.10700293514699</v>
      </c>
      <c r="AM52" s="198">
        <v>2331</v>
      </c>
      <c r="AN52" s="205">
        <v>0</v>
      </c>
      <c r="AO52" s="205">
        <v>1</v>
      </c>
      <c r="AP52" s="205">
        <v>1</v>
      </c>
      <c r="AQ52" s="205">
        <v>-1</v>
      </c>
      <c r="AR52" s="211" t="s">
        <v>236</v>
      </c>
      <c r="AS52" s="211" t="s">
        <v>238</v>
      </c>
      <c r="AT52" s="210" t="s">
        <v>239</v>
      </c>
      <c r="AU52" s="218">
        <v>52.9</v>
      </c>
      <c r="AV52" s="224">
        <v>190.88271322225</v>
      </c>
    </row>
    <row r="53" spans="1:48">
      <c r="A53" s="240">
        <v>25</v>
      </c>
      <c r="B53" s="198">
        <v>2332</v>
      </c>
      <c r="C53" s="205">
        <v>0</v>
      </c>
      <c r="D53" s="205">
        <v>1</v>
      </c>
      <c r="E53" s="205">
        <v>1</v>
      </c>
      <c r="F53" s="205">
        <v>0</v>
      </c>
      <c r="G53" s="211" t="s">
        <v>236</v>
      </c>
      <c r="H53" s="211" t="s">
        <v>238</v>
      </c>
      <c r="I53" s="222"/>
      <c r="J53" s="218">
        <v>51.385490909031901</v>
      </c>
      <c r="K53" s="218">
        <v>190.88271322225</v>
      </c>
      <c r="AB53" s="198">
        <f t="shared" si="2"/>
        <v>1211</v>
      </c>
      <c r="AC53" s="205">
        <v>-1</v>
      </c>
      <c r="AD53" s="205">
        <v>0</v>
      </c>
      <c r="AE53" s="205">
        <v>-1</v>
      </c>
      <c r="AF53" s="205">
        <v>-1</v>
      </c>
      <c r="AG53" s="222"/>
      <c r="AH53" s="210" t="s">
        <v>237</v>
      </c>
      <c r="AI53" s="210" t="s">
        <v>239</v>
      </c>
      <c r="AJ53" s="226">
        <v>51.3</v>
      </c>
      <c r="AK53" s="226">
        <v>223.20260944180501</v>
      </c>
      <c r="AM53" s="198">
        <v>2332</v>
      </c>
      <c r="AN53" s="205">
        <v>0</v>
      </c>
      <c r="AO53" s="205">
        <v>1</v>
      </c>
      <c r="AP53" s="205">
        <v>1</v>
      </c>
      <c r="AQ53" s="205">
        <v>0</v>
      </c>
      <c r="AR53" s="211" t="s">
        <v>236</v>
      </c>
      <c r="AS53" s="211" t="s">
        <v>238</v>
      </c>
      <c r="AT53" s="222"/>
      <c r="AU53" s="218">
        <v>51.385490909031901</v>
      </c>
      <c r="AV53" s="218">
        <v>190.88271322225</v>
      </c>
    </row>
    <row r="54" spans="1:48">
      <c r="A54" s="240">
        <v>26</v>
      </c>
      <c r="B54" s="198">
        <v>2333</v>
      </c>
      <c r="C54" s="205">
        <v>0</v>
      </c>
      <c r="D54" s="205">
        <v>1</v>
      </c>
      <c r="E54" s="205">
        <v>1</v>
      </c>
      <c r="F54" s="205">
        <v>1</v>
      </c>
      <c r="G54" s="211" t="s">
        <v>236</v>
      </c>
      <c r="H54" s="211" t="s">
        <v>238</v>
      </c>
      <c r="I54" s="211" t="s">
        <v>240</v>
      </c>
      <c r="J54" s="218">
        <v>51.385490909031901</v>
      </c>
      <c r="K54" s="224">
        <v>177.13161234725851</v>
      </c>
      <c r="AB54" s="198">
        <f t="shared" si="2"/>
        <v>1213</v>
      </c>
      <c r="AC54" s="205">
        <v>-1</v>
      </c>
      <c r="AD54" s="205">
        <v>0</v>
      </c>
      <c r="AE54" s="205">
        <v>-1</v>
      </c>
      <c r="AF54" s="205">
        <v>1</v>
      </c>
      <c r="AG54" s="222"/>
      <c r="AH54" s="210" t="s">
        <v>237</v>
      </c>
      <c r="AI54" s="211" t="s">
        <v>240</v>
      </c>
      <c r="AJ54" s="226">
        <v>49.870981818063797</v>
      </c>
      <c r="AK54" s="226">
        <v>223.20260944180501</v>
      </c>
      <c r="AM54" s="198">
        <v>2333</v>
      </c>
      <c r="AN54" s="205">
        <v>0</v>
      </c>
      <c r="AO54" s="205">
        <v>1</v>
      </c>
      <c r="AP54" s="205">
        <v>1</v>
      </c>
      <c r="AQ54" s="205">
        <v>1</v>
      </c>
      <c r="AR54" s="211" t="s">
        <v>236</v>
      </c>
      <c r="AS54" s="211" t="s">
        <v>238</v>
      </c>
      <c r="AT54" s="211" t="s">
        <v>240</v>
      </c>
      <c r="AU54" s="218">
        <v>51.385490909031901</v>
      </c>
      <c r="AV54" s="224">
        <v>177.13161234725851</v>
      </c>
    </row>
    <row r="55" spans="1:48">
      <c r="A55" s="241">
        <v>1</v>
      </c>
      <c r="B55" s="198">
        <v>3111</v>
      </c>
      <c r="C55" s="205">
        <v>1</v>
      </c>
      <c r="D55" s="205">
        <v>-1</v>
      </c>
      <c r="E55" s="205">
        <v>-1</v>
      </c>
      <c r="F55" s="205">
        <v>-1</v>
      </c>
      <c r="G55" s="210" t="s">
        <v>235</v>
      </c>
      <c r="H55" s="210" t="s">
        <v>237</v>
      </c>
      <c r="I55" s="210" t="s">
        <v>239</v>
      </c>
      <c r="J55" s="221">
        <v>44.245180138539901</v>
      </c>
      <c r="K55" s="223">
        <v>217.71221885751601</v>
      </c>
      <c r="AB55" s="198">
        <f t="shared" si="2"/>
        <v>1231</v>
      </c>
      <c r="AC55" s="205">
        <v>-1</v>
      </c>
      <c r="AD55" s="205">
        <v>0</v>
      </c>
      <c r="AE55" s="205">
        <v>1</v>
      </c>
      <c r="AF55" s="205">
        <v>-1</v>
      </c>
      <c r="AG55" s="222"/>
      <c r="AH55" s="211" t="s">
        <v>238</v>
      </c>
      <c r="AI55" s="210" t="s">
        <v>239</v>
      </c>
      <c r="AJ55" s="226">
        <v>51.3</v>
      </c>
      <c r="AK55" s="226">
        <v>223.20260944180501</v>
      </c>
      <c r="AM55" s="198">
        <v>3111</v>
      </c>
      <c r="AN55" s="205">
        <v>1</v>
      </c>
      <c r="AO55" s="205">
        <v>-1</v>
      </c>
      <c r="AP55" s="205">
        <v>-1</v>
      </c>
      <c r="AQ55" s="205">
        <v>-1</v>
      </c>
      <c r="AR55" s="210" t="s">
        <v>235</v>
      </c>
      <c r="AS55" s="210" t="s">
        <v>237</v>
      </c>
      <c r="AT55" s="210" t="s">
        <v>239</v>
      </c>
      <c r="AU55" s="221">
        <v>44.245180138539901</v>
      </c>
      <c r="AV55" s="223">
        <v>217.71221885751601</v>
      </c>
    </row>
    <row r="56" spans="1:48">
      <c r="A56" s="241">
        <v>2</v>
      </c>
      <c r="B56" s="198">
        <v>3112</v>
      </c>
      <c r="C56" s="205">
        <v>1</v>
      </c>
      <c r="D56" s="205">
        <v>-1</v>
      </c>
      <c r="E56" s="205">
        <v>-1</v>
      </c>
      <c r="F56" s="205">
        <v>0</v>
      </c>
      <c r="G56" s="210" t="s">
        <v>235</v>
      </c>
      <c r="H56" s="210" t="s">
        <v>237</v>
      </c>
      <c r="I56" s="222"/>
      <c r="J56" s="226">
        <v>44.245180138539901</v>
      </c>
      <c r="K56" s="226">
        <v>217.71221885751601</v>
      </c>
      <c r="AB56" s="198">
        <f t="shared" si="2"/>
        <v>1233</v>
      </c>
      <c r="AC56" s="205">
        <v>-1</v>
      </c>
      <c r="AD56" s="205">
        <v>0</v>
      </c>
      <c r="AE56" s="205">
        <v>1</v>
      </c>
      <c r="AF56" s="205">
        <v>1</v>
      </c>
      <c r="AG56" s="222"/>
      <c r="AH56" s="211" t="s">
        <v>238</v>
      </c>
      <c r="AI56" s="211" t="s">
        <v>240</v>
      </c>
      <c r="AJ56" s="226">
        <v>49.870981818063797</v>
      </c>
      <c r="AK56" s="226">
        <v>223.20260944180501</v>
      </c>
      <c r="AM56" s="198">
        <v>3112</v>
      </c>
      <c r="AN56" s="205">
        <v>1</v>
      </c>
      <c r="AO56" s="205">
        <v>-1</v>
      </c>
      <c r="AP56" s="205">
        <v>-1</v>
      </c>
      <c r="AQ56" s="205">
        <v>0</v>
      </c>
      <c r="AR56" s="210" t="s">
        <v>235</v>
      </c>
      <c r="AS56" s="210" t="s">
        <v>237</v>
      </c>
      <c r="AT56" s="222"/>
      <c r="AU56" s="226">
        <v>44.245180138539901</v>
      </c>
      <c r="AV56" s="226">
        <v>217.71221885751601</v>
      </c>
    </row>
    <row r="57" spans="1:48">
      <c r="A57" s="241">
        <v>3</v>
      </c>
      <c r="B57" s="198">
        <v>3113</v>
      </c>
      <c r="C57" s="205">
        <v>1</v>
      </c>
      <c r="D57" s="205">
        <v>-1</v>
      </c>
      <c r="E57" s="205">
        <v>-1</v>
      </c>
      <c r="F57" s="205">
        <v>1</v>
      </c>
      <c r="G57" s="210" t="s">
        <v>235</v>
      </c>
      <c r="H57" s="210" t="s">
        <v>237</v>
      </c>
      <c r="I57" s="211" t="s">
        <v>240</v>
      </c>
      <c r="J57" s="221">
        <v>44.245180138539901</v>
      </c>
      <c r="K57" s="223">
        <v>217.71221885751601</v>
      </c>
      <c r="AB57" s="198">
        <f t="shared" si="2"/>
        <v>2112</v>
      </c>
      <c r="AC57" s="205">
        <v>0</v>
      </c>
      <c r="AD57" s="205">
        <v>-1</v>
      </c>
      <c r="AE57" s="205">
        <v>-1</v>
      </c>
      <c r="AF57" s="205">
        <v>0</v>
      </c>
      <c r="AG57" s="210" t="s">
        <v>235</v>
      </c>
      <c r="AH57" s="210" t="s">
        <v>237</v>
      </c>
      <c r="AI57" s="222"/>
      <c r="AJ57" s="218">
        <v>47.058080978301845</v>
      </c>
      <c r="AK57" s="218">
        <v>220.45741414966051</v>
      </c>
      <c r="AM57" s="198">
        <v>3113</v>
      </c>
      <c r="AN57" s="205">
        <v>1</v>
      </c>
      <c r="AO57" s="205">
        <v>-1</v>
      </c>
      <c r="AP57" s="205">
        <v>-1</v>
      </c>
      <c r="AQ57" s="205">
        <v>1</v>
      </c>
      <c r="AR57" s="210" t="s">
        <v>235</v>
      </c>
      <c r="AS57" s="210" t="s">
        <v>237</v>
      </c>
      <c r="AT57" s="211" t="s">
        <v>240</v>
      </c>
      <c r="AU57" s="221">
        <v>44.245180138539901</v>
      </c>
      <c r="AV57" s="223">
        <v>217.71221885751601</v>
      </c>
    </row>
    <row r="58" spans="1:48">
      <c r="A58" s="241">
        <v>4</v>
      </c>
      <c r="B58" s="198">
        <v>3121</v>
      </c>
      <c r="C58" s="205">
        <v>1</v>
      </c>
      <c r="D58" s="205">
        <v>-1</v>
      </c>
      <c r="E58" s="205">
        <v>0</v>
      </c>
      <c r="F58" s="205">
        <v>-1</v>
      </c>
      <c r="G58" s="210" t="s">
        <v>235</v>
      </c>
      <c r="H58" s="222"/>
      <c r="I58" s="210" t="s">
        <v>239</v>
      </c>
      <c r="J58" s="226">
        <v>44.245180138539901</v>
      </c>
      <c r="K58" s="226">
        <v>217.71221885751601</v>
      </c>
      <c r="AB58" s="198">
        <f t="shared" si="2"/>
        <v>2312</v>
      </c>
      <c r="AC58" s="205">
        <v>0</v>
      </c>
      <c r="AD58" s="205">
        <v>1</v>
      </c>
      <c r="AE58" s="205">
        <v>-1</v>
      </c>
      <c r="AF58" s="205">
        <v>0</v>
      </c>
      <c r="AG58" s="211" t="s">
        <v>236</v>
      </c>
      <c r="AH58" s="210" t="s">
        <v>237</v>
      </c>
      <c r="AI58" s="222"/>
      <c r="AJ58" s="218">
        <v>51.385490909031901</v>
      </c>
      <c r="AK58" s="218">
        <v>190.88271322225</v>
      </c>
      <c r="AM58" s="198">
        <v>3121</v>
      </c>
      <c r="AN58" s="205">
        <v>1</v>
      </c>
      <c r="AO58" s="205">
        <v>-1</v>
      </c>
      <c r="AP58" s="205">
        <v>0</v>
      </c>
      <c r="AQ58" s="205">
        <v>-1</v>
      </c>
      <c r="AR58" s="210" t="s">
        <v>235</v>
      </c>
      <c r="AS58" s="222"/>
      <c r="AT58" s="210" t="s">
        <v>239</v>
      </c>
      <c r="AU58" s="226">
        <v>44.245180138539901</v>
      </c>
      <c r="AV58" s="226">
        <v>217.71221885751601</v>
      </c>
    </row>
    <row r="59" spans="1:48">
      <c r="A59" s="241">
        <v>5</v>
      </c>
      <c r="B59" s="198">
        <v>3122</v>
      </c>
      <c r="C59" s="205">
        <v>1</v>
      </c>
      <c r="D59" s="205">
        <v>-1</v>
      </c>
      <c r="E59" s="205">
        <v>0</v>
      </c>
      <c r="F59" s="205">
        <v>0</v>
      </c>
      <c r="G59" s="210" t="s">
        <v>235</v>
      </c>
      <c r="H59" s="222"/>
      <c r="I59" s="222"/>
      <c r="J59" s="221">
        <v>44.245180138539901</v>
      </c>
      <c r="K59" s="223">
        <v>175.959424902324</v>
      </c>
      <c r="AB59" s="198">
        <f t="shared" si="2"/>
        <v>2132</v>
      </c>
      <c r="AC59" s="205">
        <v>0</v>
      </c>
      <c r="AD59" s="205">
        <v>-1</v>
      </c>
      <c r="AE59" s="205">
        <v>1</v>
      </c>
      <c r="AF59" s="205">
        <v>0</v>
      </c>
      <c r="AG59" s="210" t="s">
        <v>235</v>
      </c>
      <c r="AH59" s="211" t="s">
        <v>238</v>
      </c>
      <c r="AI59" s="222"/>
      <c r="AJ59" s="218">
        <v>47.058080978301845</v>
      </c>
      <c r="AK59" s="218">
        <v>210.430516475579</v>
      </c>
      <c r="AM59" s="198">
        <v>3122</v>
      </c>
      <c r="AN59" s="205">
        <v>1</v>
      </c>
      <c r="AO59" s="205">
        <v>-1</v>
      </c>
      <c r="AP59" s="205">
        <v>0</v>
      </c>
      <c r="AQ59" s="205">
        <v>0</v>
      </c>
      <c r="AR59" s="210" t="s">
        <v>235</v>
      </c>
      <c r="AS59" s="222"/>
      <c r="AT59" s="222"/>
      <c r="AU59" s="221">
        <v>44.245180138539901</v>
      </c>
      <c r="AV59" s="223">
        <v>175.959424902324</v>
      </c>
    </row>
    <row r="60" spans="1:48">
      <c r="A60" s="241">
        <v>6</v>
      </c>
      <c r="B60" s="198">
        <v>3123</v>
      </c>
      <c r="C60" s="205">
        <v>1</v>
      </c>
      <c r="D60" s="205">
        <v>-1</v>
      </c>
      <c r="E60" s="205">
        <v>0</v>
      </c>
      <c r="F60" s="205">
        <v>1</v>
      </c>
      <c r="G60" s="210" t="s">
        <v>235</v>
      </c>
      <c r="H60" s="222"/>
      <c r="I60" s="211" t="s">
        <v>240</v>
      </c>
      <c r="J60" s="226">
        <v>44.245180138539901</v>
      </c>
      <c r="K60" s="226">
        <v>217.71221885751601</v>
      </c>
      <c r="AB60" s="198">
        <f t="shared" si="2"/>
        <v>2332</v>
      </c>
      <c r="AC60" s="205">
        <v>0</v>
      </c>
      <c r="AD60" s="205">
        <v>1</v>
      </c>
      <c r="AE60" s="205">
        <v>1</v>
      </c>
      <c r="AF60" s="205">
        <v>0</v>
      </c>
      <c r="AG60" s="211" t="s">
        <v>236</v>
      </c>
      <c r="AH60" s="211" t="s">
        <v>238</v>
      </c>
      <c r="AI60" s="222"/>
      <c r="AJ60" s="218">
        <v>51.385490909031901</v>
      </c>
      <c r="AK60" s="218">
        <v>190.88271322225</v>
      </c>
      <c r="AM60" s="198">
        <v>3123</v>
      </c>
      <c r="AN60" s="205">
        <v>1</v>
      </c>
      <c r="AO60" s="205">
        <v>-1</v>
      </c>
      <c r="AP60" s="205">
        <v>0</v>
      </c>
      <c r="AQ60" s="205">
        <v>1</v>
      </c>
      <c r="AR60" s="210" t="s">
        <v>235</v>
      </c>
      <c r="AS60" s="222"/>
      <c r="AT60" s="211" t="s">
        <v>240</v>
      </c>
      <c r="AU60" s="226">
        <v>44.245180138539901</v>
      </c>
      <c r="AV60" s="226">
        <v>217.71221885751601</v>
      </c>
    </row>
    <row r="61" spans="1:48">
      <c r="A61" s="241">
        <v>7</v>
      </c>
      <c r="B61" s="198">
        <v>3131</v>
      </c>
      <c r="C61" s="205">
        <v>1</v>
      </c>
      <c r="D61" s="205">
        <v>-1</v>
      </c>
      <c r="E61" s="205">
        <v>1</v>
      </c>
      <c r="F61" s="205">
        <v>-1</v>
      </c>
      <c r="G61" s="210" t="s">
        <v>235</v>
      </c>
      <c r="H61" s="211" t="s">
        <v>238</v>
      </c>
      <c r="I61" s="210" t="s">
        <v>239</v>
      </c>
      <c r="J61" s="221">
        <v>44.245180138539901</v>
      </c>
      <c r="K61" s="223">
        <v>197.65842350935301</v>
      </c>
      <c r="AB61" s="198">
        <f t="shared" si="2"/>
        <v>2121</v>
      </c>
      <c r="AC61" s="205">
        <v>0</v>
      </c>
      <c r="AD61" s="205">
        <v>-1</v>
      </c>
      <c r="AE61" s="205">
        <v>0</v>
      </c>
      <c r="AF61" s="205">
        <v>-1</v>
      </c>
      <c r="AG61" s="210" t="s">
        <v>235</v>
      </c>
      <c r="AH61" s="222"/>
      <c r="AI61" s="210" t="s">
        <v>239</v>
      </c>
      <c r="AJ61" s="218">
        <v>47.772590069269953</v>
      </c>
      <c r="AK61" s="218">
        <v>220.45741414966051</v>
      </c>
      <c r="AM61" s="198">
        <v>3131</v>
      </c>
      <c r="AN61" s="205">
        <v>1</v>
      </c>
      <c r="AO61" s="205">
        <v>-1</v>
      </c>
      <c r="AP61" s="205">
        <v>1</v>
      </c>
      <c r="AQ61" s="205">
        <v>-1</v>
      </c>
      <c r="AR61" s="210" t="s">
        <v>235</v>
      </c>
      <c r="AS61" s="211" t="s">
        <v>238</v>
      </c>
      <c r="AT61" s="210" t="s">
        <v>239</v>
      </c>
      <c r="AU61" s="221">
        <v>44.245180138539901</v>
      </c>
      <c r="AV61" s="223">
        <v>197.65842350935301</v>
      </c>
    </row>
    <row r="62" spans="1:48">
      <c r="A62" s="241">
        <v>8</v>
      </c>
      <c r="B62" s="198">
        <v>3132</v>
      </c>
      <c r="C62" s="205">
        <v>1</v>
      </c>
      <c r="D62" s="205">
        <v>-1</v>
      </c>
      <c r="E62" s="205">
        <v>1</v>
      </c>
      <c r="F62" s="205">
        <v>0</v>
      </c>
      <c r="G62" s="210" t="s">
        <v>235</v>
      </c>
      <c r="H62" s="211" t="s">
        <v>238</v>
      </c>
      <c r="I62" s="222"/>
      <c r="J62" s="226">
        <v>44.245180138539901</v>
      </c>
      <c r="K62" s="226">
        <v>197.65842350935301</v>
      </c>
      <c r="AB62" s="198">
        <f t="shared" si="2"/>
        <v>2321</v>
      </c>
      <c r="AC62" s="205">
        <v>0</v>
      </c>
      <c r="AD62" s="205">
        <v>1</v>
      </c>
      <c r="AE62" s="205">
        <v>0</v>
      </c>
      <c r="AF62" s="205">
        <v>-1</v>
      </c>
      <c r="AG62" s="211" t="s">
        <v>236</v>
      </c>
      <c r="AH62" s="222"/>
      <c r="AI62" s="210" t="s">
        <v>239</v>
      </c>
      <c r="AJ62" s="218">
        <v>52.9</v>
      </c>
      <c r="AK62" s="218">
        <v>190.88271322225</v>
      </c>
      <c r="AM62" s="198">
        <v>3132</v>
      </c>
      <c r="AN62" s="205">
        <v>1</v>
      </c>
      <c r="AO62" s="205">
        <v>-1</v>
      </c>
      <c r="AP62" s="205">
        <v>1</v>
      </c>
      <c r="AQ62" s="205">
        <v>0</v>
      </c>
      <c r="AR62" s="210" t="s">
        <v>235</v>
      </c>
      <c r="AS62" s="211" t="s">
        <v>238</v>
      </c>
      <c r="AT62" s="222"/>
      <c r="AU62" s="226">
        <v>44.245180138539901</v>
      </c>
      <c r="AV62" s="226">
        <v>197.65842350935301</v>
      </c>
    </row>
    <row r="63" spans="1:48">
      <c r="A63" s="241">
        <v>9</v>
      </c>
      <c r="B63" s="198">
        <v>3133</v>
      </c>
      <c r="C63" s="205">
        <v>1</v>
      </c>
      <c r="D63" s="205">
        <v>-1</v>
      </c>
      <c r="E63" s="205">
        <v>1</v>
      </c>
      <c r="F63" s="205">
        <v>1</v>
      </c>
      <c r="G63" s="210" t="s">
        <v>235</v>
      </c>
      <c r="H63" s="211" t="s">
        <v>238</v>
      </c>
      <c r="I63" s="211" t="s">
        <v>240</v>
      </c>
      <c r="J63" s="221">
        <v>44.245180138539901</v>
      </c>
      <c r="K63" s="223">
        <v>175.959424902324</v>
      </c>
      <c r="AB63" s="198">
        <f t="shared" si="2"/>
        <v>2123</v>
      </c>
      <c r="AC63" s="205">
        <v>0</v>
      </c>
      <c r="AD63" s="205">
        <v>-1</v>
      </c>
      <c r="AE63" s="205">
        <v>0</v>
      </c>
      <c r="AF63" s="205">
        <v>1</v>
      </c>
      <c r="AG63" s="210" t="s">
        <v>235</v>
      </c>
      <c r="AH63" s="222"/>
      <c r="AI63" s="211" t="s">
        <v>240</v>
      </c>
      <c r="AJ63" s="218">
        <v>47.058080978301845</v>
      </c>
      <c r="AK63" s="218">
        <v>220.45741414966051</v>
      </c>
      <c r="AM63" s="198">
        <v>3133</v>
      </c>
      <c r="AN63" s="205">
        <v>1</v>
      </c>
      <c r="AO63" s="205">
        <v>-1</v>
      </c>
      <c r="AP63" s="205">
        <v>1</v>
      </c>
      <c r="AQ63" s="205">
        <v>1</v>
      </c>
      <c r="AR63" s="210" t="s">
        <v>235</v>
      </c>
      <c r="AS63" s="211" t="s">
        <v>238</v>
      </c>
      <c r="AT63" s="211" t="s">
        <v>240</v>
      </c>
      <c r="AU63" s="221">
        <v>44.245180138539901</v>
      </c>
      <c r="AV63" s="223">
        <v>175.959424902324</v>
      </c>
    </row>
    <row r="64" spans="1:48">
      <c r="A64" s="241">
        <v>10</v>
      </c>
      <c r="B64" s="198">
        <v>3211</v>
      </c>
      <c r="C64" s="205">
        <v>1</v>
      </c>
      <c r="D64" s="205">
        <v>0</v>
      </c>
      <c r="E64" s="205">
        <v>-1</v>
      </c>
      <c r="F64" s="205">
        <v>-1</v>
      </c>
      <c r="G64" s="222"/>
      <c r="H64" s="210" t="s">
        <v>237</v>
      </c>
      <c r="I64" s="210" t="s">
        <v>239</v>
      </c>
      <c r="J64" s="226">
        <v>44.245180138539901</v>
      </c>
      <c r="K64" s="226">
        <v>217.71221885751601</v>
      </c>
      <c r="AB64" s="198">
        <f t="shared" si="2"/>
        <v>2323</v>
      </c>
      <c r="AC64" s="205">
        <v>0</v>
      </c>
      <c r="AD64" s="205">
        <v>1</v>
      </c>
      <c r="AE64" s="205">
        <v>0</v>
      </c>
      <c r="AF64" s="205">
        <v>1</v>
      </c>
      <c r="AG64" s="211" t="s">
        <v>236</v>
      </c>
      <c r="AH64" s="222"/>
      <c r="AI64" s="211" t="s">
        <v>240</v>
      </c>
      <c r="AJ64" s="218">
        <v>51.385490909031901</v>
      </c>
      <c r="AK64" s="218">
        <v>181.88304800332401</v>
      </c>
      <c r="AM64" s="198">
        <v>3211</v>
      </c>
      <c r="AN64" s="205">
        <v>1</v>
      </c>
      <c r="AO64" s="205">
        <v>0</v>
      </c>
      <c r="AP64" s="205">
        <v>-1</v>
      </c>
      <c r="AQ64" s="205">
        <v>-1</v>
      </c>
      <c r="AR64" s="222"/>
      <c r="AS64" s="210" t="s">
        <v>237</v>
      </c>
      <c r="AT64" s="210" t="s">
        <v>239</v>
      </c>
      <c r="AU64" s="226">
        <v>44.245180138539901</v>
      </c>
      <c r="AV64" s="226">
        <v>217.71221885751601</v>
      </c>
    </row>
    <row r="65" spans="1:48">
      <c r="A65" s="241">
        <v>11</v>
      </c>
      <c r="B65" s="198">
        <v>3212</v>
      </c>
      <c r="C65" s="205">
        <v>1</v>
      </c>
      <c r="D65" s="205">
        <v>0</v>
      </c>
      <c r="E65" s="205">
        <v>-1</v>
      </c>
      <c r="F65" s="205">
        <v>0</v>
      </c>
      <c r="G65" s="222"/>
      <c r="H65" s="210" t="s">
        <v>237</v>
      </c>
      <c r="I65" s="222"/>
      <c r="J65" s="221">
        <v>64.299414597301705</v>
      </c>
      <c r="K65" s="223">
        <v>179.65909307150099</v>
      </c>
      <c r="AB65" s="198">
        <f t="shared" si="2"/>
        <v>2211</v>
      </c>
      <c r="AC65" s="205">
        <v>0</v>
      </c>
      <c r="AD65" s="205">
        <v>0</v>
      </c>
      <c r="AE65" s="205">
        <v>-1</v>
      </c>
      <c r="AF65" s="205">
        <v>-1</v>
      </c>
      <c r="AG65" s="222"/>
      <c r="AH65" s="210" t="s">
        <v>237</v>
      </c>
      <c r="AI65" s="210" t="s">
        <v>239</v>
      </c>
      <c r="AJ65" s="218">
        <v>47.772590069269953</v>
      </c>
      <c r="AK65" s="218">
        <v>220.45741414966051</v>
      </c>
      <c r="AM65" s="198">
        <v>3212</v>
      </c>
      <c r="AN65" s="205">
        <v>1</v>
      </c>
      <c r="AO65" s="205">
        <v>0</v>
      </c>
      <c r="AP65" s="205">
        <v>-1</v>
      </c>
      <c r="AQ65" s="205">
        <v>0</v>
      </c>
      <c r="AR65" s="222"/>
      <c r="AS65" s="210" t="s">
        <v>237</v>
      </c>
      <c r="AT65" s="222"/>
      <c r="AU65" s="221">
        <v>64.299414597301705</v>
      </c>
      <c r="AV65" s="223">
        <v>179.65909307150099</v>
      </c>
    </row>
    <row r="66" spans="1:48">
      <c r="A66" s="241">
        <v>12</v>
      </c>
      <c r="B66" s="198">
        <v>3213</v>
      </c>
      <c r="C66" s="205">
        <v>1</v>
      </c>
      <c r="D66" s="205">
        <v>0</v>
      </c>
      <c r="E66" s="205">
        <v>-1</v>
      </c>
      <c r="F66" s="205">
        <v>1</v>
      </c>
      <c r="G66" s="222"/>
      <c r="H66" s="210" t="s">
        <v>237</v>
      </c>
      <c r="I66" s="211" t="s">
        <v>240</v>
      </c>
      <c r="J66" s="226">
        <v>44.245180138539901</v>
      </c>
      <c r="K66" s="226">
        <v>217.71221885751601</v>
      </c>
      <c r="AB66" s="198">
        <f t="shared" si="2"/>
        <v>2213</v>
      </c>
      <c r="AC66" s="205">
        <v>0</v>
      </c>
      <c r="AD66" s="205">
        <v>0</v>
      </c>
      <c r="AE66" s="205">
        <v>-1</v>
      </c>
      <c r="AF66" s="205">
        <v>1</v>
      </c>
      <c r="AG66" s="222"/>
      <c r="AH66" s="210" t="s">
        <v>237</v>
      </c>
      <c r="AI66" s="211" t="s">
        <v>240</v>
      </c>
      <c r="AJ66" s="218">
        <v>47.058080978301845</v>
      </c>
      <c r="AK66" s="218">
        <v>220.45741414966051</v>
      </c>
      <c r="AM66" s="198">
        <v>3213</v>
      </c>
      <c r="AN66" s="205">
        <v>1</v>
      </c>
      <c r="AO66" s="205">
        <v>0</v>
      </c>
      <c r="AP66" s="205">
        <v>-1</v>
      </c>
      <c r="AQ66" s="205">
        <v>1</v>
      </c>
      <c r="AR66" s="222"/>
      <c r="AS66" s="210" t="s">
        <v>237</v>
      </c>
      <c r="AT66" s="211" t="s">
        <v>240</v>
      </c>
      <c r="AU66" s="226">
        <v>44.245180138539901</v>
      </c>
      <c r="AV66" s="226">
        <v>217.71221885751601</v>
      </c>
    </row>
    <row r="67" spans="1:48">
      <c r="A67" s="241">
        <v>13</v>
      </c>
      <c r="B67" s="198">
        <v>3221</v>
      </c>
      <c r="C67" s="205">
        <v>1</v>
      </c>
      <c r="D67" s="205">
        <v>0</v>
      </c>
      <c r="E67" s="205">
        <v>0</v>
      </c>
      <c r="F67" s="205">
        <v>-1</v>
      </c>
      <c r="G67" s="222"/>
      <c r="H67" s="222"/>
      <c r="I67" s="210" t="s">
        <v>239</v>
      </c>
      <c r="J67" s="221">
        <v>65.465735207466906</v>
      </c>
      <c r="K67" s="223">
        <v>197.65842350935301</v>
      </c>
      <c r="AB67" s="198">
        <f t="shared" si="2"/>
        <v>2231</v>
      </c>
      <c r="AC67" s="205">
        <v>0</v>
      </c>
      <c r="AD67" s="205">
        <v>0</v>
      </c>
      <c r="AE67" s="205">
        <v>1</v>
      </c>
      <c r="AF67" s="205">
        <v>-1</v>
      </c>
      <c r="AG67" s="222"/>
      <c r="AH67" s="211" t="s">
        <v>238</v>
      </c>
      <c r="AI67" s="210" t="s">
        <v>239</v>
      </c>
      <c r="AJ67" s="218">
        <v>47.772590069269953</v>
      </c>
      <c r="AK67" s="218">
        <v>210.430516475579</v>
      </c>
      <c r="AM67" s="198">
        <v>3221</v>
      </c>
      <c r="AN67" s="205">
        <v>1</v>
      </c>
      <c r="AO67" s="205">
        <v>0</v>
      </c>
      <c r="AP67" s="205">
        <v>0</v>
      </c>
      <c r="AQ67" s="205">
        <v>-1</v>
      </c>
      <c r="AR67" s="222"/>
      <c r="AS67" s="222"/>
      <c r="AT67" s="210" t="s">
        <v>239</v>
      </c>
      <c r="AU67" s="221">
        <v>65.465735207466906</v>
      </c>
      <c r="AV67" s="223">
        <v>197.65842350935301</v>
      </c>
    </row>
    <row r="68" spans="1:48">
      <c r="A68" s="241">
        <v>14</v>
      </c>
      <c r="B68" s="198">
        <v>3223</v>
      </c>
      <c r="C68" s="205">
        <v>1</v>
      </c>
      <c r="D68" s="205">
        <v>0</v>
      </c>
      <c r="E68" s="205">
        <v>0</v>
      </c>
      <c r="F68" s="205">
        <v>1</v>
      </c>
      <c r="G68" s="222"/>
      <c r="H68" s="222"/>
      <c r="I68" s="211" t="s">
        <v>240</v>
      </c>
      <c r="J68" s="221">
        <v>56.319631630006</v>
      </c>
      <c r="K68" s="223">
        <v>170.15622175937</v>
      </c>
      <c r="AB68" s="198">
        <f t="shared" ref="AB68:AB80" si="9">(AD68+2)*100+(AE68+2)*10+(AF68+2)+(AC68+2)*1000</f>
        <v>2233</v>
      </c>
      <c r="AC68" s="205">
        <v>0</v>
      </c>
      <c r="AD68" s="205">
        <v>0</v>
      </c>
      <c r="AE68" s="205">
        <v>1</v>
      </c>
      <c r="AF68" s="205">
        <v>1</v>
      </c>
      <c r="AG68" s="222"/>
      <c r="AH68" s="211" t="s">
        <v>238</v>
      </c>
      <c r="AI68" s="211" t="s">
        <v>240</v>
      </c>
      <c r="AJ68" s="218">
        <v>47.058080978301845</v>
      </c>
      <c r="AK68" s="218">
        <v>199.58101717206449</v>
      </c>
      <c r="AM68" s="198">
        <v>3223</v>
      </c>
      <c r="AN68" s="205">
        <v>1</v>
      </c>
      <c r="AO68" s="205">
        <v>0</v>
      </c>
      <c r="AP68" s="205">
        <v>0</v>
      </c>
      <c r="AQ68" s="205">
        <v>1</v>
      </c>
      <c r="AR68" s="222"/>
      <c r="AS68" s="222"/>
      <c r="AT68" s="211" t="s">
        <v>240</v>
      </c>
      <c r="AU68" s="221">
        <v>56.319631630006</v>
      </c>
      <c r="AV68" s="223">
        <v>170.15622175937</v>
      </c>
    </row>
    <row r="69" spans="1:48">
      <c r="A69" s="241">
        <v>15</v>
      </c>
      <c r="B69" s="198">
        <v>3231</v>
      </c>
      <c r="C69" s="205">
        <v>1</v>
      </c>
      <c r="D69" s="205">
        <v>0</v>
      </c>
      <c r="E69" s="205">
        <v>1</v>
      </c>
      <c r="F69" s="205">
        <v>-1</v>
      </c>
      <c r="G69" s="222"/>
      <c r="H69" s="211" t="s">
        <v>238</v>
      </c>
      <c r="I69" s="210" t="s">
        <v>239</v>
      </c>
      <c r="J69" s="226">
        <v>44.245180138539901</v>
      </c>
      <c r="K69" s="226">
        <v>197.65842350935301</v>
      </c>
      <c r="AB69" s="198">
        <f t="shared" si="9"/>
        <v>3112</v>
      </c>
      <c r="AC69" s="205">
        <v>1</v>
      </c>
      <c r="AD69" s="205">
        <v>-1</v>
      </c>
      <c r="AE69" s="205">
        <v>-1</v>
      </c>
      <c r="AF69" s="205">
        <v>0</v>
      </c>
      <c r="AG69" s="210" t="s">
        <v>235</v>
      </c>
      <c r="AH69" s="210" t="s">
        <v>237</v>
      </c>
      <c r="AI69" s="222"/>
      <c r="AJ69" s="226">
        <v>44.245180138539901</v>
      </c>
      <c r="AK69" s="226">
        <v>217.71221885751601</v>
      </c>
      <c r="AM69" s="198">
        <v>3231</v>
      </c>
      <c r="AN69" s="205">
        <v>1</v>
      </c>
      <c r="AO69" s="205">
        <v>0</v>
      </c>
      <c r="AP69" s="205">
        <v>1</v>
      </c>
      <c r="AQ69" s="205">
        <v>-1</v>
      </c>
      <c r="AR69" s="222"/>
      <c r="AS69" s="211" t="s">
        <v>238</v>
      </c>
      <c r="AT69" s="210" t="s">
        <v>239</v>
      </c>
      <c r="AU69" s="226">
        <v>44.245180138539901</v>
      </c>
      <c r="AV69" s="226">
        <v>197.65842350935301</v>
      </c>
    </row>
    <row r="70" spans="1:48">
      <c r="A70" s="241">
        <v>16</v>
      </c>
      <c r="B70" s="198">
        <v>3232</v>
      </c>
      <c r="C70" s="205">
        <v>1</v>
      </c>
      <c r="D70" s="205">
        <v>0</v>
      </c>
      <c r="E70" s="205">
        <v>1</v>
      </c>
      <c r="F70" s="205">
        <v>0</v>
      </c>
      <c r="G70" s="222"/>
      <c r="H70" s="211" t="s">
        <v>238</v>
      </c>
      <c r="I70" s="222"/>
      <c r="J70" s="221">
        <v>72.300585402698303</v>
      </c>
      <c r="K70" s="223">
        <v>130.20005819918501</v>
      </c>
      <c r="AB70" s="198">
        <f t="shared" si="9"/>
        <v>3312</v>
      </c>
      <c r="AC70" s="205">
        <v>1</v>
      </c>
      <c r="AD70" s="205">
        <v>1</v>
      </c>
      <c r="AE70" s="205">
        <v>-1</v>
      </c>
      <c r="AF70" s="205">
        <v>0</v>
      </c>
      <c r="AG70" s="211" t="s">
        <v>236</v>
      </c>
      <c r="AH70" s="210" t="s">
        <v>237</v>
      </c>
      <c r="AI70" s="222"/>
      <c r="AJ70" s="226">
        <v>52.9</v>
      </c>
      <c r="AK70" s="226">
        <v>197.65842350935301</v>
      </c>
      <c r="AM70" s="198">
        <v>3232</v>
      </c>
      <c r="AN70" s="205">
        <v>1</v>
      </c>
      <c r="AO70" s="205">
        <v>0</v>
      </c>
      <c r="AP70" s="205">
        <v>1</v>
      </c>
      <c r="AQ70" s="205">
        <v>0</v>
      </c>
      <c r="AR70" s="222"/>
      <c r="AS70" s="211" t="s">
        <v>238</v>
      </c>
      <c r="AT70" s="222"/>
      <c r="AU70" s="221">
        <v>72.300585402698303</v>
      </c>
      <c r="AV70" s="223">
        <v>130.20005819918501</v>
      </c>
    </row>
    <row r="71" spans="1:48">
      <c r="A71" s="241">
        <v>17</v>
      </c>
      <c r="B71" s="198">
        <v>3233</v>
      </c>
      <c r="C71" s="205">
        <v>1</v>
      </c>
      <c r="D71" s="205">
        <v>0</v>
      </c>
      <c r="E71" s="205">
        <v>1</v>
      </c>
      <c r="F71" s="205">
        <v>1</v>
      </c>
      <c r="G71" s="222"/>
      <c r="H71" s="211" t="s">
        <v>238</v>
      </c>
      <c r="I71" s="211" t="s">
        <v>240</v>
      </c>
      <c r="J71" s="226">
        <v>44.245180138539901</v>
      </c>
      <c r="K71" s="226">
        <v>175.959424902324</v>
      </c>
      <c r="AB71" s="198">
        <f t="shared" si="9"/>
        <v>3132</v>
      </c>
      <c r="AC71" s="205">
        <v>1</v>
      </c>
      <c r="AD71" s="205">
        <v>-1</v>
      </c>
      <c r="AE71" s="205">
        <v>1</v>
      </c>
      <c r="AF71" s="205">
        <v>0</v>
      </c>
      <c r="AG71" s="210" t="s">
        <v>235</v>
      </c>
      <c r="AH71" s="211" t="s">
        <v>238</v>
      </c>
      <c r="AI71" s="222"/>
      <c r="AJ71" s="226">
        <v>44.245180138539901</v>
      </c>
      <c r="AK71" s="226">
        <v>197.65842350935301</v>
      </c>
      <c r="AM71" s="198">
        <v>3233</v>
      </c>
      <c r="AN71" s="205">
        <v>1</v>
      </c>
      <c r="AO71" s="205">
        <v>0</v>
      </c>
      <c r="AP71" s="205">
        <v>1</v>
      </c>
      <c r="AQ71" s="205">
        <v>1</v>
      </c>
      <c r="AR71" s="222"/>
      <c r="AS71" s="211" t="s">
        <v>238</v>
      </c>
      <c r="AT71" s="211" t="s">
        <v>240</v>
      </c>
      <c r="AU71" s="226">
        <v>44.245180138539901</v>
      </c>
      <c r="AV71" s="226">
        <v>175.959424902324</v>
      </c>
    </row>
    <row r="72" spans="1:48">
      <c r="A72" s="241">
        <v>18</v>
      </c>
      <c r="B72" s="198">
        <v>3311</v>
      </c>
      <c r="C72" s="205">
        <v>1</v>
      </c>
      <c r="D72" s="205">
        <v>1</v>
      </c>
      <c r="E72" s="205">
        <v>-1</v>
      </c>
      <c r="F72" s="205">
        <v>-1</v>
      </c>
      <c r="G72" s="211" t="s">
        <v>236</v>
      </c>
      <c r="H72" s="210" t="s">
        <v>237</v>
      </c>
      <c r="I72" s="210" t="s">
        <v>239</v>
      </c>
      <c r="J72" s="221">
        <v>52.9</v>
      </c>
      <c r="K72" s="223">
        <v>197.65842350935301</v>
      </c>
      <c r="AB72" s="198">
        <f t="shared" si="9"/>
        <v>3332</v>
      </c>
      <c r="AC72" s="205">
        <v>1</v>
      </c>
      <c r="AD72" s="205">
        <v>1</v>
      </c>
      <c r="AE72" s="205">
        <v>1</v>
      </c>
      <c r="AF72" s="205">
        <v>0</v>
      </c>
      <c r="AG72" s="211" t="s">
        <v>236</v>
      </c>
      <c r="AH72" s="211" t="s">
        <v>238</v>
      </c>
      <c r="AI72" s="222"/>
      <c r="AJ72" s="226">
        <v>52.9</v>
      </c>
      <c r="AK72" s="226">
        <v>197.65842350935301</v>
      </c>
      <c r="AM72" s="198">
        <v>3311</v>
      </c>
      <c r="AN72" s="205">
        <v>1</v>
      </c>
      <c r="AO72" s="205">
        <v>1</v>
      </c>
      <c r="AP72" s="205">
        <v>-1</v>
      </c>
      <c r="AQ72" s="205">
        <v>-1</v>
      </c>
      <c r="AR72" s="211" t="s">
        <v>236</v>
      </c>
      <c r="AS72" s="210" t="s">
        <v>237</v>
      </c>
      <c r="AT72" s="210" t="s">
        <v>239</v>
      </c>
      <c r="AU72" s="221">
        <v>52.9</v>
      </c>
      <c r="AV72" s="223">
        <v>197.65842350935301</v>
      </c>
    </row>
    <row r="73" spans="1:48">
      <c r="A73" s="241">
        <v>19</v>
      </c>
      <c r="B73" s="198">
        <v>3312</v>
      </c>
      <c r="C73" s="205">
        <v>1</v>
      </c>
      <c r="D73" s="205">
        <v>1</v>
      </c>
      <c r="E73" s="205">
        <v>-1</v>
      </c>
      <c r="F73" s="205">
        <v>0</v>
      </c>
      <c r="G73" s="211" t="s">
        <v>236</v>
      </c>
      <c r="H73" s="210" t="s">
        <v>237</v>
      </c>
      <c r="I73" s="222"/>
      <c r="J73" s="226">
        <v>52.9</v>
      </c>
      <c r="K73" s="226">
        <v>197.65842350935301</v>
      </c>
      <c r="AB73" s="198">
        <f t="shared" si="9"/>
        <v>3121</v>
      </c>
      <c r="AC73" s="205">
        <v>1</v>
      </c>
      <c r="AD73" s="205">
        <v>-1</v>
      </c>
      <c r="AE73" s="205">
        <v>0</v>
      </c>
      <c r="AF73" s="205">
        <v>-1</v>
      </c>
      <c r="AG73" s="210" t="s">
        <v>235</v>
      </c>
      <c r="AH73" s="222"/>
      <c r="AI73" s="210" t="s">
        <v>239</v>
      </c>
      <c r="AJ73" s="226">
        <v>44.245180138539901</v>
      </c>
      <c r="AK73" s="226">
        <v>217.71221885751601</v>
      </c>
      <c r="AM73" s="198">
        <v>3312</v>
      </c>
      <c r="AN73" s="205">
        <v>1</v>
      </c>
      <c r="AO73" s="205">
        <v>1</v>
      </c>
      <c r="AP73" s="205">
        <v>-1</v>
      </c>
      <c r="AQ73" s="205">
        <v>0</v>
      </c>
      <c r="AR73" s="211" t="s">
        <v>236</v>
      </c>
      <c r="AS73" s="210" t="s">
        <v>237</v>
      </c>
      <c r="AT73" s="222"/>
      <c r="AU73" s="226">
        <v>52.9</v>
      </c>
      <c r="AV73" s="226">
        <v>197.65842350935301</v>
      </c>
    </row>
    <row r="74" spans="1:48">
      <c r="A74" s="241">
        <v>20</v>
      </c>
      <c r="B74" s="198">
        <v>3313</v>
      </c>
      <c r="C74" s="205">
        <v>1</v>
      </c>
      <c r="D74" s="205">
        <v>1</v>
      </c>
      <c r="E74" s="205">
        <v>-1</v>
      </c>
      <c r="F74" s="205">
        <v>1</v>
      </c>
      <c r="G74" s="211" t="s">
        <v>236</v>
      </c>
      <c r="H74" s="210" t="s">
        <v>237</v>
      </c>
      <c r="I74" s="211" t="s">
        <v>240</v>
      </c>
      <c r="J74" s="221">
        <v>52.9</v>
      </c>
      <c r="K74" s="223">
        <v>179.65909307150099</v>
      </c>
      <c r="AB74" s="198">
        <f t="shared" si="9"/>
        <v>3321</v>
      </c>
      <c r="AC74" s="205">
        <v>1</v>
      </c>
      <c r="AD74" s="205">
        <v>1</v>
      </c>
      <c r="AE74" s="205">
        <v>0</v>
      </c>
      <c r="AF74" s="205">
        <v>-1</v>
      </c>
      <c r="AG74" s="211" t="s">
        <v>236</v>
      </c>
      <c r="AH74" s="222"/>
      <c r="AI74" s="210" t="s">
        <v>239</v>
      </c>
      <c r="AJ74" s="226">
        <v>52.9</v>
      </c>
      <c r="AK74" s="226">
        <v>197.65842350935301</v>
      </c>
      <c r="AM74" s="198">
        <v>3313</v>
      </c>
      <c r="AN74" s="205">
        <v>1</v>
      </c>
      <c r="AO74" s="205">
        <v>1</v>
      </c>
      <c r="AP74" s="205">
        <v>-1</v>
      </c>
      <c r="AQ74" s="205">
        <v>1</v>
      </c>
      <c r="AR74" s="211" t="s">
        <v>236</v>
      </c>
      <c r="AS74" s="210" t="s">
        <v>237</v>
      </c>
      <c r="AT74" s="211" t="s">
        <v>240</v>
      </c>
      <c r="AU74" s="221">
        <v>52.9</v>
      </c>
      <c r="AV74" s="223">
        <v>179.65909307150099</v>
      </c>
    </row>
    <row r="75" spans="1:48">
      <c r="A75" s="241">
        <v>21</v>
      </c>
      <c r="B75" s="198">
        <v>3321</v>
      </c>
      <c r="C75" s="205">
        <v>1</v>
      </c>
      <c r="D75" s="205">
        <v>1</v>
      </c>
      <c r="E75" s="205">
        <v>0</v>
      </c>
      <c r="F75" s="205">
        <v>-1</v>
      </c>
      <c r="G75" s="211" t="s">
        <v>236</v>
      </c>
      <c r="H75" s="222"/>
      <c r="I75" s="210" t="s">
        <v>239</v>
      </c>
      <c r="J75" s="226">
        <v>52.9</v>
      </c>
      <c r="K75" s="226">
        <v>197.65842350935301</v>
      </c>
      <c r="AB75" s="198">
        <f t="shared" si="9"/>
        <v>3123</v>
      </c>
      <c r="AC75" s="205">
        <v>1</v>
      </c>
      <c r="AD75" s="205">
        <v>-1</v>
      </c>
      <c r="AE75" s="205">
        <v>0</v>
      </c>
      <c r="AF75" s="205">
        <v>1</v>
      </c>
      <c r="AG75" s="210" t="s">
        <v>235</v>
      </c>
      <c r="AH75" s="222"/>
      <c r="AI75" s="211" t="s">
        <v>240</v>
      </c>
      <c r="AJ75" s="226">
        <v>44.245180138539901</v>
      </c>
      <c r="AK75" s="226">
        <v>217.71221885751601</v>
      </c>
      <c r="AM75" s="198">
        <v>3321</v>
      </c>
      <c r="AN75" s="205">
        <v>1</v>
      </c>
      <c r="AO75" s="205">
        <v>1</v>
      </c>
      <c r="AP75" s="205">
        <v>0</v>
      </c>
      <c r="AQ75" s="205">
        <v>-1</v>
      </c>
      <c r="AR75" s="211" t="s">
        <v>236</v>
      </c>
      <c r="AS75" s="222"/>
      <c r="AT75" s="210" t="s">
        <v>239</v>
      </c>
      <c r="AU75" s="226">
        <v>52.9</v>
      </c>
      <c r="AV75" s="226">
        <v>197.65842350935301</v>
      </c>
    </row>
    <row r="76" spans="1:48">
      <c r="A76" s="241">
        <v>22</v>
      </c>
      <c r="B76" s="198">
        <v>3322</v>
      </c>
      <c r="C76" s="205">
        <v>1</v>
      </c>
      <c r="D76" s="205">
        <v>1</v>
      </c>
      <c r="E76" s="205">
        <v>0</v>
      </c>
      <c r="F76" s="205">
        <v>0</v>
      </c>
      <c r="G76" s="211" t="s">
        <v>236</v>
      </c>
      <c r="H76" s="222"/>
      <c r="I76" s="222"/>
      <c r="J76" s="221">
        <v>52.9</v>
      </c>
      <c r="K76" s="223">
        <v>166.94016173424899</v>
      </c>
      <c r="AB76" s="198">
        <f t="shared" si="9"/>
        <v>3323</v>
      </c>
      <c r="AC76" s="205">
        <v>1</v>
      </c>
      <c r="AD76" s="205">
        <v>1</v>
      </c>
      <c r="AE76" s="205">
        <v>0</v>
      </c>
      <c r="AF76" s="205">
        <v>1</v>
      </c>
      <c r="AG76" s="211" t="s">
        <v>236</v>
      </c>
      <c r="AH76" s="222"/>
      <c r="AI76" s="211" t="s">
        <v>240</v>
      </c>
      <c r="AJ76" s="226">
        <v>52.9</v>
      </c>
      <c r="AK76" s="226">
        <v>179.65909307150099</v>
      </c>
      <c r="AM76" s="198">
        <v>3322</v>
      </c>
      <c r="AN76" s="205">
        <v>1</v>
      </c>
      <c r="AO76" s="205">
        <v>1</v>
      </c>
      <c r="AP76" s="205">
        <v>0</v>
      </c>
      <c r="AQ76" s="205">
        <v>0</v>
      </c>
      <c r="AR76" s="211" t="s">
        <v>236</v>
      </c>
      <c r="AS76" s="222"/>
      <c r="AT76" s="222"/>
      <c r="AU76" s="221">
        <v>52.9</v>
      </c>
      <c r="AV76" s="223">
        <v>166.94016173424899</v>
      </c>
    </row>
    <row r="77" spans="1:48">
      <c r="A77" s="241">
        <v>23</v>
      </c>
      <c r="B77" s="198">
        <v>3323</v>
      </c>
      <c r="C77" s="205">
        <v>1</v>
      </c>
      <c r="D77" s="205">
        <v>1</v>
      </c>
      <c r="E77" s="205">
        <v>0</v>
      </c>
      <c r="F77" s="205">
        <v>1</v>
      </c>
      <c r="G77" s="211" t="s">
        <v>236</v>
      </c>
      <c r="H77" s="222"/>
      <c r="I77" s="211" t="s">
        <v>240</v>
      </c>
      <c r="J77" s="226">
        <v>52.9</v>
      </c>
      <c r="K77" s="226">
        <v>179.65909307150099</v>
      </c>
      <c r="AB77" s="198">
        <f t="shared" si="9"/>
        <v>3211</v>
      </c>
      <c r="AC77" s="205">
        <v>1</v>
      </c>
      <c r="AD77" s="205">
        <v>0</v>
      </c>
      <c r="AE77" s="205">
        <v>-1</v>
      </c>
      <c r="AF77" s="205">
        <v>-1</v>
      </c>
      <c r="AG77" s="222"/>
      <c r="AH77" s="210" t="s">
        <v>237</v>
      </c>
      <c r="AI77" s="210" t="s">
        <v>239</v>
      </c>
      <c r="AJ77" s="226">
        <v>44.245180138539901</v>
      </c>
      <c r="AK77" s="226">
        <v>217.71221885751601</v>
      </c>
      <c r="AM77" s="198">
        <v>3323</v>
      </c>
      <c r="AN77" s="205">
        <v>1</v>
      </c>
      <c r="AO77" s="205">
        <v>1</v>
      </c>
      <c r="AP77" s="205">
        <v>0</v>
      </c>
      <c r="AQ77" s="205">
        <v>1</v>
      </c>
      <c r="AR77" s="211" t="s">
        <v>236</v>
      </c>
      <c r="AS77" s="222"/>
      <c r="AT77" s="211" t="s">
        <v>240</v>
      </c>
      <c r="AU77" s="226">
        <v>52.9</v>
      </c>
      <c r="AV77" s="226">
        <v>179.65909307150099</v>
      </c>
    </row>
    <row r="78" spans="1:48">
      <c r="A78" s="241">
        <v>24</v>
      </c>
      <c r="B78" s="198">
        <v>3331</v>
      </c>
      <c r="C78" s="205">
        <v>1</v>
      </c>
      <c r="D78" s="205">
        <v>1</v>
      </c>
      <c r="E78" s="205">
        <v>1</v>
      </c>
      <c r="F78" s="205">
        <v>-1</v>
      </c>
      <c r="G78" s="211" t="s">
        <v>236</v>
      </c>
      <c r="H78" s="211" t="s">
        <v>238</v>
      </c>
      <c r="I78" s="210" t="s">
        <v>239</v>
      </c>
      <c r="J78" s="221">
        <v>52.9</v>
      </c>
      <c r="K78" s="223">
        <v>197.65842350935301</v>
      </c>
      <c r="AB78" s="198">
        <f t="shared" si="9"/>
        <v>3213</v>
      </c>
      <c r="AC78" s="205">
        <v>1</v>
      </c>
      <c r="AD78" s="205">
        <v>0</v>
      </c>
      <c r="AE78" s="205">
        <v>-1</v>
      </c>
      <c r="AF78" s="205">
        <v>1</v>
      </c>
      <c r="AG78" s="222"/>
      <c r="AH78" s="210" t="s">
        <v>237</v>
      </c>
      <c r="AI78" s="211" t="s">
        <v>240</v>
      </c>
      <c r="AJ78" s="226">
        <v>44.245180138539901</v>
      </c>
      <c r="AK78" s="226">
        <v>217.71221885751601</v>
      </c>
      <c r="AM78" s="198">
        <v>3331</v>
      </c>
      <c r="AN78" s="205">
        <v>1</v>
      </c>
      <c r="AO78" s="205">
        <v>1</v>
      </c>
      <c r="AP78" s="205">
        <v>1</v>
      </c>
      <c r="AQ78" s="205">
        <v>-1</v>
      </c>
      <c r="AR78" s="211" t="s">
        <v>236</v>
      </c>
      <c r="AS78" s="211" t="s">
        <v>238</v>
      </c>
      <c r="AT78" s="210" t="s">
        <v>239</v>
      </c>
      <c r="AU78" s="221">
        <v>52.9</v>
      </c>
      <c r="AV78" s="223">
        <v>197.65842350935301</v>
      </c>
    </row>
    <row r="79" spans="1:48">
      <c r="A79" s="241">
        <v>25</v>
      </c>
      <c r="B79" s="198">
        <v>3332</v>
      </c>
      <c r="C79" s="205">
        <v>1</v>
      </c>
      <c r="D79" s="205">
        <v>1</v>
      </c>
      <c r="E79" s="205">
        <v>1</v>
      </c>
      <c r="F79" s="205">
        <v>0</v>
      </c>
      <c r="G79" s="211" t="s">
        <v>236</v>
      </c>
      <c r="H79" s="211" t="s">
        <v>238</v>
      </c>
      <c r="I79" s="222"/>
      <c r="J79" s="226">
        <v>52.9</v>
      </c>
      <c r="K79" s="226">
        <v>197.65842350935301</v>
      </c>
      <c r="AB79" s="198">
        <f t="shared" si="9"/>
        <v>3231</v>
      </c>
      <c r="AC79" s="205">
        <v>1</v>
      </c>
      <c r="AD79" s="205">
        <v>0</v>
      </c>
      <c r="AE79" s="205">
        <v>1</v>
      </c>
      <c r="AF79" s="205">
        <v>-1</v>
      </c>
      <c r="AG79" s="222"/>
      <c r="AH79" s="211" t="s">
        <v>238</v>
      </c>
      <c r="AI79" s="210" t="s">
        <v>239</v>
      </c>
      <c r="AJ79" s="226">
        <v>44.245180138539901</v>
      </c>
      <c r="AK79" s="226">
        <v>197.65842350935301</v>
      </c>
      <c r="AM79" s="198">
        <v>3332</v>
      </c>
      <c r="AN79" s="205">
        <v>1</v>
      </c>
      <c r="AO79" s="205">
        <v>1</v>
      </c>
      <c r="AP79" s="205">
        <v>1</v>
      </c>
      <c r="AQ79" s="205">
        <v>0</v>
      </c>
      <c r="AR79" s="211" t="s">
        <v>236</v>
      </c>
      <c r="AS79" s="211" t="s">
        <v>238</v>
      </c>
      <c r="AT79" s="222"/>
      <c r="AU79" s="226">
        <v>52.9</v>
      </c>
      <c r="AV79" s="226">
        <v>197.65842350935301</v>
      </c>
    </row>
    <row r="80" spans="1:48">
      <c r="A80" s="241">
        <v>26</v>
      </c>
      <c r="B80" s="198">
        <v>3333</v>
      </c>
      <c r="C80" s="205">
        <v>1</v>
      </c>
      <c r="D80" s="205">
        <v>1</v>
      </c>
      <c r="E80" s="205">
        <v>1</v>
      </c>
      <c r="F80" s="205">
        <v>1</v>
      </c>
      <c r="G80" s="211" t="s">
        <v>236</v>
      </c>
      <c r="H80" s="211" t="s">
        <v>238</v>
      </c>
      <c r="I80" s="211" t="s">
        <v>240</v>
      </c>
      <c r="J80" s="221">
        <v>52.9</v>
      </c>
      <c r="K80" s="223">
        <v>170.15622175937</v>
      </c>
      <c r="AB80" s="198">
        <f t="shared" si="9"/>
        <v>3233</v>
      </c>
      <c r="AC80" s="205">
        <v>1</v>
      </c>
      <c r="AD80" s="205">
        <v>0</v>
      </c>
      <c r="AE80" s="205">
        <v>1</v>
      </c>
      <c r="AF80" s="205">
        <v>1</v>
      </c>
      <c r="AG80" s="222"/>
      <c r="AH80" s="211" t="s">
        <v>238</v>
      </c>
      <c r="AI80" s="211" t="s">
        <v>240</v>
      </c>
      <c r="AJ80" s="226">
        <v>44.245180138539901</v>
      </c>
      <c r="AK80" s="226">
        <v>175.959424902324</v>
      </c>
      <c r="AM80" s="198">
        <v>3333</v>
      </c>
      <c r="AN80" s="205">
        <v>1</v>
      </c>
      <c r="AO80" s="205">
        <v>1</v>
      </c>
      <c r="AP80" s="205">
        <v>1</v>
      </c>
      <c r="AQ80" s="205">
        <v>1</v>
      </c>
      <c r="AR80" s="211" t="s">
        <v>236</v>
      </c>
      <c r="AS80" s="211" t="s">
        <v>238</v>
      </c>
      <c r="AT80" s="211" t="s">
        <v>240</v>
      </c>
      <c r="AU80" s="221">
        <v>52.9</v>
      </c>
      <c r="AV80" s="223">
        <v>170.15622175937</v>
      </c>
    </row>
  </sheetData>
  <sheetProtection selectLockedCells="1" selectUnlockedCells="1"/>
  <sortState xmlns:xlrd2="http://schemas.microsoft.com/office/spreadsheetml/2017/richdata2" ref="AM3:AV80">
    <sortCondition ref="AM3:AM80"/>
  </sortState>
  <mergeCells count="16">
    <mergeCell ref="AM2:AV2"/>
    <mergeCell ref="R3:R6"/>
    <mergeCell ref="T21:T22"/>
    <mergeCell ref="T23:T24"/>
    <mergeCell ref="R17:R18"/>
    <mergeCell ref="R19:R20"/>
    <mergeCell ref="R25:R26"/>
    <mergeCell ref="R27:R28"/>
    <mergeCell ref="B1:K1"/>
    <mergeCell ref="X1:Z1"/>
    <mergeCell ref="S3:S4"/>
    <mergeCell ref="S5:S6"/>
    <mergeCell ref="R7:R10"/>
    <mergeCell ref="S7:S8"/>
    <mergeCell ref="S9:S10"/>
    <mergeCell ref="U1:W1"/>
  </mergeCells>
  <conditionalFormatting sqref="C3:F80">
    <cfRule type="cellIs" dxfId="11" priority="1" operator="equal">
      <formula>0</formula>
    </cfRule>
    <cfRule type="cellIs" dxfId="10" priority="2" operator="lessThan">
      <formula>0</formula>
    </cfRule>
    <cfRule type="cellIs" dxfId="9" priority="3" operator="greaterThan">
      <formula>0</formula>
    </cfRule>
  </conditionalFormatting>
  <conditionalFormatting sqref="O17:Q28">
    <cfRule type="cellIs" dxfId="8" priority="81" operator="greaterThan">
      <formula>0</formula>
    </cfRule>
    <cfRule type="cellIs" dxfId="7" priority="80" operator="lessThan">
      <formula>0</formula>
    </cfRule>
    <cfRule type="cellIs" dxfId="6" priority="79" operator="equal">
      <formula>0</formula>
    </cfRule>
  </conditionalFormatting>
  <conditionalFormatting sqref="AC3:AF80">
    <cfRule type="cellIs" dxfId="5" priority="61" operator="equal">
      <formula>0</formula>
    </cfRule>
    <cfRule type="cellIs" dxfId="4" priority="62" operator="lessThan">
      <formula>0</formula>
    </cfRule>
    <cfRule type="cellIs" dxfId="3" priority="63" operator="greaterThan">
      <formula>0</formula>
    </cfRule>
  </conditionalFormatting>
  <conditionalFormatting sqref="AN3:AQ80">
    <cfRule type="cellIs" dxfId="2" priority="31" operator="equal">
      <formula>0</formula>
    </cfRule>
    <cfRule type="cellIs" dxfId="1" priority="33" operator="greaterThan">
      <formula>0</formula>
    </cfRule>
    <cfRule type="cellIs" dxfId="0" priority="32" operator="lessThan">
      <formula>0</formula>
    </cfRule>
  </conditionalFormatting>
  <pageMargins left="0.75" right="0.75" top="1" bottom="1" header="0.5" footer="0.5"/>
  <pageSetup orientation="portrait" horizontalDpi="4294967292" verticalDpi="4294967292"/>
  <ignoredErrors>
    <ignoredError sqref="U17:U20 W17:X20 Z17:Z20" formulaRange="1"/>
    <ignoredError sqref="V21:V28 Y21:Y28" formula="1"/>
    <ignoredError sqref="V17:V20 Y17:Y20" formula="1" formulaRang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Input Data</vt:lpstr>
      <vt:lpstr>Instructions</vt:lpstr>
      <vt:lpstr>Hands wrt Shoulder Axis System</vt:lpstr>
      <vt:lpstr>Lft - Gravity correction</vt:lpstr>
      <vt:lpstr>Rt - Gravity correction</vt:lpstr>
      <vt:lpstr>Lft - ANN 13 nodes</vt:lpstr>
      <vt:lpstr>Rt - ANN 13 nodes</vt:lpstr>
      <vt:lpstr>Min&amp;Max</vt:lpstr>
      <vt:lpstr>'Input Data'!Print_Area</vt:lpstr>
    </vt:vector>
  </TitlesOfParts>
  <Company>McMaster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JRP</dc:creator>
  <cp:lastModifiedBy>Jim Potvin</cp:lastModifiedBy>
  <cp:lastPrinted>2022-04-22T17:35:23Z</cp:lastPrinted>
  <dcterms:created xsi:type="dcterms:W3CDTF">2015-09-11T17:12:32Z</dcterms:created>
  <dcterms:modified xsi:type="dcterms:W3CDTF">2024-03-20T16:25:47Z</dcterms:modified>
</cp:coreProperties>
</file>