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70" windowWidth="15600" windowHeight="11730" activeTab="3"/>
  </bookViews>
  <sheets>
    <sheet name="Fixed Information" sheetId="2" r:id="rId1"/>
    <sheet name="1 Laser Source for 2 Cells" sheetId="3" r:id="rId2"/>
    <sheet name="Solution 1" sheetId="4" r:id="rId3"/>
    <sheet name="Solution 2" sheetId="5" r:id="rId4"/>
    <sheet name="Sheet1" sheetId="1" r:id="rId5"/>
  </sheets>
  <definedNames>
    <definedName name="solver_adj" localSheetId="1" hidden="1">'1 Laser Source for 2 Cells'!$C$21:$C$34</definedName>
    <definedName name="solver_adj" localSheetId="0" hidden="1">'Fixed Information'!#REF!</definedName>
    <definedName name="solver_adj" localSheetId="4" hidden="1">Sheet1!$H$6:$H$7</definedName>
    <definedName name="solver_adj" localSheetId="2" hidden="1">'Solution 1'!$C$2:$C$15</definedName>
    <definedName name="solver_adj" localSheetId="3" hidden="1">'Solution 2'!$C$19:$C$32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4" hidden="1">2</definedName>
    <definedName name="solver_drv" localSheetId="2" hidden="1">2</definedName>
    <definedName name="solver_drv" localSheetId="3" hidden="1">2</definedName>
    <definedName name="solver_eng" localSheetId="1" hidden="1">3</definedName>
    <definedName name="solver_eng" localSheetId="0" hidden="1">1</definedName>
    <definedName name="solver_eng" localSheetId="4" hidden="1">1</definedName>
    <definedName name="solver_eng" localSheetId="2" hidden="1">3</definedName>
    <definedName name="solver_eng" localSheetId="3" hidden="1">3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1" hidden="1">'1 Laser Source for 2 Cells'!$C$21:$C$34</definedName>
    <definedName name="solver_lhs1" localSheetId="0" hidden="1">'Fixed Information'!#REF!</definedName>
    <definedName name="solver_lhs1" localSheetId="2" hidden="1">'Solution 1'!$C$2:$C$15</definedName>
    <definedName name="solver_lhs1" localSheetId="3" hidden="1">'Solution 2'!$C$19:$C$32</definedName>
    <definedName name="solver_lhs10" localSheetId="1" hidden="1">'1 Laser Source for 2 Cells'!$T$25</definedName>
    <definedName name="solver_lhs10" localSheetId="2" hidden="1">'Solution 1'!$T$6</definedName>
    <definedName name="solver_lhs10" localSheetId="3" hidden="1">'Solution 2'!$T$23</definedName>
    <definedName name="solver_lhs11" localSheetId="1" hidden="1">'1 Laser Source for 2 Cells'!$U$25</definedName>
    <definedName name="solver_lhs11" localSheetId="2" hidden="1">'Solution 1'!$U$6</definedName>
    <definedName name="solver_lhs11" localSheetId="3" hidden="1">'Solution 2'!$U$23</definedName>
    <definedName name="solver_lhs2" localSheetId="1" hidden="1">'1 Laser Source for 2 Cells'!$C$21:$C$34</definedName>
    <definedName name="solver_lhs2" localSheetId="0" hidden="1">'Fixed Information'!#REF!</definedName>
    <definedName name="solver_lhs2" localSheetId="2" hidden="1">'Solution 1'!$C$2:$C$15</definedName>
    <definedName name="solver_lhs2" localSheetId="3" hidden="1">'Solution 2'!$C$19:$C$32</definedName>
    <definedName name="solver_lhs3" localSheetId="1" hidden="1">'1 Laser Source for 2 Cells'!$C$21:$C$34</definedName>
    <definedName name="solver_lhs3" localSheetId="2" hidden="1">'Solution 1'!$C$2:$C$15</definedName>
    <definedName name="solver_lhs3" localSheetId="3" hidden="1">'Solution 2'!$C$19:$C$32</definedName>
    <definedName name="solver_lhs4" localSheetId="1" hidden="1">'1 Laser Source for 2 Cells'!$Q$24</definedName>
    <definedName name="solver_lhs4" localSheetId="2" hidden="1">'Solution 1'!$Q$5</definedName>
    <definedName name="solver_lhs4" localSheetId="3" hidden="1">'Solution 2'!$Q$22</definedName>
    <definedName name="solver_lhs5" localSheetId="1" hidden="1">'1 Laser Source for 2 Cells'!$Q$25</definedName>
    <definedName name="solver_lhs5" localSheetId="2" hidden="1">'Solution 1'!$Q$6</definedName>
    <definedName name="solver_lhs5" localSheetId="3" hidden="1">'Solution 2'!$Q$23</definedName>
    <definedName name="solver_lhs6" localSheetId="1" hidden="1">'1 Laser Source for 2 Cells'!$S$22</definedName>
    <definedName name="solver_lhs6" localSheetId="2" hidden="1">'Solution 1'!$S$3</definedName>
    <definedName name="solver_lhs6" localSheetId="3" hidden="1">'Solution 2'!$S$20</definedName>
    <definedName name="solver_lhs7" localSheetId="1" hidden="1">'1 Laser Source for 2 Cells'!$S$23</definedName>
    <definedName name="solver_lhs7" localSheetId="2" hidden="1">'Solution 1'!$S$4</definedName>
    <definedName name="solver_lhs7" localSheetId="3" hidden="1">'Solution 2'!$S$21</definedName>
    <definedName name="solver_lhs8" localSheetId="1" hidden="1">'1 Laser Source for 2 Cells'!$S$25</definedName>
    <definedName name="solver_lhs8" localSheetId="2" hidden="1">'Solution 1'!$S$6</definedName>
    <definedName name="solver_lhs8" localSheetId="3" hidden="1">'Solution 2'!$S$23</definedName>
    <definedName name="solver_lhs9" localSheetId="1" hidden="1">'1 Laser Source for 2 Cells'!$T$23</definedName>
    <definedName name="solver_lhs9" localSheetId="2" hidden="1">'Solution 1'!$T$4</definedName>
    <definedName name="solver_lhs9" localSheetId="3" hidden="1">'Solution 2'!$T$21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1" hidden="1">11</definedName>
    <definedName name="solver_num" localSheetId="0" hidden="1">2</definedName>
    <definedName name="solver_num" localSheetId="4" hidden="1">0</definedName>
    <definedName name="solver_num" localSheetId="2" hidden="1">11</definedName>
    <definedName name="solver_num" localSheetId="3" hidden="1">11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1" hidden="1">'1 Laser Source for 2 Cells'!$N$35</definedName>
    <definedName name="solver_opt" localSheetId="0" hidden="1">'Fixed Information'!#REF!</definedName>
    <definedName name="solver_opt" localSheetId="4" hidden="1">Sheet1!$L$6</definedName>
    <definedName name="solver_opt" localSheetId="2" hidden="1">'Solution 1'!$N$16</definedName>
    <definedName name="solver_opt" localSheetId="3" hidden="1">'Solution 2'!$N$33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4" hidden="1">2</definedName>
    <definedName name="solver_rbv" localSheetId="2" hidden="1">2</definedName>
    <definedName name="solver_rbv" localSheetId="3" hidden="1">2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1" localSheetId="1" hidden="1">1</definedName>
    <definedName name="solver_rel11" localSheetId="2" hidden="1">1</definedName>
    <definedName name="solver_rel11" localSheetId="3" hidden="1">1</definedName>
    <definedName name="solver_rel2" localSheetId="1" hidden="1">6</definedName>
    <definedName name="solver_rel2" localSheetId="0" hidden="1">5</definedName>
    <definedName name="solver_rel2" localSheetId="2" hidden="1">6</definedName>
    <definedName name="solver_rel2" localSheetId="3" hidden="1">6</definedName>
    <definedName name="solver_rel3" localSheetId="1" hidden="1">4</definedName>
    <definedName name="solver_rel3" localSheetId="2" hidden="1">4</definedName>
    <definedName name="solver_rel3" localSheetId="3" hidden="1">4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6" localSheetId="1" hidden="1">1</definedName>
    <definedName name="solver_rel6" localSheetId="2" hidden="1">1</definedName>
    <definedName name="solver_rel6" localSheetId="3" hidden="1">1</definedName>
    <definedName name="solver_rel7" localSheetId="1" hidden="1">1</definedName>
    <definedName name="solver_rel7" localSheetId="2" hidden="1">1</definedName>
    <definedName name="solver_rel7" localSheetId="3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hs1" localSheetId="1" hidden="1">14</definedName>
    <definedName name="solver_rhs1" localSheetId="0" hidden="1">12</definedName>
    <definedName name="solver_rhs1" localSheetId="2" hidden="1">14</definedName>
    <definedName name="solver_rhs1" localSheetId="3" hidden="1">14</definedName>
    <definedName name="solver_rhs10" localSheetId="1" hidden="1">MAX('1 Laser Source for 2 Cells'!$R$21:$R$25)</definedName>
    <definedName name="solver_rhs10" localSheetId="2" hidden="1">MAX('Solution 1'!$R$2:$R$6)</definedName>
    <definedName name="solver_rhs10" localSheetId="3" hidden="1">MAX('Solution 2'!$R$19:$R$23)</definedName>
    <definedName name="solver_rhs11" localSheetId="1" hidden="1">MAX('1 Laser Source for 2 Cells'!$R$21:$R$25)</definedName>
    <definedName name="solver_rhs11" localSheetId="2" hidden="1">MAX('Solution 1'!$R$2:$R$6)</definedName>
    <definedName name="solver_rhs11" localSheetId="3" hidden="1">MAX('Solution 2'!$R$19:$R$23)</definedName>
    <definedName name="solver_rhs2" localSheetId="1" hidden="1">AllDifferent</definedName>
    <definedName name="solver_rhs2" localSheetId="0" hidden="1">binary</definedName>
    <definedName name="solver_rhs2" localSheetId="2" hidden="1">AllDifferent</definedName>
    <definedName name="solver_rhs2" localSheetId="3" hidden="1">AllDifferent</definedName>
    <definedName name="solver_rhs3" localSheetId="1" hidden="1">integer</definedName>
    <definedName name="solver_rhs3" localSheetId="2" hidden="1">integer</definedName>
    <definedName name="solver_rhs3" localSheetId="3" hidden="1">integer</definedName>
    <definedName name="solver_rhs4" localSheetId="1" hidden="1">'1 Laser Source for 2 Cells'!$K$47</definedName>
    <definedName name="solver_rhs4" localSheetId="2" hidden="1">'Solution 1'!$K$28</definedName>
    <definedName name="solver_rhs4" localSheetId="3" hidden="1">'Solution 2'!$K$45</definedName>
    <definedName name="solver_rhs5" localSheetId="1" hidden="1">'1 Laser Source for 2 Cells'!$Q$24</definedName>
    <definedName name="solver_rhs5" localSheetId="2" hidden="1">'Solution 1'!$Q$5</definedName>
    <definedName name="solver_rhs5" localSheetId="3" hidden="1">'Solution 2'!$Q$22</definedName>
    <definedName name="solver_rhs6" localSheetId="1" hidden="1">MAX('1 Laser Source for 2 Cells'!$R$21:$R$25)</definedName>
    <definedName name="solver_rhs6" localSheetId="2" hidden="1">MAX('Solution 1'!$R$2:$R$6)</definedName>
    <definedName name="solver_rhs6" localSheetId="3" hidden="1">MAX('Solution 2'!$R$19:$R$23)</definedName>
    <definedName name="solver_rhs7" localSheetId="1" hidden="1">MAX('1 Laser Source for 2 Cells'!$R$21:$R$25)</definedName>
    <definedName name="solver_rhs7" localSheetId="2" hidden="1">MAX('Solution 1'!$R$2:$R$6)</definedName>
    <definedName name="solver_rhs7" localSheetId="3" hidden="1">MAX('Solution 2'!$R$19:$R$23)</definedName>
    <definedName name="solver_rhs8" localSheetId="1" hidden="1">MAX('1 Laser Source for 2 Cells'!$R$21:$R$25)</definedName>
    <definedName name="solver_rhs8" localSheetId="2" hidden="1">MAX('Solution 1'!$R$2:$R$6)</definedName>
    <definedName name="solver_rhs8" localSheetId="3" hidden="1">MAX('Solution 2'!$R$19:$R$23)</definedName>
    <definedName name="solver_rhs9" localSheetId="1" hidden="1">MAX('1 Laser Source for 2 Cells'!$R$21:$R$25)</definedName>
    <definedName name="solver_rhs9" localSheetId="2" hidden="1">MAX('Solution 1'!$R$2:$R$6)</definedName>
    <definedName name="solver_rhs9" localSheetId="3" hidden="1">MAX('Solution 2'!$R$19:$R$23)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4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0" hidden="1">1</definedName>
    <definedName name="solver_typ" localSheetId="4" hidden="1">2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A19" i="5" l="1"/>
  <c r="A2" i="4"/>
  <c r="A21" i="3"/>
  <c r="E43" i="5" l="1"/>
  <c r="L32" i="5"/>
  <c r="K32" i="5"/>
  <c r="J32" i="5"/>
  <c r="H32" i="5"/>
  <c r="G32" i="5"/>
  <c r="E32" i="5"/>
  <c r="D32" i="5"/>
  <c r="L31" i="5"/>
  <c r="K31" i="5"/>
  <c r="J31" i="5"/>
  <c r="H31" i="5"/>
  <c r="G31" i="5"/>
  <c r="E31" i="5"/>
  <c r="D31" i="5"/>
  <c r="L30" i="5"/>
  <c r="K30" i="5"/>
  <c r="J30" i="5"/>
  <c r="H30" i="5"/>
  <c r="G30" i="5"/>
  <c r="E30" i="5"/>
  <c r="D30" i="5"/>
  <c r="L29" i="5"/>
  <c r="K29" i="5"/>
  <c r="J29" i="5"/>
  <c r="H29" i="5"/>
  <c r="G29" i="5"/>
  <c r="E29" i="5"/>
  <c r="D29" i="5"/>
  <c r="L28" i="5"/>
  <c r="K28" i="5"/>
  <c r="J28" i="5"/>
  <c r="H28" i="5"/>
  <c r="G28" i="5"/>
  <c r="E28" i="5"/>
  <c r="D28" i="5"/>
  <c r="L27" i="5"/>
  <c r="K27" i="5"/>
  <c r="J27" i="5"/>
  <c r="H27" i="5"/>
  <c r="G27" i="5"/>
  <c r="E27" i="5"/>
  <c r="D27" i="5"/>
  <c r="L26" i="5"/>
  <c r="K26" i="5"/>
  <c r="J26" i="5"/>
  <c r="H26" i="5"/>
  <c r="G26" i="5"/>
  <c r="E26" i="5"/>
  <c r="D26" i="5"/>
  <c r="L25" i="5"/>
  <c r="K25" i="5"/>
  <c r="J25" i="5"/>
  <c r="H25" i="5"/>
  <c r="G25" i="5"/>
  <c r="E25" i="5"/>
  <c r="D25" i="5"/>
  <c r="L24" i="5"/>
  <c r="K24" i="5"/>
  <c r="J24" i="5"/>
  <c r="H24" i="5"/>
  <c r="G24" i="5"/>
  <c r="E24" i="5"/>
  <c r="D24" i="5"/>
  <c r="L23" i="5"/>
  <c r="K23" i="5"/>
  <c r="J23" i="5"/>
  <c r="H23" i="5"/>
  <c r="G23" i="5"/>
  <c r="E23" i="5"/>
  <c r="D23" i="5"/>
  <c r="L22" i="5"/>
  <c r="K22" i="5"/>
  <c r="J22" i="5"/>
  <c r="H22" i="5"/>
  <c r="G22" i="5"/>
  <c r="E22" i="5"/>
  <c r="D22" i="5"/>
  <c r="L21" i="5"/>
  <c r="K21" i="5"/>
  <c r="J21" i="5"/>
  <c r="H21" i="5"/>
  <c r="G21" i="5"/>
  <c r="E21" i="5"/>
  <c r="D21" i="5"/>
  <c r="L20" i="5"/>
  <c r="K20" i="5"/>
  <c r="J20" i="5"/>
  <c r="H20" i="5"/>
  <c r="G20" i="5"/>
  <c r="E20" i="5"/>
  <c r="D20" i="5"/>
  <c r="L19" i="5"/>
  <c r="K19" i="5"/>
  <c r="J19" i="5"/>
  <c r="H19" i="5"/>
  <c r="G19" i="5"/>
  <c r="E19" i="5"/>
  <c r="D19" i="5"/>
  <c r="R18" i="5"/>
  <c r="I24" i="5" l="1"/>
  <c r="M24" i="5" s="1"/>
  <c r="N24" i="5" s="1"/>
  <c r="M19" i="5"/>
  <c r="N19" i="5" s="1"/>
  <c r="M20" i="5"/>
  <c r="N20" i="5" s="1"/>
  <c r="I27" i="5"/>
  <c r="M27" i="5" s="1"/>
  <c r="N27" i="5" s="1"/>
  <c r="I28" i="5"/>
  <c r="M28" i="5" s="1"/>
  <c r="N28" i="5" s="1"/>
  <c r="I32" i="5"/>
  <c r="M32" i="5" s="1"/>
  <c r="N32" i="5" s="1"/>
  <c r="I31" i="5"/>
  <c r="M31" i="5" s="1"/>
  <c r="N31" i="5" s="1"/>
  <c r="I21" i="5"/>
  <c r="M21" i="5" s="1"/>
  <c r="N21" i="5" s="1"/>
  <c r="I25" i="5"/>
  <c r="M25" i="5" s="1"/>
  <c r="N25" i="5" s="1"/>
  <c r="I29" i="5"/>
  <c r="M29" i="5" s="1"/>
  <c r="N29" i="5" s="1"/>
  <c r="I22" i="5"/>
  <c r="M22" i="5" s="1"/>
  <c r="N22" i="5" s="1"/>
  <c r="I26" i="5"/>
  <c r="M26" i="5" s="1"/>
  <c r="N26" i="5" s="1"/>
  <c r="I30" i="5"/>
  <c r="M30" i="5" s="1"/>
  <c r="N30" i="5" s="1"/>
  <c r="I23" i="5"/>
  <c r="M23" i="5" s="1"/>
  <c r="N23" i="5" s="1"/>
  <c r="L15" i="4"/>
  <c r="K15" i="4"/>
  <c r="J15" i="4"/>
  <c r="H15" i="4"/>
  <c r="G15" i="4"/>
  <c r="E15" i="4"/>
  <c r="D15" i="4"/>
  <c r="L14" i="4"/>
  <c r="K14" i="4"/>
  <c r="J14" i="4"/>
  <c r="H14" i="4"/>
  <c r="G14" i="4"/>
  <c r="E14" i="4"/>
  <c r="D14" i="4"/>
  <c r="L13" i="4"/>
  <c r="K13" i="4"/>
  <c r="J13" i="4"/>
  <c r="H13" i="4"/>
  <c r="G13" i="4"/>
  <c r="E13" i="4"/>
  <c r="D13" i="4"/>
  <c r="L12" i="4"/>
  <c r="K12" i="4"/>
  <c r="J12" i="4"/>
  <c r="H12" i="4"/>
  <c r="G12" i="4"/>
  <c r="E12" i="4"/>
  <c r="D12" i="4"/>
  <c r="L11" i="4"/>
  <c r="K11" i="4"/>
  <c r="J11" i="4"/>
  <c r="H11" i="4"/>
  <c r="G11" i="4"/>
  <c r="E11" i="4"/>
  <c r="D11" i="4"/>
  <c r="L10" i="4"/>
  <c r="K10" i="4"/>
  <c r="J10" i="4"/>
  <c r="H10" i="4"/>
  <c r="G10" i="4"/>
  <c r="E10" i="4"/>
  <c r="D10" i="4"/>
  <c r="L9" i="4"/>
  <c r="K9" i="4"/>
  <c r="J9" i="4"/>
  <c r="H9" i="4"/>
  <c r="G9" i="4"/>
  <c r="E9" i="4"/>
  <c r="D9" i="4"/>
  <c r="L8" i="4"/>
  <c r="K8" i="4"/>
  <c r="J8" i="4"/>
  <c r="H8" i="4"/>
  <c r="G8" i="4"/>
  <c r="E8" i="4"/>
  <c r="D8" i="4"/>
  <c r="L7" i="4"/>
  <c r="K7" i="4"/>
  <c r="J7" i="4"/>
  <c r="H7" i="4"/>
  <c r="G7" i="4"/>
  <c r="E7" i="4"/>
  <c r="D7" i="4"/>
  <c r="L6" i="4"/>
  <c r="K6" i="4"/>
  <c r="J6" i="4"/>
  <c r="H6" i="4"/>
  <c r="G6" i="4"/>
  <c r="E6" i="4"/>
  <c r="D6" i="4"/>
  <c r="L5" i="4"/>
  <c r="K5" i="4"/>
  <c r="J5" i="4"/>
  <c r="H5" i="4"/>
  <c r="G5" i="4"/>
  <c r="E5" i="4"/>
  <c r="D5" i="4"/>
  <c r="L4" i="4"/>
  <c r="K4" i="4"/>
  <c r="J4" i="4"/>
  <c r="H4" i="4"/>
  <c r="G4" i="4"/>
  <c r="E4" i="4"/>
  <c r="D4" i="4"/>
  <c r="L3" i="4"/>
  <c r="K3" i="4"/>
  <c r="J3" i="4"/>
  <c r="H3" i="4"/>
  <c r="G3" i="4"/>
  <c r="E3" i="4"/>
  <c r="D3" i="4"/>
  <c r="L2" i="4"/>
  <c r="K2" i="4"/>
  <c r="J2" i="4"/>
  <c r="H2" i="4"/>
  <c r="G2" i="4"/>
  <c r="E2" i="4"/>
  <c r="D2" i="4"/>
  <c r="E26" i="4"/>
  <c r="R1" i="4"/>
  <c r="Q21" i="5" l="1"/>
  <c r="Q23" i="5"/>
  <c r="R23" i="5" s="1"/>
  <c r="Q20" i="5"/>
  <c r="Q22" i="5"/>
  <c r="K45" i="5" s="1"/>
  <c r="N33" i="5"/>
  <c r="Q19" i="5"/>
  <c r="M2" i="4"/>
  <c r="N2" i="4" s="1"/>
  <c r="I5" i="4"/>
  <c r="M5" i="4" s="1"/>
  <c r="N5" i="4" s="1"/>
  <c r="M3" i="4"/>
  <c r="N3" i="4" s="1"/>
  <c r="I11" i="4"/>
  <c r="M11" i="4" s="1"/>
  <c r="N11" i="4" s="1"/>
  <c r="I15" i="4"/>
  <c r="M15" i="4" s="1"/>
  <c r="N15" i="4" s="1"/>
  <c r="I10" i="4"/>
  <c r="M10" i="4" s="1"/>
  <c r="N10" i="4" s="1"/>
  <c r="I14" i="4"/>
  <c r="M14" i="4" s="1"/>
  <c r="N14" i="4" s="1"/>
  <c r="I7" i="4"/>
  <c r="M7" i="4" s="1"/>
  <c r="N7" i="4" s="1"/>
  <c r="I9" i="4"/>
  <c r="M9" i="4" s="1"/>
  <c r="N9" i="4" s="1"/>
  <c r="I13" i="4"/>
  <c r="M13" i="4" s="1"/>
  <c r="N13" i="4" s="1"/>
  <c r="I4" i="4"/>
  <c r="M4" i="4" s="1"/>
  <c r="N4" i="4" s="1"/>
  <c r="I8" i="4"/>
  <c r="M8" i="4" s="1"/>
  <c r="N8" i="4" s="1"/>
  <c r="I12" i="4"/>
  <c r="M12" i="4" s="1"/>
  <c r="N12" i="4" s="1"/>
  <c r="I6" i="4"/>
  <c r="M6" i="4" s="1"/>
  <c r="N6" i="4" s="1"/>
  <c r="G27" i="3"/>
  <c r="H27" i="3"/>
  <c r="J27" i="3"/>
  <c r="K27" i="3"/>
  <c r="L27" i="3"/>
  <c r="G28" i="3"/>
  <c r="H28" i="3"/>
  <c r="J28" i="3"/>
  <c r="K28" i="3"/>
  <c r="L28" i="3"/>
  <c r="E26" i="3"/>
  <c r="G26" i="3"/>
  <c r="H26" i="3"/>
  <c r="J26" i="3"/>
  <c r="K26" i="3"/>
  <c r="L26" i="3"/>
  <c r="T23" i="5" l="1"/>
  <c r="U23" i="5"/>
  <c r="R21" i="5"/>
  <c r="T21" i="5"/>
  <c r="R20" i="5"/>
  <c r="S21" i="5"/>
  <c r="S20" i="5"/>
  <c r="R19" i="5"/>
  <c r="S23" i="5"/>
  <c r="Q2" i="4"/>
  <c r="Q6" i="4"/>
  <c r="R6" i="4" s="1"/>
  <c r="Q5" i="4"/>
  <c r="K28" i="4" s="1"/>
  <c r="Q3" i="4"/>
  <c r="R3" i="4" s="1"/>
  <c r="Q4" i="4"/>
  <c r="R4" i="4" s="1"/>
  <c r="N16" i="4"/>
  <c r="U6" i="4" l="1"/>
  <c r="S4" i="4"/>
  <c r="R2" i="4"/>
  <c r="S6" i="4"/>
  <c r="T4" i="4"/>
  <c r="T6" i="4"/>
  <c r="S3" i="4"/>
  <c r="R20" i="3"/>
  <c r="E22" i="3" l="1"/>
  <c r="E23" i="3"/>
  <c r="E24" i="3"/>
  <c r="E25" i="3"/>
  <c r="E27" i="3"/>
  <c r="E28" i="3"/>
  <c r="E29" i="3"/>
  <c r="E30" i="3"/>
  <c r="E31" i="3"/>
  <c r="E32" i="3"/>
  <c r="E33" i="3"/>
  <c r="E34" i="3"/>
  <c r="E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1" i="3"/>
  <c r="J33" i="3" l="1"/>
  <c r="G33" i="3"/>
  <c r="H33" i="3"/>
  <c r="K33" i="3"/>
  <c r="L33" i="3"/>
  <c r="L22" i="3"/>
  <c r="L23" i="3"/>
  <c r="L24" i="3"/>
  <c r="L25" i="3"/>
  <c r="L29" i="3"/>
  <c r="L30" i="3"/>
  <c r="L31" i="3"/>
  <c r="L32" i="3"/>
  <c r="L34" i="3"/>
  <c r="L21" i="3"/>
  <c r="K22" i="3"/>
  <c r="K23" i="3"/>
  <c r="K24" i="3"/>
  <c r="K25" i="3"/>
  <c r="K29" i="3"/>
  <c r="K30" i="3"/>
  <c r="K31" i="3"/>
  <c r="K32" i="3"/>
  <c r="K34" i="3"/>
  <c r="K21" i="3"/>
  <c r="J22" i="3"/>
  <c r="J23" i="3"/>
  <c r="J24" i="3"/>
  <c r="J25" i="3"/>
  <c r="J29" i="3"/>
  <c r="J30" i="3"/>
  <c r="J31" i="3"/>
  <c r="J32" i="3"/>
  <c r="J34" i="3"/>
  <c r="J21" i="3"/>
  <c r="H22" i="3"/>
  <c r="H23" i="3"/>
  <c r="H24" i="3"/>
  <c r="H25" i="3"/>
  <c r="H29" i="3"/>
  <c r="H30" i="3"/>
  <c r="H31" i="3"/>
  <c r="H32" i="3"/>
  <c r="H34" i="3"/>
  <c r="H21" i="3"/>
  <c r="G22" i="3"/>
  <c r="G23" i="3"/>
  <c r="G24" i="3"/>
  <c r="G25" i="3"/>
  <c r="G29" i="3"/>
  <c r="G30" i="3"/>
  <c r="G31" i="3"/>
  <c r="G32" i="3"/>
  <c r="G34" i="3"/>
  <c r="G21" i="3"/>
  <c r="E45" i="3"/>
  <c r="I29" i="3" l="1"/>
  <c r="I24" i="3"/>
  <c r="M24" i="3" s="1"/>
  <c r="N24" i="3" s="1"/>
  <c r="I25" i="3"/>
  <c r="I27" i="3"/>
  <c r="M27" i="3" s="1"/>
  <c r="I28" i="3"/>
  <c r="M28" i="3" s="1"/>
  <c r="I30" i="3"/>
  <c r="M30" i="3" s="1"/>
  <c r="N30" i="3" s="1"/>
  <c r="I26" i="3"/>
  <c r="M26" i="3" s="1"/>
  <c r="N26" i="3" s="1"/>
  <c r="I23" i="3"/>
  <c r="I34" i="3"/>
  <c r="I31" i="3"/>
  <c r="M31" i="3" s="1"/>
  <c r="N31" i="3" s="1"/>
  <c r="I33" i="3"/>
  <c r="M33" i="3" s="1"/>
  <c r="N33" i="3" s="1"/>
  <c r="I32" i="3"/>
  <c r="N28" i="3"/>
  <c r="N27" i="3"/>
  <c r="M21" i="3"/>
  <c r="N21" i="3" s="1"/>
  <c r="M25" i="3" l="1"/>
  <c r="N25" i="3" s="1"/>
  <c r="M32" i="3"/>
  <c r="N32" i="3" s="1"/>
  <c r="M29" i="3"/>
  <c r="N29" i="3" s="1"/>
  <c r="M34" i="3"/>
  <c r="M22" i="3"/>
  <c r="M23" i="3"/>
  <c r="N23" i="3" s="1"/>
  <c r="N22" i="3" l="1"/>
  <c r="Q22" i="3" s="1"/>
  <c r="R22" i="3" s="1"/>
  <c r="N34" i="3"/>
  <c r="Q25" i="3" s="1"/>
  <c r="Q24" i="3"/>
  <c r="K47" i="3" s="1"/>
  <c r="Q21" i="3"/>
  <c r="Q29" i="3" s="1"/>
  <c r="Q23" i="3"/>
  <c r="L7" i="1"/>
  <c r="L8" i="1"/>
  <c r="L9" i="1"/>
  <c r="L10" i="1"/>
  <c r="L11" i="1"/>
  <c r="L12" i="1"/>
  <c r="L13" i="1"/>
  <c r="L14" i="1"/>
  <c r="L15" i="1"/>
  <c r="L16" i="1"/>
  <c r="L17" i="1"/>
  <c r="L6" i="1"/>
  <c r="N35" i="3" l="1"/>
  <c r="S22" i="3"/>
  <c r="R25" i="3"/>
  <c r="T25" i="3"/>
  <c r="U25" i="3"/>
  <c r="S25" i="3"/>
  <c r="R21" i="3"/>
  <c r="S23" i="3"/>
  <c r="R23" i="3"/>
  <c r="T23" i="3"/>
</calcChain>
</file>

<file path=xl/sharedStrings.xml><?xml version="1.0" encoding="utf-8"?>
<sst xmlns="http://schemas.openxmlformats.org/spreadsheetml/2006/main" count="161" uniqueCount="55">
  <si>
    <t>1/3</t>
  </si>
  <si>
    <t>Cell1</t>
  </si>
  <si>
    <t>6/R - I</t>
  </si>
  <si>
    <t>2/4</t>
  </si>
  <si>
    <t>5/7</t>
  </si>
  <si>
    <t>6/R - II</t>
  </si>
  <si>
    <t>Load</t>
  </si>
  <si>
    <t>Rotate</t>
  </si>
  <si>
    <t>Welding Time</t>
  </si>
  <si>
    <t>Waiting for welding source</t>
  </si>
  <si>
    <t>Unload</t>
  </si>
  <si>
    <t>Total Time</t>
  </si>
  <si>
    <t>Weld</t>
  </si>
  <si>
    <t>UnLoad</t>
  </si>
  <si>
    <t>Cycle Time</t>
  </si>
  <si>
    <t>6/R-1</t>
  </si>
  <si>
    <t>6/R-2</t>
  </si>
  <si>
    <t>Production per shift</t>
  </si>
  <si>
    <t>#40</t>
  </si>
  <si>
    <t>#41</t>
  </si>
  <si>
    <t>#42</t>
  </si>
  <si>
    <t>#10</t>
  </si>
  <si>
    <t>#11</t>
  </si>
  <si>
    <t>#12</t>
  </si>
  <si>
    <t>#50</t>
  </si>
  <si>
    <t>#51</t>
  </si>
  <si>
    <t>#52</t>
  </si>
  <si>
    <t>#20</t>
  </si>
  <si>
    <t>#22</t>
  </si>
  <si>
    <t>#21</t>
  </si>
  <si>
    <t>#31</t>
  </si>
  <si>
    <t>#32</t>
  </si>
  <si>
    <t>Cell</t>
  </si>
  <si>
    <t>Waiting for other side</t>
  </si>
  <si>
    <t>Ncode</t>
  </si>
  <si>
    <t>Total Production per fork</t>
  </si>
  <si>
    <t>Type</t>
  </si>
  <si>
    <t>Jig #</t>
  </si>
  <si>
    <t>Possible waiting time:</t>
  </si>
  <si>
    <t>Working Time (s)</t>
  </si>
  <si>
    <t>Goal:</t>
  </si>
  <si>
    <t>Inputs</t>
  </si>
  <si>
    <t>By changing:</t>
  </si>
  <si>
    <t>Welding jigs position</t>
  </si>
  <si>
    <t>According to:</t>
  </si>
  <si>
    <t>Assumptions:</t>
  </si>
  <si>
    <t>Maximize production output</t>
  </si>
  <si>
    <t>Constrains:</t>
  </si>
  <si>
    <t>Working time in 1 shift (s):</t>
  </si>
  <si>
    <t>6/R-1 and 6/R-2 production cannot have a production difference bigger than (%):</t>
  </si>
  <si>
    <t>All the 4 shift forks must have a similar output each shift (%):</t>
  </si>
  <si>
    <t>Evolutionary solver</t>
  </si>
  <si>
    <t>Actual situation</t>
  </si>
  <si>
    <t>Waiting Time1 = Welding2 + Welding 3+ Welding 4 - 2xRotation - Unload1 - Load1</t>
  </si>
  <si>
    <t>Fork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</si>
</sst>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6">
    <xf numFmtId="0" fontId="0" fillId="0" borderId="0" xfId="0"/>
    <xf numFmtId="0" fontId="0" fillId="0" borderId="0" xfId="0" quotePrefix="1" applyBorder="1"/>
    <xf numFmtId="0" fontId="0" fillId="0" borderId="1" xfId="0" quotePrefix="1" applyBorder="1"/>
    <xf numFmtId="0" fontId="0" fillId="0" borderId="0" xfId="0" applyBorder="1"/>
    <xf numFmtId="0" fontId="0" fillId="0" borderId="1" xfId="0" applyBorder="1"/>
    <xf numFmtId="0" fontId="0" fillId="0" borderId="2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4" borderId="11" xfId="2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3" fillId="0" borderId="0" xfId="2" quotePrefix="1" applyFont="1" applyFill="1" applyBorder="1" applyAlignment="1">
      <alignment horizontal="center"/>
    </xf>
    <xf numFmtId="0" fontId="1" fillId="3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4" borderId="13" xfId="2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4" xfId="2" quotePrefix="1" applyFont="1" applyFill="1" applyBorder="1" applyAlignment="1">
      <alignment horizontal="center"/>
    </xf>
    <xf numFmtId="0" fontId="1" fillId="3" borderId="14" xfId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3" xfId="0" applyFill="1" applyBorder="1" applyAlignment="1">
      <alignment horizontal="center"/>
    </xf>
    <xf numFmtId="9" fontId="0" fillId="0" borderId="0" xfId="0" applyNumberFormat="1"/>
    <xf numFmtId="0" fontId="0" fillId="0" borderId="9" xfId="0" applyBorder="1"/>
    <xf numFmtId="0" fontId="0" fillId="0" borderId="11" xfId="0" applyBorder="1"/>
    <xf numFmtId="0" fontId="0" fillId="5" borderId="0" xfId="0" applyFill="1" applyBorder="1" applyAlignment="1">
      <alignment horizontal="left"/>
    </xf>
    <xf numFmtId="0" fontId="0" fillId="0" borderId="12" xfId="0" applyBorder="1"/>
    <xf numFmtId="0" fontId="2" fillId="4" borderId="0" xfId="2" quotePrefix="1" applyBorder="1" applyAlignment="1">
      <alignment horizontal="left"/>
    </xf>
    <xf numFmtId="0" fontId="1" fillId="3" borderId="0" xfId="1" applyBorder="1" applyAlignment="1">
      <alignment horizontal="left"/>
    </xf>
    <xf numFmtId="164" fontId="0" fillId="0" borderId="0" xfId="0" applyNumberFormat="1" applyBorder="1"/>
    <xf numFmtId="9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1" xfId="2" quotePrefix="1" applyFont="1" applyFill="1" applyBorder="1" applyAlignment="1">
      <alignment horizontal="center"/>
    </xf>
    <xf numFmtId="0" fontId="1" fillId="3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6" xfId="2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7" xfId="2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0" borderId="8" xfId="2" quotePrefix="1" applyFont="1" applyFill="1" applyBorder="1" applyAlignment="1">
      <alignment horizontal="center"/>
    </xf>
    <xf numFmtId="0" fontId="1" fillId="3" borderId="8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0" xfId="0" applyFill="1"/>
    <xf numFmtId="0" fontId="0" fillId="6" borderId="7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2" xfId="0" applyFill="1" applyBorder="1"/>
    <xf numFmtId="164" fontId="0" fillId="6" borderId="0" xfId="0" applyNumberFormat="1" applyFill="1" applyBorder="1"/>
    <xf numFmtId="9" fontId="0" fillId="6" borderId="0" xfId="0" applyNumberForma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8" xfId="0" applyFill="1" applyBorder="1"/>
    <xf numFmtId="0" fontId="0" fillId="6" borderId="9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114300</xdr:rowOff>
    </xdr:from>
    <xdr:to>
      <xdr:col>10</xdr:col>
      <xdr:colOff>425852</xdr:colOff>
      <xdr:row>15</xdr:row>
      <xdr:rowOff>94895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114300"/>
          <a:ext cx="4264427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752475</xdr:colOff>
      <xdr:row>18</xdr:row>
      <xdr:rowOff>114300</xdr:rowOff>
    </xdr:from>
    <xdr:to>
      <xdr:col>31</xdr:col>
      <xdr:colOff>36526</xdr:colOff>
      <xdr:row>47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3571875"/>
          <a:ext cx="7332676" cy="547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5"/>
  <sheetViews>
    <sheetView workbookViewId="0">
      <selection activeCell="I11" sqref="I11"/>
    </sheetView>
  </sheetViews>
  <sheetFormatPr defaultColWidth="7.85546875" defaultRowHeight="15"/>
  <cols>
    <col min="8" max="8" width="9.5703125" bestFit="1" customWidth="1"/>
  </cols>
  <sheetData>
    <row r="1" spans="1:8">
      <c r="A1" s="62" t="s">
        <v>34</v>
      </c>
      <c r="B1" s="62" t="s">
        <v>6</v>
      </c>
      <c r="C1" s="62" t="s">
        <v>7</v>
      </c>
      <c r="D1" s="62" t="s">
        <v>12</v>
      </c>
      <c r="E1" s="62" t="s">
        <v>7</v>
      </c>
      <c r="F1" s="62" t="s">
        <v>13</v>
      </c>
      <c r="G1" s="62" t="s">
        <v>37</v>
      </c>
      <c r="H1" s="62" t="s">
        <v>54</v>
      </c>
    </row>
    <row r="2" spans="1:8">
      <c r="A2" s="63">
        <v>1</v>
      </c>
      <c r="B2" s="61">
        <v>16</v>
      </c>
      <c r="C2" s="61">
        <v>2</v>
      </c>
      <c r="D2" s="61">
        <v>13.6</v>
      </c>
      <c r="E2" s="61">
        <v>2</v>
      </c>
      <c r="F2" s="61">
        <v>4</v>
      </c>
      <c r="G2" s="63" t="s">
        <v>18</v>
      </c>
      <c r="H2" s="63" t="s">
        <v>0</v>
      </c>
    </row>
    <row r="3" spans="1:8">
      <c r="A3" s="63">
        <v>2</v>
      </c>
      <c r="B3" s="61">
        <v>16</v>
      </c>
      <c r="C3" s="61">
        <v>2</v>
      </c>
      <c r="D3" s="61">
        <v>13.6</v>
      </c>
      <c r="E3" s="61">
        <v>2</v>
      </c>
      <c r="F3" s="61">
        <v>4</v>
      </c>
      <c r="G3" s="63" t="s">
        <v>19</v>
      </c>
      <c r="H3" s="63" t="s">
        <v>0</v>
      </c>
    </row>
    <row r="4" spans="1:8">
      <c r="A4" s="63">
        <v>3</v>
      </c>
      <c r="B4" s="61">
        <v>16</v>
      </c>
      <c r="C4" s="61">
        <v>2</v>
      </c>
      <c r="D4" s="61">
        <v>13.6</v>
      </c>
      <c r="E4" s="61">
        <v>2</v>
      </c>
      <c r="F4" s="61">
        <v>4</v>
      </c>
      <c r="G4" s="63" t="s">
        <v>20</v>
      </c>
      <c r="H4" s="63" t="s">
        <v>0</v>
      </c>
    </row>
    <row r="5" spans="1:8">
      <c r="A5" s="63">
        <v>4</v>
      </c>
      <c r="B5" s="61">
        <v>9.5</v>
      </c>
      <c r="C5" s="61">
        <v>2</v>
      </c>
      <c r="D5" s="61">
        <v>15</v>
      </c>
      <c r="E5" s="61">
        <v>2</v>
      </c>
      <c r="F5" s="61">
        <v>6</v>
      </c>
      <c r="G5" s="63" t="s">
        <v>21</v>
      </c>
      <c r="H5" s="63" t="s">
        <v>3</v>
      </c>
    </row>
    <row r="6" spans="1:8">
      <c r="A6" s="63">
        <v>5</v>
      </c>
      <c r="B6" s="61">
        <v>9.5</v>
      </c>
      <c r="C6" s="61">
        <v>2</v>
      </c>
      <c r="D6" s="61">
        <v>15</v>
      </c>
      <c r="E6" s="61">
        <v>2</v>
      </c>
      <c r="F6" s="61">
        <v>6</v>
      </c>
      <c r="G6" s="63" t="s">
        <v>22</v>
      </c>
      <c r="H6" s="63" t="s">
        <v>3</v>
      </c>
    </row>
    <row r="7" spans="1:8">
      <c r="A7" s="63">
        <v>6</v>
      </c>
      <c r="B7" s="61">
        <v>9.5</v>
      </c>
      <c r="C7" s="61">
        <v>2</v>
      </c>
      <c r="D7" s="61">
        <v>15</v>
      </c>
      <c r="E7" s="61">
        <v>2</v>
      </c>
      <c r="F7" s="61">
        <v>6</v>
      </c>
      <c r="G7" s="63" t="s">
        <v>23</v>
      </c>
      <c r="H7" s="63" t="s">
        <v>3</v>
      </c>
    </row>
    <row r="8" spans="1:8">
      <c r="A8" s="63">
        <v>7</v>
      </c>
      <c r="B8" s="61">
        <v>7</v>
      </c>
      <c r="C8" s="61">
        <v>2</v>
      </c>
      <c r="D8" s="61">
        <v>12</v>
      </c>
      <c r="E8" s="61">
        <v>2</v>
      </c>
      <c r="F8" s="61">
        <v>6</v>
      </c>
      <c r="G8" s="63" t="s">
        <v>24</v>
      </c>
      <c r="H8" s="63" t="s">
        <v>4</v>
      </c>
    </row>
    <row r="9" spans="1:8">
      <c r="A9" s="63">
        <v>8</v>
      </c>
      <c r="B9" s="61">
        <v>7</v>
      </c>
      <c r="C9" s="61">
        <v>2</v>
      </c>
      <c r="D9" s="61">
        <v>12</v>
      </c>
      <c r="E9" s="61">
        <v>2</v>
      </c>
      <c r="F9" s="61">
        <v>6</v>
      </c>
      <c r="G9" s="63" t="s">
        <v>25</v>
      </c>
      <c r="H9" s="63" t="s">
        <v>4</v>
      </c>
    </row>
    <row r="10" spans="1:8">
      <c r="A10" s="63">
        <v>9</v>
      </c>
      <c r="B10" s="61">
        <v>7</v>
      </c>
      <c r="C10" s="61">
        <v>2</v>
      </c>
      <c r="D10" s="61">
        <v>12</v>
      </c>
      <c r="E10" s="61">
        <v>2</v>
      </c>
      <c r="F10" s="61">
        <v>6</v>
      </c>
      <c r="G10" s="63" t="s">
        <v>26</v>
      </c>
      <c r="H10" s="63" t="s">
        <v>4</v>
      </c>
    </row>
    <row r="11" spans="1:8">
      <c r="A11" s="63">
        <v>10</v>
      </c>
      <c r="B11" s="61">
        <v>12</v>
      </c>
      <c r="C11" s="61">
        <v>2</v>
      </c>
      <c r="D11" s="61">
        <v>19</v>
      </c>
      <c r="E11" s="61">
        <v>2</v>
      </c>
      <c r="F11" s="61">
        <v>3</v>
      </c>
      <c r="G11" s="63" t="s">
        <v>27</v>
      </c>
      <c r="H11" s="63" t="s">
        <v>15</v>
      </c>
    </row>
    <row r="12" spans="1:8">
      <c r="A12" s="63">
        <v>11</v>
      </c>
      <c r="B12" s="61">
        <v>12</v>
      </c>
      <c r="C12" s="61">
        <v>2</v>
      </c>
      <c r="D12" s="61">
        <v>19</v>
      </c>
      <c r="E12" s="61">
        <v>2</v>
      </c>
      <c r="F12" s="61">
        <v>3</v>
      </c>
      <c r="G12" s="63" t="s">
        <v>29</v>
      </c>
      <c r="H12" s="63" t="s">
        <v>15</v>
      </c>
    </row>
    <row r="13" spans="1:8">
      <c r="A13" s="63">
        <v>12</v>
      </c>
      <c r="B13" s="61">
        <v>12</v>
      </c>
      <c r="C13" s="61">
        <v>2</v>
      </c>
      <c r="D13" s="61">
        <v>19</v>
      </c>
      <c r="E13" s="61">
        <v>2</v>
      </c>
      <c r="F13" s="61">
        <v>3</v>
      </c>
      <c r="G13" s="63" t="s">
        <v>28</v>
      </c>
      <c r="H13" s="63" t="s">
        <v>15</v>
      </c>
    </row>
    <row r="14" spans="1:8">
      <c r="A14" s="63">
        <v>13</v>
      </c>
      <c r="B14" s="61">
        <v>8</v>
      </c>
      <c r="C14" s="61">
        <v>2</v>
      </c>
      <c r="D14" s="61">
        <v>11</v>
      </c>
      <c r="E14" s="61">
        <v>2</v>
      </c>
      <c r="F14" s="61">
        <v>2</v>
      </c>
      <c r="G14" s="63" t="s">
        <v>30</v>
      </c>
      <c r="H14" s="63" t="s">
        <v>16</v>
      </c>
    </row>
    <row r="15" spans="1:8">
      <c r="A15" s="63">
        <v>14</v>
      </c>
      <c r="B15" s="61">
        <v>8</v>
      </c>
      <c r="C15" s="61">
        <v>2</v>
      </c>
      <c r="D15" s="61">
        <v>11</v>
      </c>
      <c r="E15" s="61">
        <v>2</v>
      </c>
      <c r="F15" s="61">
        <v>2</v>
      </c>
      <c r="G15" s="63" t="s">
        <v>31</v>
      </c>
      <c r="H15" s="63" t="s">
        <v>16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9"/>
  <sheetViews>
    <sheetView zoomScale="85" zoomScaleNormal="85" workbookViewId="0">
      <selection activeCell="D25" sqref="D25:N25"/>
    </sheetView>
  </sheetViews>
  <sheetFormatPr defaultRowHeight="15"/>
  <cols>
    <col min="1" max="1" width="16.140625" bestFit="1" customWidth="1"/>
    <col min="7" max="8" width="15.5703125" customWidth="1"/>
    <col min="9" max="9" width="20.5703125" bestFit="1" customWidth="1"/>
    <col min="10" max="12" width="15.5703125" customWidth="1"/>
    <col min="13" max="13" width="10.5703125" bestFit="1" customWidth="1"/>
    <col min="14" max="14" width="18.85546875" bestFit="1" customWidth="1"/>
    <col min="17" max="17" width="23.42578125" bestFit="1" customWidth="1"/>
  </cols>
  <sheetData>
    <row r="1" spans="1:14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</row>
    <row r="9" spans="1:14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 spans="1:14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4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</row>
    <row r="12" spans="1:1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4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</row>
    <row r="14" spans="1: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</row>
    <row r="15" spans="1:14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</row>
    <row r="16" spans="1:14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</row>
    <row r="17" spans="1:2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</row>
    <row r="18" spans="1:2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</row>
    <row r="19" spans="1:21" ht="15.75" thickBo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0" spans="1:21" ht="15.75" thickBot="1">
      <c r="A20" s="64" t="s">
        <v>39</v>
      </c>
      <c r="B20" s="62"/>
      <c r="C20" s="43" t="s">
        <v>34</v>
      </c>
      <c r="D20" s="44" t="s">
        <v>37</v>
      </c>
      <c r="E20" s="44" t="s">
        <v>36</v>
      </c>
      <c r="F20" s="44" t="s">
        <v>32</v>
      </c>
      <c r="G20" s="44" t="s">
        <v>6</v>
      </c>
      <c r="H20" s="44" t="s">
        <v>7</v>
      </c>
      <c r="I20" s="44" t="s">
        <v>33</v>
      </c>
      <c r="J20" s="44" t="s">
        <v>12</v>
      </c>
      <c r="K20" s="44" t="s">
        <v>7</v>
      </c>
      <c r="L20" s="44" t="s">
        <v>13</v>
      </c>
      <c r="M20" s="44" t="s">
        <v>14</v>
      </c>
      <c r="N20" s="45" t="s">
        <v>17</v>
      </c>
      <c r="P20" s="17"/>
      <c r="Q20" s="17" t="s">
        <v>35</v>
      </c>
      <c r="R20" s="31">
        <f>I48</f>
        <v>0.2</v>
      </c>
    </row>
    <row r="21" spans="1:21">
      <c r="A21" s="64">
        <f>410*60</f>
        <v>24600</v>
      </c>
      <c r="B21" s="64"/>
      <c r="C21" s="52">
        <v>8</v>
      </c>
      <c r="D21" s="53" t="str">
        <f>VLOOKUP(C21,'Fixed Information'!$A$2:$G$15,7,FALSE)</f>
        <v>#51</v>
      </c>
      <c r="E21" s="53" t="str">
        <f>VLOOKUP(C21,'Fixed Information'!$A$1:$H$15,8,FALSE)</f>
        <v>5/7</v>
      </c>
      <c r="F21" s="54">
        <v>0</v>
      </c>
      <c r="G21" s="55">
        <f>VLOOKUP(C21,'Fixed Information'!$A$2:$F$15,2,FALSE)</f>
        <v>7</v>
      </c>
      <c r="H21" s="55">
        <f>VLOOKUP(C21,'Fixed Information'!$A$2:$F$15,3,FALSE)</f>
        <v>2</v>
      </c>
      <c r="I21" s="56">
        <v>0</v>
      </c>
      <c r="J21" s="55">
        <f>VLOOKUP(C21,'Fixed Information'!$A$2:$F$15,4,FALSE)</f>
        <v>12</v>
      </c>
      <c r="K21" s="55">
        <f>VLOOKUP(C21,'Fixed Information'!$A$2:$F$15,5,FALSE)</f>
        <v>2</v>
      </c>
      <c r="L21" s="55">
        <f>VLOOKUP(C21,'Fixed Information'!$A$2:$F$15,6,FALSE)</f>
        <v>6</v>
      </c>
      <c r="M21" s="56">
        <f>SUM(G21:L21)</f>
        <v>29</v>
      </c>
      <c r="N21" s="57">
        <f>IF(J21=0,0,ROUNDDOWN(IFERROR($A$21/M21*F21/F21,0),0))</f>
        <v>0</v>
      </c>
      <c r="P21" s="18" t="s">
        <v>0</v>
      </c>
      <c r="Q21" s="17">
        <f>SUMIF($E$21:$E$34,P21,$N$21:$N$34)</f>
        <v>1233</v>
      </c>
      <c r="R21">
        <f>ROUNDDOWN(Q21*$I$48,0)</f>
        <v>246</v>
      </c>
    </row>
    <row r="22" spans="1:21">
      <c r="A22" s="64"/>
      <c r="B22" s="64"/>
      <c r="C22" s="50">
        <v>6</v>
      </c>
      <c r="D22" s="46" t="str">
        <f>VLOOKUP(C22,'Fixed Information'!$A$2:$G$15,7,FALSE)</f>
        <v>#12</v>
      </c>
      <c r="E22" s="46" t="str">
        <f>VLOOKUP(C22,'Fixed Information'!$A$1:$H$15,8,FALSE)</f>
        <v>2/4</v>
      </c>
      <c r="F22" s="47">
        <v>0</v>
      </c>
      <c r="G22" s="48">
        <f>VLOOKUP(C22,'Fixed Information'!$A$2:$F$15,2,FALSE)</f>
        <v>9.5</v>
      </c>
      <c r="H22" s="48">
        <f>VLOOKUP(C22,'Fixed Information'!$A$2:$F$15,3,FALSE)</f>
        <v>2</v>
      </c>
      <c r="I22" s="49">
        <v>0</v>
      </c>
      <c r="J22" s="48">
        <f>VLOOKUP(C22,'Fixed Information'!$A$2:$F$15,4,FALSE)</f>
        <v>15</v>
      </c>
      <c r="K22" s="48">
        <f>VLOOKUP(C22,'Fixed Information'!$A$2:$F$15,5,FALSE)</f>
        <v>2</v>
      </c>
      <c r="L22" s="48">
        <f>VLOOKUP(C22,'Fixed Information'!$A$2:$F$15,6,FALSE)</f>
        <v>6</v>
      </c>
      <c r="M22" s="49">
        <f>SUM(G22:L22)</f>
        <v>34.5</v>
      </c>
      <c r="N22" s="51">
        <f t="shared" ref="N22:N34" si="0">IF(J22=0,0,ROUNDDOWN(IFERROR($A$21/M22*F22/F22,0),0))</f>
        <v>0</v>
      </c>
      <c r="P22" s="18" t="s">
        <v>3</v>
      </c>
      <c r="Q22" s="17">
        <f t="shared" ref="Q22:Q25" si="1">SUMIF($E$21:$E$34,P22,$N$21:$N$34)</f>
        <v>910</v>
      </c>
      <c r="R22">
        <f>ROUNDDOWN(Q22*$I$48,0)</f>
        <v>182</v>
      </c>
      <c r="S22">
        <f>ABS(Q21-Q22)</f>
        <v>323</v>
      </c>
    </row>
    <row r="23" spans="1:21">
      <c r="A23" s="64"/>
      <c r="B23" s="64"/>
      <c r="C23" s="19">
        <v>1</v>
      </c>
      <c r="D23" s="20" t="str">
        <f>VLOOKUP(C23,'Fixed Information'!$A$2:$G$15,7,FALSE)</f>
        <v>#40</v>
      </c>
      <c r="E23" s="20" t="str">
        <f>VLOOKUP(C23,'Fixed Information'!$A$1:$H$15,8,FALSE)</f>
        <v>1/3</v>
      </c>
      <c r="F23" s="21">
        <v>1</v>
      </c>
      <c r="G23" s="22">
        <f>VLOOKUP(C23,'Fixed Information'!$A$2:$F$15,2,FALSE)</f>
        <v>16</v>
      </c>
      <c r="H23" s="22">
        <f>VLOOKUP(C23,'Fixed Information'!$A$2:$F$15,3,FALSE)</f>
        <v>2</v>
      </c>
      <c r="I23" s="23">
        <f>IFERROR(MAX(J24-G24-L24,G24+L24-J24,J24+J25+J26-K23-H23-L23-G23),0)</f>
        <v>22.200000000000003</v>
      </c>
      <c r="J23" s="22">
        <f>VLOOKUP(C23,'Fixed Information'!$A$2:$F$15,4,FALSE)</f>
        <v>13.6</v>
      </c>
      <c r="K23" s="22">
        <f>VLOOKUP(C23,'Fixed Information'!$A$2:$F$15,5,FALSE)</f>
        <v>2</v>
      </c>
      <c r="L23" s="22">
        <f>VLOOKUP(C23,'Fixed Information'!$A$2:$F$15,6,FALSE)</f>
        <v>4</v>
      </c>
      <c r="M23" s="23">
        <f>SUM(G23:L23)</f>
        <v>59.800000000000004</v>
      </c>
      <c r="N23" s="24">
        <f t="shared" si="0"/>
        <v>411</v>
      </c>
      <c r="P23" s="18" t="s">
        <v>4</v>
      </c>
      <c r="Q23" s="17">
        <f t="shared" si="1"/>
        <v>910</v>
      </c>
      <c r="R23">
        <f>ROUNDDOWN(Q23*$I$48,0)</f>
        <v>182</v>
      </c>
      <c r="S23">
        <f>(ABS(Q21-Q23))</f>
        <v>323</v>
      </c>
      <c r="T23">
        <f>ABS(Q22-Q23)</f>
        <v>0</v>
      </c>
    </row>
    <row r="24" spans="1:21">
      <c r="A24" s="64"/>
      <c r="B24" s="64"/>
      <c r="C24" s="50">
        <v>2</v>
      </c>
      <c r="D24" s="46" t="str">
        <f>VLOOKUP(C24,'Fixed Information'!$A$2:$G$15,7,FALSE)</f>
        <v>#41</v>
      </c>
      <c r="E24" s="46" t="str">
        <f>VLOOKUP(C24,'Fixed Information'!$A$1:$H$15,8,FALSE)</f>
        <v>1/3</v>
      </c>
      <c r="F24" s="47">
        <v>1</v>
      </c>
      <c r="G24" s="48">
        <f>VLOOKUP(C24,'Fixed Information'!$A$2:$F$15,2,FALSE)</f>
        <v>16</v>
      </c>
      <c r="H24" s="48">
        <f>VLOOKUP(C24,'Fixed Information'!$A$2:$F$15,3,FALSE)</f>
        <v>2</v>
      </c>
      <c r="I24" s="49">
        <f>IFERROR(MAX(J23-G23-L23,G23+L23-J23,J23+J25+J26-K24-H24-L24-G24),0)</f>
        <v>22.200000000000003</v>
      </c>
      <c r="J24" s="48">
        <f>VLOOKUP(C24,'Fixed Information'!$A$2:$F$15,4,FALSE)</f>
        <v>13.6</v>
      </c>
      <c r="K24" s="48">
        <f>VLOOKUP(C24,'Fixed Information'!$A$2:$F$15,5,FALSE)</f>
        <v>2</v>
      </c>
      <c r="L24" s="48">
        <f>VLOOKUP(C24,'Fixed Information'!$A$2:$F$15,6,FALSE)</f>
        <v>4</v>
      </c>
      <c r="M24" s="49">
        <f t="shared" ref="M24:M34" si="2">SUM(G24:L24)</f>
        <v>59.800000000000004</v>
      </c>
      <c r="N24" s="51">
        <f t="shared" si="0"/>
        <v>411</v>
      </c>
      <c r="P24" s="18" t="s">
        <v>15</v>
      </c>
      <c r="Q24" s="17">
        <f t="shared" si="1"/>
        <v>1231</v>
      </c>
    </row>
    <row r="25" spans="1:21">
      <c r="A25" s="64"/>
      <c r="B25" s="64"/>
      <c r="C25" s="19">
        <v>3</v>
      </c>
      <c r="D25" s="20" t="str">
        <f>VLOOKUP(C25,'Fixed Information'!$A$2:$G$15,7,FALSE)</f>
        <v>#42</v>
      </c>
      <c r="E25" s="20" t="str">
        <f>VLOOKUP(C25,'Fixed Information'!$A$1:$H$15,8,FALSE)</f>
        <v>1/3</v>
      </c>
      <c r="F25" s="21">
        <v>2</v>
      </c>
      <c r="G25" s="22">
        <f>VLOOKUP(C25,'Fixed Information'!$A$2:$F$15,2,FALSE)</f>
        <v>16</v>
      </c>
      <c r="H25" s="22">
        <f>VLOOKUP(C25,'Fixed Information'!$A$2:$F$15,3,FALSE)</f>
        <v>2</v>
      </c>
      <c r="I25" s="23">
        <f>IFERROR(MAX(J26-G26-L26,G26+L26-J26,J23+J24+J26-K25-H25-L25-G25),0)</f>
        <v>22.200000000000003</v>
      </c>
      <c r="J25" s="22">
        <f>VLOOKUP(C25,'Fixed Information'!$A$2:$F$15,4,FALSE)</f>
        <v>13.6</v>
      </c>
      <c r="K25" s="22">
        <f>VLOOKUP(C25,'Fixed Information'!$A$2:$F$15,5,FALSE)</f>
        <v>2</v>
      </c>
      <c r="L25" s="22">
        <f>VLOOKUP(C25,'Fixed Information'!$A$2:$F$15,6,FALSE)</f>
        <v>4</v>
      </c>
      <c r="M25" s="23">
        <f t="shared" si="2"/>
        <v>59.800000000000004</v>
      </c>
      <c r="N25" s="24">
        <f t="shared" si="0"/>
        <v>411</v>
      </c>
      <c r="P25" s="18" t="s">
        <v>16</v>
      </c>
      <c r="Q25" s="17">
        <f t="shared" si="1"/>
        <v>820</v>
      </c>
      <c r="R25">
        <f>ROUNDDOWN(Q25*$I$48,0)</f>
        <v>164</v>
      </c>
      <c r="S25">
        <f>ABS(Q21-Q25)</f>
        <v>413</v>
      </c>
      <c r="T25">
        <f>ABS(Q22-Q25)</f>
        <v>90</v>
      </c>
      <c r="U25">
        <f>ABS(Q23-Q25)</f>
        <v>90</v>
      </c>
    </row>
    <row r="26" spans="1:21">
      <c r="A26" s="64"/>
      <c r="B26" s="64"/>
      <c r="C26" s="50">
        <v>10</v>
      </c>
      <c r="D26" s="46" t="str">
        <f>VLOOKUP(C26,'Fixed Information'!$A$2:$G$15,7,FALSE)</f>
        <v>#20</v>
      </c>
      <c r="E26" s="46" t="str">
        <f>VLOOKUP(C26,'Fixed Information'!$A$1:$H$15,8,FALSE)</f>
        <v>6/R-1</v>
      </c>
      <c r="F26" s="47">
        <v>2</v>
      </c>
      <c r="G26" s="48">
        <f>VLOOKUP(C26,'Fixed Information'!$A$2:$F$15,2,FALSE)</f>
        <v>12</v>
      </c>
      <c r="H26" s="48">
        <f>VLOOKUP(C26,'Fixed Information'!$A$2:$F$15,3,FALSE)</f>
        <v>2</v>
      </c>
      <c r="I26" s="49">
        <f>IFERROR(MAX(J25-G25-L25,G25+L25-J25,J25+J24+J23-K26-H26-L26-G26),0)</f>
        <v>21.799999999999997</v>
      </c>
      <c r="J26" s="48">
        <f>VLOOKUP(C26,'Fixed Information'!$A$2:$F$15,4,FALSE)</f>
        <v>19</v>
      </c>
      <c r="K26" s="48">
        <f>VLOOKUP(C26,'Fixed Information'!$A$2:$F$15,5,FALSE)</f>
        <v>2</v>
      </c>
      <c r="L26" s="48">
        <f>VLOOKUP(C26,'Fixed Information'!$A$2:$F$15,6,FALSE)</f>
        <v>3</v>
      </c>
      <c r="M26" s="49">
        <f t="shared" si="2"/>
        <v>59.8</v>
      </c>
      <c r="N26" s="51">
        <f t="shared" si="0"/>
        <v>411</v>
      </c>
      <c r="P26" s="17"/>
      <c r="Q26" s="17"/>
    </row>
    <row r="27" spans="1:21">
      <c r="A27" s="64"/>
      <c r="B27" s="64"/>
      <c r="C27" s="19">
        <v>4</v>
      </c>
      <c r="D27" s="20" t="str">
        <f>VLOOKUP(C27,'Fixed Information'!$A$2:$G$15,7,FALSE)</f>
        <v>#10</v>
      </c>
      <c r="E27" s="20" t="str">
        <f>VLOOKUP(C27,'Fixed Information'!$A$1:$H$15,8,FALSE)</f>
        <v>2/4</v>
      </c>
      <c r="F27" s="21">
        <v>3</v>
      </c>
      <c r="G27" s="22">
        <f>VLOOKUP(C27,'Fixed Information'!$A$2:$F$15,2,FALSE)</f>
        <v>9.5</v>
      </c>
      <c r="H27" s="22">
        <f>VLOOKUP(C27,'Fixed Information'!$A$2:$F$15,3,FALSE)</f>
        <v>2</v>
      </c>
      <c r="I27" s="23">
        <f>IFERROR(MAX(J28-G28-L28,G28+L28-J28,J28+J29+J30-K27-H27-L27-G27),0)</f>
        <v>19.5</v>
      </c>
      <c r="J27" s="22">
        <f>VLOOKUP(C27,'Fixed Information'!$A$2:$F$15,4,FALSE)</f>
        <v>15</v>
      </c>
      <c r="K27" s="22">
        <f>VLOOKUP(C27,'Fixed Information'!$A$2:$F$15,5,FALSE)</f>
        <v>2</v>
      </c>
      <c r="L27" s="22">
        <f>VLOOKUP(C27,'Fixed Information'!$A$2:$F$15,6,FALSE)</f>
        <v>6</v>
      </c>
      <c r="M27" s="23">
        <f t="shared" si="2"/>
        <v>54</v>
      </c>
      <c r="N27" s="24">
        <f t="shared" si="0"/>
        <v>455</v>
      </c>
    </row>
    <row r="28" spans="1:21">
      <c r="A28" s="64"/>
      <c r="B28" s="64"/>
      <c r="C28" s="50">
        <v>5</v>
      </c>
      <c r="D28" s="46" t="str">
        <f>VLOOKUP(C28,'Fixed Information'!$A$2:$G$15,7,FALSE)</f>
        <v>#11</v>
      </c>
      <c r="E28" s="46" t="str">
        <f>VLOOKUP(C28,'Fixed Information'!$A$1:$H$15,8,FALSE)</f>
        <v>2/4</v>
      </c>
      <c r="F28" s="47">
        <v>3</v>
      </c>
      <c r="G28" s="48">
        <f>VLOOKUP(C28,'Fixed Information'!$A$2:$F$15,2,FALSE)</f>
        <v>9.5</v>
      </c>
      <c r="H28" s="48">
        <f>VLOOKUP(C28,'Fixed Information'!$A$2:$F$15,3,FALSE)</f>
        <v>2</v>
      </c>
      <c r="I28" s="49">
        <f>IFERROR(MAX(J27-G27-L27,G27+L27-J27,J27+J29+J30-K28-H28-L28-G28),0)</f>
        <v>19.5</v>
      </c>
      <c r="J28" s="48">
        <f>VLOOKUP(C28,'Fixed Information'!$A$2:$F$15,4,FALSE)</f>
        <v>15</v>
      </c>
      <c r="K28" s="48">
        <f>VLOOKUP(C28,'Fixed Information'!$A$2:$F$15,5,FALSE)</f>
        <v>2</v>
      </c>
      <c r="L28" s="48">
        <f>VLOOKUP(C28,'Fixed Information'!$A$2:$F$15,6,FALSE)</f>
        <v>6</v>
      </c>
      <c r="M28" s="49">
        <f>SUM(G28:L28)</f>
        <v>54</v>
      </c>
      <c r="N28" s="51">
        <f t="shared" si="0"/>
        <v>455</v>
      </c>
    </row>
    <row r="29" spans="1:21">
      <c r="A29" s="64"/>
      <c r="B29" s="64"/>
      <c r="C29" s="19">
        <v>7</v>
      </c>
      <c r="D29" s="20" t="str">
        <f>VLOOKUP(C29,'Fixed Information'!$A$2:$G$15,7,FALSE)</f>
        <v>#50</v>
      </c>
      <c r="E29" s="20" t="str">
        <f>VLOOKUP(C29,'Fixed Information'!$A$1:$H$15,8,FALSE)</f>
        <v>5/7</v>
      </c>
      <c r="F29" s="21">
        <v>4</v>
      </c>
      <c r="G29" s="22">
        <f>VLOOKUP(C29,'Fixed Information'!$A$2:$F$15,2,FALSE)</f>
        <v>7</v>
      </c>
      <c r="H29" s="22">
        <f>VLOOKUP(C29,'Fixed Information'!$A$2:$F$15,3,FALSE)</f>
        <v>2</v>
      </c>
      <c r="I29" s="23">
        <f>IFERROR(MAX(J30-G30-L30,G30+L30-J30,J30+J28+J27-K29-H29-L29-G29),0)</f>
        <v>25</v>
      </c>
      <c r="J29" s="22">
        <f>VLOOKUP(C29,'Fixed Information'!$A$2:$F$15,4,FALSE)</f>
        <v>12</v>
      </c>
      <c r="K29" s="22">
        <f>VLOOKUP(C29,'Fixed Information'!$A$2:$F$15,5,FALSE)</f>
        <v>2</v>
      </c>
      <c r="L29" s="22">
        <f>VLOOKUP(C29,'Fixed Information'!$A$2:$F$15,6,FALSE)</f>
        <v>6</v>
      </c>
      <c r="M29" s="23">
        <f t="shared" si="2"/>
        <v>54</v>
      </c>
      <c r="N29" s="24">
        <f t="shared" si="0"/>
        <v>455</v>
      </c>
      <c r="Q29">
        <f>Q21*70.5%</f>
        <v>869.26499999999999</v>
      </c>
    </row>
    <row r="30" spans="1:21">
      <c r="A30" s="64"/>
      <c r="B30" s="64"/>
      <c r="C30" s="50">
        <v>9</v>
      </c>
      <c r="D30" s="46" t="str">
        <f>VLOOKUP(C30,'Fixed Information'!$A$2:$G$15,7,FALSE)</f>
        <v>#52</v>
      </c>
      <c r="E30" s="46" t="str">
        <f>VLOOKUP(C30,'Fixed Information'!$A$1:$H$15,8,FALSE)</f>
        <v>5/7</v>
      </c>
      <c r="F30" s="47">
        <v>4</v>
      </c>
      <c r="G30" s="48">
        <f>VLOOKUP(C30,'Fixed Information'!$A$2:$F$15,2,FALSE)</f>
        <v>7</v>
      </c>
      <c r="H30" s="48">
        <f>VLOOKUP(C30,'Fixed Information'!$A$2:$F$15,3,FALSE)</f>
        <v>2</v>
      </c>
      <c r="I30" s="49">
        <f>IFERROR(MAX(J29-G29-L29,G29+L29-J29,J29+J28+J27-K30-H30-L30-G30),0)</f>
        <v>25</v>
      </c>
      <c r="J30" s="48">
        <f>VLOOKUP(C30,'Fixed Information'!$A$2:$F$15,4,FALSE)</f>
        <v>12</v>
      </c>
      <c r="K30" s="48">
        <f>VLOOKUP(C30,'Fixed Information'!$A$2:$F$15,5,FALSE)</f>
        <v>2</v>
      </c>
      <c r="L30" s="48">
        <f>VLOOKUP(C30,'Fixed Information'!$A$2:$F$15,6,FALSE)</f>
        <v>6</v>
      </c>
      <c r="M30" s="49">
        <f t="shared" si="2"/>
        <v>54</v>
      </c>
      <c r="N30" s="51">
        <f t="shared" si="0"/>
        <v>455</v>
      </c>
    </row>
    <row r="31" spans="1:21">
      <c r="A31" s="64"/>
      <c r="B31" s="64"/>
      <c r="C31" s="19">
        <v>11</v>
      </c>
      <c r="D31" s="20" t="str">
        <f>VLOOKUP(C31,'Fixed Information'!$A$2:$G$15,7,FALSE)</f>
        <v>#21</v>
      </c>
      <c r="E31" s="20" t="str">
        <f>VLOOKUP(C31,'Fixed Information'!$A$1:$H$15,8,FALSE)</f>
        <v>6/R-1</v>
      </c>
      <c r="F31" s="21">
        <v>5</v>
      </c>
      <c r="G31" s="22">
        <f>VLOOKUP(C31,'Fixed Information'!$A$2:$F$15,2,FALSE)</f>
        <v>12</v>
      </c>
      <c r="H31" s="22">
        <f>VLOOKUP(C31,'Fixed Information'!$A$2:$F$15,3,FALSE)</f>
        <v>2</v>
      </c>
      <c r="I31" s="23">
        <f>IFERROR(MAX(J32-G32-L32,G32+L32-J32,J32+J33+J34-K31-H31-L31-G31),0)</f>
        <v>22</v>
      </c>
      <c r="J31" s="22">
        <f>VLOOKUP(C31,'Fixed Information'!$A$2:$F$15,4,FALSE)</f>
        <v>19</v>
      </c>
      <c r="K31" s="22">
        <f>VLOOKUP(C31,'Fixed Information'!$A$2:$F$15,5,FALSE)</f>
        <v>2</v>
      </c>
      <c r="L31" s="22">
        <f>VLOOKUP(C31,'Fixed Information'!$A$2:$F$15,6,FALSE)</f>
        <v>3</v>
      </c>
      <c r="M31" s="23">
        <f t="shared" si="2"/>
        <v>60</v>
      </c>
      <c r="N31" s="24">
        <f t="shared" si="0"/>
        <v>410</v>
      </c>
    </row>
    <row r="32" spans="1:21">
      <c r="A32" s="64"/>
      <c r="B32" s="64"/>
      <c r="C32" s="50">
        <v>12</v>
      </c>
      <c r="D32" s="46" t="str">
        <f>VLOOKUP(C32,'Fixed Information'!$A$2:$G$15,7,FALSE)</f>
        <v>#22</v>
      </c>
      <c r="E32" s="46" t="str">
        <f>VLOOKUP(C32,'Fixed Information'!$A$1:$H$15,8,FALSE)</f>
        <v>6/R-1</v>
      </c>
      <c r="F32" s="47">
        <v>5</v>
      </c>
      <c r="G32" s="48">
        <f>VLOOKUP(C32,'Fixed Information'!$A$2:$F$15,2,FALSE)</f>
        <v>12</v>
      </c>
      <c r="H32" s="48">
        <f>VLOOKUP(C32,'Fixed Information'!$A$2:$F$15,3,FALSE)</f>
        <v>2</v>
      </c>
      <c r="I32" s="49">
        <f>IFERROR(MAX(J31-G31-L31,G31+L31-J31,J31+J33+J34-K32-H32-L32-G32),0)</f>
        <v>22</v>
      </c>
      <c r="J32" s="48">
        <f>VLOOKUP(C32,'Fixed Information'!$A$2:$F$15,4,FALSE)</f>
        <v>19</v>
      </c>
      <c r="K32" s="48">
        <f>VLOOKUP(C32,'Fixed Information'!$A$2:$F$15,5,FALSE)</f>
        <v>2</v>
      </c>
      <c r="L32" s="48">
        <f>VLOOKUP(C32,'Fixed Information'!$A$2:$F$15,6,FALSE)</f>
        <v>3</v>
      </c>
      <c r="M32" s="49">
        <f t="shared" si="2"/>
        <v>60</v>
      </c>
      <c r="N32" s="51">
        <f t="shared" si="0"/>
        <v>410</v>
      </c>
    </row>
    <row r="33" spans="1:14">
      <c r="A33" s="64"/>
      <c r="B33" s="64"/>
      <c r="C33" s="19">
        <v>13</v>
      </c>
      <c r="D33" s="20" t="str">
        <f>VLOOKUP(C33,'Fixed Information'!$A$2:$G$15,7,FALSE)</f>
        <v>#31</v>
      </c>
      <c r="E33" s="20" t="str">
        <f>VLOOKUP(C33,'Fixed Information'!$A$1:$H$15,8,FALSE)</f>
        <v>6/R-2</v>
      </c>
      <c r="F33" s="21">
        <v>6</v>
      </c>
      <c r="G33" s="22">
        <f>VLOOKUP(C33,'Fixed Information'!$A$2:$F$15,2,FALSE)</f>
        <v>8</v>
      </c>
      <c r="H33" s="22">
        <f>VLOOKUP(C33,'Fixed Information'!$A$2:$F$15,3,FALSE)</f>
        <v>2</v>
      </c>
      <c r="I33" s="23">
        <f>IFERROR(MAX(J34-G34-L34,G34+L34-J34,J34+J32+J31-K33-H33-L33-G33),0)</f>
        <v>35</v>
      </c>
      <c r="J33" s="22">
        <f>VLOOKUP(C33,'Fixed Information'!$A$2:$F$15,4,FALSE)</f>
        <v>11</v>
      </c>
      <c r="K33" s="22">
        <f>VLOOKUP(C33,'Fixed Information'!$A$2:$F$15,5,FALSE)</f>
        <v>2</v>
      </c>
      <c r="L33" s="22">
        <f>VLOOKUP(C33,'Fixed Information'!$A$2:$F$15,6,FALSE)</f>
        <v>2</v>
      </c>
      <c r="M33" s="23">
        <f t="shared" si="2"/>
        <v>60</v>
      </c>
      <c r="N33" s="24">
        <f t="shared" si="0"/>
        <v>410</v>
      </c>
    </row>
    <row r="34" spans="1:14" ht="15.75" thickBot="1">
      <c r="A34" s="64"/>
      <c r="B34" s="64"/>
      <c r="C34" s="25">
        <v>14</v>
      </c>
      <c r="D34" s="26" t="str">
        <f>VLOOKUP(C34,'Fixed Information'!$A$2:$G$15,7,FALSE)</f>
        <v>#32</v>
      </c>
      <c r="E34" s="26" t="str">
        <f>VLOOKUP(C34,'Fixed Information'!$A$1:$H$15,8,FALSE)</f>
        <v>6/R-2</v>
      </c>
      <c r="F34" s="27">
        <v>6</v>
      </c>
      <c r="G34" s="28">
        <f>VLOOKUP(C34,'Fixed Information'!$A$2:$F$15,2,FALSE)</f>
        <v>8</v>
      </c>
      <c r="H34" s="28">
        <f>VLOOKUP(C34,'Fixed Information'!$A$2:$F$15,3,FALSE)</f>
        <v>2</v>
      </c>
      <c r="I34" s="29">
        <f>IFERROR(MAX(J33-G33-L33,G33+L33-J33,J33+J32+J31-K34-H34-L34-G34),0)</f>
        <v>35</v>
      </c>
      <c r="J34" s="28">
        <f>VLOOKUP(C34,'Fixed Information'!$A$2:$F$15,4,FALSE)</f>
        <v>11</v>
      </c>
      <c r="K34" s="28">
        <f>VLOOKUP(C34,'Fixed Information'!$A$2:$F$15,5,FALSE)</f>
        <v>2</v>
      </c>
      <c r="L34" s="28">
        <f>VLOOKUP(C34,'Fixed Information'!$A$2:$F$15,6,FALSE)</f>
        <v>2</v>
      </c>
      <c r="M34" s="29">
        <f t="shared" si="2"/>
        <v>60</v>
      </c>
      <c r="N34" s="24">
        <f t="shared" si="0"/>
        <v>410</v>
      </c>
    </row>
    <row r="35" spans="1:14" ht="15.75" thickBot="1">
      <c r="A35" s="64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30">
        <f>SUM(N21:N34)</f>
        <v>5104</v>
      </c>
    </row>
    <row r="36" spans="1:14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1:14" ht="15.75" thickBo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 ht="15.75" thickBot="1">
      <c r="A38" s="8" t="s">
        <v>51</v>
      </c>
      <c r="B38" s="10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A39" s="65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</row>
    <row r="40" spans="1:14">
      <c r="A40" s="66" t="s">
        <v>40</v>
      </c>
      <c r="B40" s="34" t="s">
        <v>46</v>
      </c>
      <c r="C40" s="34"/>
      <c r="D40" s="34"/>
      <c r="E40" s="68"/>
      <c r="F40" s="68"/>
      <c r="G40" s="68"/>
      <c r="H40" s="68"/>
      <c r="I40" s="68"/>
      <c r="J40" s="68"/>
      <c r="K40" s="68"/>
      <c r="L40" s="68"/>
      <c r="M40" s="68"/>
      <c r="N40" s="69"/>
    </row>
    <row r="41" spans="1:14">
      <c r="A41" s="66" t="s">
        <v>42</v>
      </c>
      <c r="B41" s="36" t="s">
        <v>43</v>
      </c>
      <c r="C41" s="36"/>
      <c r="D41" s="36"/>
      <c r="E41" s="68"/>
      <c r="F41" s="68"/>
      <c r="G41" s="68"/>
      <c r="H41" s="68"/>
      <c r="I41" s="68"/>
      <c r="J41" s="68"/>
      <c r="K41" s="68"/>
      <c r="L41" s="68"/>
      <c r="M41" s="68"/>
      <c r="N41" s="69"/>
    </row>
    <row r="42" spans="1:14">
      <c r="A42" s="66" t="s">
        <v>44</v>
      </c>
      <c r="B42" s="37" t="s">
        <v>41</v>
      </c>
      <c r="C42" s="37"/>
      <c r="D42" s="37"/>
      <c r="E42" s="68"/>
      <c r="F42" s="68"/>
      <c r="G42" s="68"/>
      <c r="H42" s="68"/>
      <c r="I42" s="68"/>
      <c r="J42" s="68"/>
      <c r="K42" s="68"/>
      <c r="L42" s="68"/>
      <c r="M42" s="68"/>
      <c r="N42" s="69"/>
    </row>
    <row r="43" spans="1:14">
      <c r="A43" s="66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9"/>
    </row>
    <row r="44" spans="1:14">
      <c r="A44" s="66" t="s">
        <v>45</v>
      </c>
      <c r="B44" s="68" t="s">
        <v>38</v>
      </c>
      <c r="C44" s="68"/>
      <c r="D44" s="68"/>
      <c r="E44" s="68" t="s">
        <v>53</v>
      </c>
      <c r="F44" s="68"/>
      <c r="G44" s="68"/>
      <c r="H44" s="68"/>
      <c r="I44" s="68"/>
      <c r="J44" s="68"/>
      <c r="K44" s="68"/>
      <c r="L44" s="68"/>
      <c r="M44" s="68"/>
      <c r="N44" s="69"/>
    </row>
    <row r="45" spans="1:14">
      <c r="A45" s="66"/>
      <c r="B45" s="68" t="s">
        <v>48</v>
      </c>
      <c r="C45" s="68"/>
      <c r="D45" s="68"/>
      <c r="E45" s="68">
        <f>A21</f>
        <v>24600</v>
      </c>
      <c r="F45" s="68"/>
      <c r="G45" s="68"/>
      <c r="H45" s="68"/>
      <c r="I45" s="68"/>
      <c r="J45" s="68"/>
      <c r="K45" s="68"/>
      <c r="L45" s="68"/>
      <c r="M45" s="68"/>
      <c r="N45" s="69"/>
    </row>
    <row r="46" spans="1:14">
      <c r="A46" s="66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9"/>
    </row>
    <row r="47" spans="1:14">
      <c r="A47" s="66" t="s">
        <v>47</v>
      </c>
      <c r="B47" s="68" t="s">
        <v>49</v>
      </c>
      <c r="C47" s="68"/>
      <c r="D47" s="68"/>
      <c r="E47" s="68"/>
      <c r="F47" s="68"/>
      <c r="G47" s="68"/>
      <c r="H47" s="68"/>
      <c r="I47" s="70">
        <v>0.02</v>
      </c>
      <c r="J47" s="68"/>
      <c r="K47" s="68">
        <f>ROUNDDOWN(Q24*(100%-I47),0)</f>
        <v>1206</v>
      </c>
      <c r="L47" s="68"/>
      <c r="M47" s="68"/>
      <c r="N47" s="69"/>
    </row>
    <row r="48" spans="1:14">
      <c r="A48" s="66"/>
      <c r="B48" s="68" t="s">
        <v>50</v>
      </c>
      <c r="C48" s="68"/>
      <c r="D48" s="68"/>
      <c r="E48" s="68"/>
      <c r="F48" s="68"/>
      <c r="G48" s="68"/>
      <c r="H48" s="68"/>
      <c r="I48" s="71">
        <v>0.2</v>
      </c>
      <c r="J48" s="68"/>
      <c r="K48" s="68"/>
      <c r="L48" s="68"/>
      <c r="M48" s="68"/>
      <c r="N48" s="69"/>
    </row>
    <row r="49" spans="1:14" ht="15.75" thickBot="1">
      <c r="A49" s="67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E4" sqref="E4:E13"/>
    </sheetView>
  </sheetViews>
  <sheetFormatPr defaultRowHeight="15"/>
  <cols>
    <col min="1" max="1" width="16.140625" bestFit="1" customWidth="1"/>
    <col min="7" max="8" width="15.5703125" customWidth="1"/>
    <col min="9" max="9" width="20.5703125" bestFit="1" customWidth="1"/>
    <col min="10" max="12" width="15.5703125" customWidth="1"/>
    <col min="13" max="13" width="10.5703125" bestFit="1" customWidth="1"/>
    <col min="14" max="14" width="18.85546875" bestFit="1" customWidth="1"/>
    <col min="17" max="17" width="23.42578125" bestFit="1" customWidth="1"/>
  </cols>
  <sheetData>
    <row r="1" spans="1:21" ht="15.75" thickBot="1">
      <c r="A1" t="s">
        <v>39</v>
      </c>
      <c r="B1" s="17"/>
      <c r="C1" s="43" t="s">
        <v>34</v>
      </c>
      <c r="D1" s="44" t="s">
        <v>37</v>
      </c>
      <c r="E1" s="44" t="s">
        <v>36</v>
      </c>
      <c r="F1" s="44" t="s">
        <v>32</v>
      </c>
      <c r="G1" s="44" t="s">
        <v>6</v>
      </c>
      <c r="H1" s="44" t="s">
        <v>7</v>
      </c>
      <c r="I1" s="44" t="s">
        <v>33</v>
      </c>
      <c r="J1" s="44" t="s">
        <v>12</v>
      </c>
      <c r="K1" s="44" t="s">
        <v>7</v>
      </c>
      <c r="L1" s="44" t="s">
        <v>13</v>
      </c>
      <c r="M1" s="44" t="s">
        <v>14</v>
      </c>
      <c r="N1" s="45" t="s">
        <v>17</v>
      </c>
      <c r="P1" s="17"/>
      <c r="Q1" s="17" t="s">
        <v>35</v>
      </c>
      <c r="R1" s="31">
        <f>I29</f>
        <v>0.25</v>
      </c>
    </row>
    <row r="2" spans="1:21">
      <c r="A2">
        <f>410*60</f>
        <v>24600</v>
      </c>
      <c r="C2" s="52">
        <v>5</v>
      </c>
      <c r="D2" s="53" t="str">
        <f>VLOOKUP(C2,'Fixed Information'!$A$2:$G$15,7,FALSE)</f>
        <v>#11</v>
      </c>
      <c r="E2" s="53" t="str">
        <f>VLOOKUP(C2,'Fixed Information'!$A$1:$H$15,8,FALSE)</f>
        <v>2/4</v>
      </c>
      <c r="F2" s="54">
        <v>0</v>
      </c>
      <c r="G2" s="55">
        <f>VLOOKUP(C2,'Fixed Information'!$A$2:$F$15,2,FALSE)</f>
        <v>9.5</v>
      </c>
      <c r="H2" s="55">
        <f>VLOOKUP(C2,'Fixed Information'!$A$2:$F$15,3,FALSE)</f>
        <v>2</v>
      </c>
      <c r="I2" s="56">
        <v>0</v>
      </c>
      <c r="J2" s="55">
        <f>VLOOKUP(C2,'Fixed Information'!$A$2:$F$15,4,FALSE)</f>
        <v>15</v>
      </c>
      <c r="K2" s="55">
        <f>VLOOKUP(C2,'Fixed Information'!$A$2:$F$15,5,FALSE)</f>
        <v>2</v>
      </c>
      <c r="L2" s="55">
        <f>VLOOKUP(C2,'Fixed Information'!$A$2:$F$15,6,FALSE)</f>
        <v>6</v>
      </c>
      <c r="M2" s="56">
        <f>SUM(G2:L2)</f>
        <v>34.5</v>
      </c>
      <c r="N2" s="57">
        <f>IF(J2=0,0,ROUNDDOWN(IFERROR($A$2/M2*F2/F2,0),0))</f>
        <v>0</v>
      </c>
      <c r="P2" s="18" t="s">
        <v>0</v>
      </c>
      <c r="Q2" s="17">
        <f>SUMIF($E$2:$E$15,P2,$N$2:$N$15)</f>
        <v>1254</v>
      </c>
      <c r="R2">
        <f>ROUNDDOWN(Q2*$I$29,0)</f>
        <v>313</v>
      </c>
    </row>
    <row r="3" spans="1:21">
      <c r="C3" s="50">
        <v>7</v>
      </c>
      <c r="D3" s="46" t="str">
        <f>VLOOKUP(C3,'Fixed Information'!$A$2:$G$15,7,FALSE)</f>
        <v>#50</v>
      </c>
      <c r="E3" s="46" t="str">
        <f>VLOOKUP(C3,'Fixed Information'!$A$1:$H$15,8,FALSE)</f>
        <v>5/7</v>
      </c>
      <c r="F3" s="47">
        <v>0</v>
      </c>
      <c r="G3" s="48">
        <f>VLOOKUP(C3,'Fixed Information'!$A$2:$F$15,2,FALSE)</f>
        <v>7</v>
      </c>
      <c r="H3" s="48">
        <f>VLOOKUP(C3,'Fixed Information'!$A$2:$F$15,3,FALSE)</f>
        <v>2</v>
      </c>
      <c r="I3" s="49">
        <v>0</v>
      </c>
      <c r="J3" s="48">
        <f>VLOOKUP(C3,'Fixed Information'!$A$2:$F$15,4,FALSE)</f>
        <v>12</v>
      </c>
      <c r="K3" s="48">
        <f>VLOOKUP(C3,'Fixed Information'!$A$2:$F$15,5,FALSE)</f>
        <v>2</v>
      </c>
      <c r="L3" s="48">
        <f>VLOOKUP(C3,'Fixed Information'!$A$2:$F$15,6,FALSE)</f>
        <v>6</v>
      </c>
      <c r="M3" s="49">
        <f>SUM(G3:L3)</f>
        <v>29</v>
      </c>
      <c r="N3" s="51">
        <f t="shared" ref="N3:N15" si="0">IF(J3=0,0,ROUNDDOWN(IFERROR($A$2/M3*F3/F3,0),0))</f>
        <v>0</v>
      </c>
      <c r="P3" s="18" t="s">
        <v>3</v>
      </c>
      <c r="Q3" s="17">
        <f t="shared" ref="Q3:Q6" si="1">SUMIF($E$2:$E$15,P3,$N$2:$N$15)</f>
        <v>955</v>
      </c>
      <c r="R3">
        <f>ROUNDDOWN(Q3*$I$29,0)</f>
        <v>238</v>
      </c>
      <c r="S3">
        <f>ABS(Q2-Q3)</f>
        <v>299</v>
      </c>
    </row>
    <row r="4" spans="1:21">
      <c r="C4" s="19">
        <v>6</v>
      </c>
      <c r="D4" s="20" t="str">
        <f>VLOOKUP(C4,'Fixed Information'!$A$2:$G$15,7,FALSE)</f>
        <v>#12</v>
      </c>
      <c r="E4" s="20" t="str">
        <f>VLOOKUP(C4,'Fixed Information'!$A$1:$H$15,8,FALSE)</f>
        <v>2/4</v>
      </c>
      <c r="F4" s="21">
        <v>1</v>
      </c>
      <c r="G4" s="22">
        <f>VLOOKUP(C4,'Fixed Information'!$A$2:$F$15,2,FALSE)</f>
        <v>9.5</v>
      </c>
      <c r="H4" s="22">
        <f>VLOOKUP(C4,'Fixed Information'!$A$2:$F$15,3,FALSE)</f>
        <v>2</v>
      </c>
      <c r="I4" s="23">
        <f>IFERROR(MAX(J5-G5-L5,G5+L5-J5,J5+J6+J7-K4-H4-L4-G4),0)</f>
        <v>14.5</v>
      </c>
      <c r="J4" s="22">
        <f>VLOOKUP(C4,'Fixed Information'!$A$2:$F$15,4,FALSE)</f>
        <v>15</v>
      </c>
      <c r="K4" s="22">
        <f>VLOOKUP(C4,'Fixed Information'!$A$2:$F$15,5,FALSE)</f>
        <v>2</v>
      </c>
      <c r="L4" s="22">
        <f>VLOOKUP(C4,'Fixed Information'!$A$2:$F$15,6,FALSE)</f>
        <v>6</v>
      </c>
      <c r="M4" s="23">
        <f>SUM(G4:L4)</f>
        <v>49</v>
      </c>
      <c r="N4" s="24">
        <f t="shared" si="0"/>
        <v>502</v>
      </c>
      <c r="P4" s="18" t="s">
        <v>4</v>
      </c>
      <c r="Q4" s="17">
        <f t="shared" si="1"/>
        <v>955</v>
      </c>
      <c r="R4">
        <f>ROUNDDOWN(Q4*$I$29,0)</f>
        <v>238</v>
      </c>
      <c r="S4">
        <f>(ABS(Q2-Q4))</f>
        <v>299</v>
      </c>
      <c r="T4">
        <f>ABS(Q3-Q4)</f>
        <v>0</v>
      </c>
    </row>
    <row r="5" spans="1:21">
      <c r="C5" s="50">
        <v>14</v>
      </c>
      <c r="D5" s="46" t="str">
        <f>VLOOKUP(C5,'Fixed Information'!$A$2:$G$15,7,FALSE)</f>
        <v>#32</v>
      </c>
      <c r="E5" s="46" t="str">
        <f>VLOOKUP(C5,'Fixed Information'!$A$1:$H$15,8,FALSE)</f>
        <v>6/R-2</v>
      </c>
      <c r="F5" s="47">
        <v>1</v>
      </c>
      <c r="G5" s="48">
        <f>VLOOKUP(C5,'Fixed Information'!$A$2:$F$15,2,FALSE)</f>
        <v>8</v>
      </c>
      <c r="H5" s="48">
        <f>VLOOKUP(C5,'Fixed Information'!$A$2:$F$15,3,FALSE)</f>
        <v>2</v>
      </c>
      <c r="I5" s="49">
        <f>IFERROR(MAX(J4-G4-L4,G4+L4-J4,J4+J6+J7-K5-H5-L5-G5),0)</f>
        <v>24</v>
      </c>
      <c r="J5" s="48">
        <f>VLOOKUP(C5,'Fixed Information'!$A$2:$F$15,4,FALSE)</f>
        <v>11</v>
      </c>
      <c r="K5" s="48">
        <f>VLOOKUP(C5,'Fixed Information'!$A$2:$F$15,5,FALSE)</f>
        <v>2</v>
      </c>
      <c r="L5" s="48">
        <f>VLOOKUP(C5,'Fixed Information'!$A$2:$F$15,6,FALSE)</f>
        <v>2</v>
      </c>
      <c r="M5" s="49">
        <f t="shared" ref="M5:M15" si="2">SUM(G5:L5)</f>
        <v>49</v>
      </c>
      <c r="N5" s="51">
        <f t="shared" si="0"/>
        <v>502</v>
      </c>
      <c r="P5" s="18" t="s">
        <v>15</v>
      </c>
      <c r="Q5" s="17">
        <f t="shared" si="1"/>
        <v>1044</v>
      </c>
    </row>
    <row r="6" spans="1:21">
      <c r="C6" s="19">
        <v>8</v>
      </c>
      <c r="D6" s="20" t="str">
        <f>VLOOKUP(C6,'Fixed Information'!$A$2:$G$15,7,FALSE)</f>
        <v>#51</v>
      </c>
      <c r="E6" s="20" t="str">
        <f>VLOOKUP(C6,'Fixed Information'!$A$1:$H$15,8,FALSE)</f>
        <v>5/7</v>
      </c>
      <c r="F6" s="21">
        <v>2</v>
      </c>
      <c r="G6" s="22">
        <f>VLOOKUP(C6,'Fixed Information'!$A$2:$F$15,2,FALSE)</f>
        <v>7</v>
      </c>
      <c r="H6" s="22">
        <f>VLOOKUP(C6,'Fixed Information'!$A$2:$F$15,3,FALSE)</f>
        <v>2</v>
      </c>
      <c r="I6" s="23">
        <f>IFERROR(MAX(J7-G7-L7,G7+L7-J7,J4+J5+J7-K6-H6-L6-G6),0)</f>
        <v>20</v>
      </c>
      <c r="J6" s="22">
        <f>VLOOKUP(C6,'Fixed Information'!$A$2:$F$15,4,FALSE)</f>
        <v>12</v>
      </c>
      <c r="K6" s="22">
        <f>VLOOKUP(C6,'Fixed Information'!$A$2:$F$15,5,FALSE)</f>
        <v>2</v>
      </c>
      <c r="L6" s="22">
        <f>VLOOKUP(C6,'Fixed Information'!$A$2:$F$15,6,FALSE)</f>
        <v>6</v>
      </c>
      <c r="M6" s="23">
        <f t="shared" si="2"/>
        <v>49</v>
      </c>
      <c r="N6" s="24">
        <f t="shared" si="0"/>
        <v>502</v>
      </c>
      <c r="P6" s="18" t="s">
        <v>16</v>
      </c>
      <c r="Q6" s="17">
        <f t="shared" si="1"/>
        <v>1004</v>
      </c>
      <c r="R6">
        <f>ROUNDDOWN(Q6*$I$29,0)</f>
        <v>251</v>
      </c>
      <c r="S6">
        <f>ABS(Q2-Q6)</f>
        <v>250</v>
      </c>
      <c r="T6">
        <f>ABS(Q3-Q6)</f>
        <v>49</v>
      </c>
      <c r="U6">
        <f>ABS(Q4-Q6)</f>
        <v>49</v>
      </c>
    </row>
    <row r="7" spans="1:21">
      <c r="C7" s="50">
        <v>13</v>
      </c>
      <c r="D7" s="46" t="str">
        <f>VLOOKUP(C7,'Fixed Information'!$A$2:$G$15,7,FALSE)</f>
        <v>#31</v>
      </c>
      <c r="E7" s="46" t="str">
        <f>VLOOKUP(C7,'Fixed Information'!$A$1:$H$15,8,FALSE)</f>
        <v>6/R-2</v>
      </c>
      <c r="F7" s="47">
        <v>2</v>
      </c>
      <c r="G7" s="48">
        <f>VLOOKUP(C7,'Fixed Information'!$A$2:$F$15,2,FALSE)</f>
        <v>8</v>
      </c>
      <c r="H7" s="48">
        <f>VLOOKUP(C7,'Fixed Information'!$A$2:$F$15,3,FALSE)</f>
        <v>2</v>
      </c>
      <c r="I7" s="49">
        <f>IFERROR(MAX(J6-G6-L6,G6+L6-J6,J6+J5+J4-K7-H7-L7-G7),0)</f>
        <v>24</v>
      </c>
      <c r="J7" s="48">
        <f>VLOOKUP(C7,'Fixed Information'!$A$2:$F$15,4,FALSE)</f>
        <v>11</v>
      </c>
      <c r="K7" s="48">
        <f>VLOOKUP(C7,'Fixed Information'!$A$2:$F$15,5,FALSE)</f>
        <v>2</v>
      </c>
      <c r="L7" s="48">
        <f>VLOOKUP(C7,'Fixed Information'!$A$2:$F$15,6,FALSE)</f>
        <v>2</v>
      </c>
      <c r="M7" s="49">
        <f t="shared" si="2"/>
        <v>49</v>
      </c>
      <c r="N7" s="51">
        <f t="shared" si="0"/>
        <v>502</v>
      </c>
      <c r="P7" s="17"/>
      <c r="Q7" s="17"/>
    </row>
    <row r="8" spans="1:21">
      <c r="C8" s="19">
        <v>10</v>
      </c>
      <c r="D8" s="20" t="str">
        <f>VLOOKUP(C8,'Fixed Information'!$A$2:$G$15,7,FALSE)</f>
        <v>#20</v>
      </c>
      <c r="E8" s="20" t="str">
        <f>VLOOKUP(C8,'Fixed Information'!$A$1:$H$15,8,FALSE)</f>
        <v>6/R-1</v>
      </c>
      <c r="F8" s="21">
        <v>3</v>
      </c>
      <c r="G8" s="22">
        <f>VLOOKUP(C8,'Fixed Information'!$A$2:$F$15,2,FALSE)</f>
        <v>12</v>
      </c>
      <c r="H8" s="22">
        <f>VLOOKUP(C8,'Fixed Information'!$A$2:$F$15,3,FALSE)</f>
        <v>2</v>
      </c>
      <c r="I8" s="23">
        <f>IFERROR(MAX(J9-G9-L9,G9+L9-J9,J9+J10+J11-K8-H8-L8-G8),0)</f>
        <v>32.6</v>
      </c>
      <c r="J8" s="22">
        <f>VLOOKUP(C8,'Fixed Information'!$A$2:$F$15,4,FALSE)</f>
        <v>19</v>
      </c>
      <c r="K8" s="22">
        <f>VLOOKUP(C8,'Fixed Information'!$A$2:$F$15,5,FALSE)</f>
        <v>2</v>
      </c>
      <c r="L8" s="22">
        <f>VLOOKUP(C8,'Fixed Information'!$A$2:$F$15,6,FALSE)</f>
        <v>3</v>
      </c>
      <c r="M8" s="23">
        <f t="shared" si="2"/>
        <v>70.599999999999994</v>
      </c>
      <c r="N8" s="24">
        <f t="shared" si="0"/>
        <v>348</v>
      </c>
    </row>
    <row r="9" spans="1:21">
      <c r="C9" s="50">
        <v>3</v>
      </c>
      <c r="D9" s="46" t="str">
        <f>VLOOKUP(C9,'Fixed Information'!$A$2:$G$15,7,FALSE)</f>
        <v>#42</v>
      </c>
      <c r="E9" s="46" t="str">
        <f>VLOOKUP(C9,'Fixed Information'!$A$1:$H$15,8,FALSE)</f>
        <v>1/3</v>
      </c>
      <c r="F9" s="47">
        <v>3</v>
      </c>
      <c r="G9" s="48">
        <f>VLOOKUP(C9,'Fixed Information'!$A$2:$F$15,2,FALSE)</f>
        <v>16</v>
      </c>
      <c r="H9" s="48">
        <f>VLOOKUP(C9,'Fixed Information'!$A$2:$F$15,3,FALSE)</f>
        <v>2</v>
      </c>
      <c r="I9" s="49">
        <f>IFERROR(MAX(J8-G8-L8,G8+L8-J8,J8+J10+J11-K9-H9-L9-G9),0)</f>
        <v>33</v>
      </c>
      <c r="J9" s="48">
        <f>VLOOKUP(C9,'Fixed Information'!$A$2:$F$15,4,FALSE)</f>
        <v>13.6</v>
      </c>
      <c r="K9" s="48">
        <f>VLOOKUP(C9,'Fixed Information'!$A$2:$F$15,5,FALSE)</f>
        <v>2</v>
      </c>
      <c r="L9" s="48">
        <f>VLOOKUP(C9,'Fixed Information'!$A$2:$F$15,6,FALSE)</f>
        <v>4</v>
      </c>
      <c r="M9" s="49">
        <f>SUM(G9:L9)</f>
        <v>70.599999999999994</v>
      </c>
      <c r="N9" s="51">
        <f t="shared" si="0"/>
        <v>348</v>
      </c>
    </row>
    <row r="10" spans="1:21">
      <c r="C10" s="19">
        <v>12</v>
      </c>
      <c r="D10" s="20" t="str">
        <f>VLOOKUP(C10,'Fixed Information'!$A$2:$G$15,7,FALSE)</f>
        <v>#22</v>
      </c>
      <c r="E10" s="20" t="str">
        <f>VLOOKUP(C10,'Fixed Information'!$A$1:$H$15,8,FALSE)</f>
        <v>6/R-1</v>
      </c>
      <c r="F10" s="21">
        <v>4</v>
      </c>
      <c r="G10" s="22">
        <f>VLOOKUP(C10,'Fixed Information'!$A$2:$F$15,2,FALSE)</f>
        <v>12</v>
      </c>
      <c r="H10" s="22">
        <f>VLOOKUP(C10,'Fixed Information'!$A$2:$F$15,3,FALSE)</f>
        <v>2</v>
      </c>
      <c r="I10" s="23">
        <f>IFERROR(MAX(J11-G11-L11,G11+L11-J11,J11+J9+J8-K10-H10-L10-G10),0)</f>
        <v>32.6</v>
      </c>
      <c r="J10" s="22">
        <f>VLOOKUP(C10,'Fixed Information'!$A$2:$F$15,4,FALSE)</f>
        <v>19</v>
      </c>
      <c r="K10" s="22">
        <f>VLOOKUP(C10,'Fixed Information'!$A$2:$F$15,5,FALSE)</f>
        <v>2</v>
      </c>
      <c r="L10" s="22">
        <f>VLOOKUP(C10,'Fixed Information'!$A$2:$F$15,6,FALSE)</f>
        <v>3</v>
      </c>
      <c r="M10" s="23">
        <f t="shared" si="2"/>
        <v>70.599999999999994</v>
      </c>
      <c r="N10" s="24">
        <f t="shared" si="0"/>
        <v>348</v>
      </c>
    </row>
    <row r="11" spans="1:21">
      <c r="C11" s="50">
        <v>11</v>
      </c>
      <c r="D11" s="46" t="str">
        <f>VLOOKUP(C11,'Fixed Information'!$A$2:$G$15,7,FALSE)</f>
        <v>#21</v>
      </c>
      <c r="E11" s="46" t="str">
        <f>VLOOKUP(C11,'Fixed Information'!$A$1:$H$15,8,FALSE)</f>
        <v>6/R-1</v>
      </c>
      <c r="F11" s="47">
        <v>4</v>
      </c>
      <c r="G11" s="48">
        <f>VLOOKUP(C11,'Fixed Information'!$A$2:$F$15,2,FALSE)</f>
        <v>12</v>
      </c>
      <c r="H11" s="48">
        <f>VLOOKUP(C11,'Fixed Information'!$A$2:$F$15,3,FALSE)</f>
        <v>2</v>
      </c>
      <c r="I11" s="49">
        <f>IFERROR(MAX(J10-G10-L10,G10+L10-J10,J10+J9+J8-K11-H11-L11-G11),0)</f>
        <v>32.6</v>
      </c>
      <c r="J11" s="48">
        <f>VLOOKUP(C11,'Fixed Information'!$A$2:$F$15,4,FALSE)</f>
        <v>19</v>
      </c>
      <c r="K11" s="48">
        <f>VLOOKUP(C11,'Fixed Information'!$A$2:$F$15,5,FALSE)</f>
        <v>2</v>
      </c>
      <c r="L11" s="48">
        <f>VLOOKUP(C11,'Fixed Information'!$A$2:$F$15,6,FALSE)</f>
        <v>3</v>
      </c>
      <c r="M11" s="49">
        <f t="shared" si="2"/>
        <v>70.599999999999994</v>
      </c>
      <c r="N11" s="51">
        <f t="shared" si="0"/>
        <v>348</v>
      </c>
    </row>
    <row r="12" spans="1:21">
      <c r="C12" s="19">
        <v>1</v>
      </c>
      <c r="D12" s="20" t="str">
        <f>VLOOKUP(C12,'Fixed Information'!$A$2:$G$15,7,FALSE)</f>
        <v>#40</v>
      </c>
      <c r="E12" s="20" t="str">
        <f>VLOOKUP(C12,'Fixed Information'!$A$1:$H$15,8,FALSE)</f>
        <v>1/3</v>
      </c>
      <c r="F12" s="21">
        <v>5</v>
      </c>
      <c r="G12" s="22">
        <f>VLOOKUP(C12,'Fixed Information'!$A$2:$F$15,2,FALSE)</f>
        <v>16</v>
      </c>
      <c r="H12" s="22">
        <f>VLOOKUP(C12,'Fixed Information'!$A$2:$F$15,3,FALSE)</f>
        <v>2</v>
      </c>
      <c r="I12" s="23">
        <f>IFERROR(MAX(J13-G13-L13,G13+L13-J13,J13+J14+J15-K12-H12-L12-G12),0)</f>
        <v>16.600000000000001</v>
      </c>
      <c r="J12" s="22">
        <f>VLOOKUP(C12,'Fixed Information'!$A$2:$F$15,4,FALSE)</f>
        <v>13.6</v>
      </c>
      <c r="K12" s="22">
        <f>VLOOKUP(C12,'Fixed Information'!$A$2:$F$15,5,FALSE)</f>
        <v>2</v>
      </c>
      <c r="L12" s="22">
        <f>VLOOKUP(C12,'Fixed Information'!$A$2:$F$15,6,FALSE)</f>
        <v>4</v>
      </c>
      <c r="M12" s="23">
        <f t="shared" si="2"/>
        <v>54.2</v>
      </c>
      <c r="N12" s="24">
        <f t="shared" si="0"/>
        <v>453</v>
      </c>
    </row>
    <row r="13" spans="1:21">
      <c r="C13" s="50">
        <v>9</v>
      </c>
      <c r="D13" s="46" t="str">
        <f>VLOOKUP(C13,'Fixed Information'!$A$2:$G$15,7,FALSE)</f>
        <v>#52</v>
      </c>
      <c r="E13" s="46" t="str">
        <f>VLOOKUP(C13,'Fixed Information'!$A$1:$H$15,8,FALSE)</f>
        <v>5/7</v>
      </c>
      <c r="F13" s="47">
        <v>5</v>
      </c>
      <c r="G13" s="48">
        <f>VLOOKUP(C13,'Fixed Information'!$A$2:$F$15,2,FALSE)</f>
        <v>7</v>
      </c>
      <c r="H13" s="48">
        <f>VLOOKUP(C13,'Fixed Information'!$A$2:$F$15,3,FALSE)</f>
        <v>2</v>
      </c>
      <c r="I13" s="49">
        <f>IFERROR(MAX(J12-G12-L12,G12+L12-J12,J12+J14+J15-K13-H13-L13-G13),0)</f>
        <v>25.200000000000003</v>
      </c>
      <c r="J13" s="48">
        <f>VLOOKUP(C13,'Fixed Information'!$A$2:$F$15,4,FALSE)</f>
        <v>12</v>
      </c>
      <c r="K13" s="48">
        <f>VLOOKUP(C13,'Fixed Information'!$A$2:$F$15,5,FALSE)</f>
        <v>2</v>
      </c>
      <c r="L13" s="48">
        <f>VLOOKUP(C13,'Fixed Information'!$A$2:$F$15,6,FALSE)</f>
        <v>6</v>
      </c>
      <c r="M13" s="49">
        <f t="shared" si="2"/>
        <v>54.2</v>
      </c>
      <c r="N13" s="51">
        <f t="shared" si="0"/>
        <v>453</v>
      </c>
    </row>
    <row r="14" spans="1:21">
      <c r="C14" s="19">
        <v>2</v>
      </c>
      <c r="D14" s="20" t="str">
        <f>VLOOKUP(C14,'Fixed Information'!$A$2:$G$15,7,FALSE)</f>
        <v>#41</v>
      </c>
      <c r="E14" s="20" t="str">
        <f>VLOOKUP(C14,'Fixed Information'!$A$1:$H$15,8,FALSE)</f>
        <v>1/3</v>
      </c>
      <c r="F14" s="21">
        <v>6</v>
      </c>
      <c r="G14" s="22">
        <f>VLOOKUP(C14,'Fixed Information'!$A$2:$F$15,2,FALSE)</f>
        <v>16</v>
      </c>
      <c r="H14" s="22">
        <f>VLOOKUP(C14,'Fixed Information'!$A$2:$F$15,3,FALSE)</f>
        <v>2</v>
      </c>
      <c r="I14" s="23">
        <f>IFERROR(MAX(J15-G15-L15,G15+L15-J15,J15+J13+J12-K14-H14-L14-G14),0)</f>
        <v>16.600000000000001</v>
      </c>
      <c r="J14" s="22">
        <f>VLOOKUP(C14,'Fixed Information'!$A$2:$F$15,4,FALSE)</f>
        <v>13.6</v>
      </c>
      <c r="K14" s="22">
        <f>VLOOKUP(C14,'Fixed Information'!$A$2:$F$15,5,FALSE)</f>
        <v>2</v>
      </c>
      <c r="L14" s="22">
        <f>VLOOKUP(C14,'Fixed Information'!$A$2:$F$15,6,FALSE)</f>
        <v>4</v>
      </c>
      <c r="M14" s="23">
        <f t="shared" si="2"/>
        <v>54.2</v>
      </c>
      <c r="N14" s="24">
        <f t="shared" si="0"/>
        <v>453</v>
      </c>
    </row>
    <row r="15" spans="1:21" ht="15.75" thickBot="1">
      <c r="C15" s="25">
        <v>4</v>
      </c>
      <c r="D15" s="26" t="str">
        <f>VLOOKUP(C15,'Fixed Information'!$A$2:$G$15,7,FALSE)</f>
        <v>#10</v>
      </c>
      <c r="E15" s="26" t="str">
        <f>VLOOKUP(C15,'Fixed Information'!$A$1:$H$15,8,FALSE)</f>
        <v>2/4</v>
      </c>
      <c r="F15" s="27">
        <v>6</v>
      </c>
      <c r="G15" s="28">
        <f>VLOOKUP(C15,'Fixed Information'!$A$2:$F$15,2,FALSE)</f>
        <v>9.5</v>
      </c>
      <c r="H15" s="28">
        <f>VLOOKUP(C15,'Fixed Information'!$A$2:$F$15,3,FALSE)</f>
        <v>2</v>
      </c>
      <c r="I15" s="29">
        <f>IFERROR(MAX(J14-G14-L14,G14+L14-J14,J14+J13+J12-K15-H15-L15-G15),0)</f>
        <v>19.700000000000003</v>
      </c>
      <c r="J15" s="28">
        <f>VLOOKUP(C15,'Fixed Information'!$A$2:$F$15,4,FALSE)</f>
        <v>15</v>
      </c>
      <c r="K15" s="28">
        <f>VLOOKUP(C15,'Fixed Information'!$A$2:$F$15,5,FALSE)</f>
        <v>2</v>
      </c>
      <c r="L15" s="28">
        <f>VLOOKUP(C15,'Fixed Information'!$A$2:$F$15,6,FALSE)</f>
        <v>6</v>
      </c>
      <c r="M15" s="29">
        <f t="shared" si="2"/>
        <v>54.2</v>
      </c>
      <c r="N15" s="24">
        <f t="shared" si="0"/>
        <v>453</v>
      </c>
    </row>
    <row r="16" spans="1:21" ht="15.75" thickBot="1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30">
        <f>SUM(N2:N15)</f>
        <v>5212</v>
      </c>
    </row>
    <row r="18" spans="1:14" ht="15.75" thickBot="1"/>
    <row r="19" spans="1:14" ht="15.75" thickBot="1">
      <c r="A19" s="8" t="s">
        <v>51</v>
      </c>
      <c r="B19" s="10"/>
    </row>
    <row r="20" spans="1:14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32"/>
    </row>
    <row r="21" spans="1:14">
      <c r="A21" s="33" t="s">
        <v>40</v>
      </c>
      <c r="B21" s="34" t="s">
        <v>46</v>
      </c>
      <c r="C21" s="34"/>
      <c r="D21" s="34"/>
      <c r="E21" s="3"/>
      <c r="F21" s="3"/>
      <c r="G21" s="3"/>
      <c r="H21" s="3"/>
      <c r="I21" s="3"/>
      <c r="J21" s="3"/>
      <c r="K21" s="3"/>
      <c r="L21" s="3"/>
      <c r="M21" s="3"/>
      <c r="N21" s="35"/>
    </row>
    <row r="22" spans="1:14">
      <c r="A22" s="33" t="s">
        <v>42</v>
      </c>
      <c r="B22" s="36" t="s">
        <v>43</v>
      </c>
      <c r="C22" s="36"/>
      <c r="D22" s="36"/>
      <c r="E22" s="3"/>
      <c r="F22" s="3"/>
      <c r="G22" s="3"/>
      <c r="H22" s="3"/>
      <c r="I22" s="3"/>
      <c r="J22" s="3"/>
      <c r="K22" s="3"/>
      <c r="L22" s="3"/>
      <c r="M22" s="3"/>
      <c r="N22" s="35"/>
    </row>
    <row r="23" spans="1:14">
      <c r="A23" s="33" t="s">
        <v>44</v>
      </c>
      <c r="B23" s="37" t="s">
        <v>41</v>
      </c>
      <c r="C23" s="37"/>
      <c r="D23" s="37"/>
      <c r="E23" s="3"/>
      <c r="F23" s="3"/>
      <c r="G23" s="3"/>
      <c r="H23" s="3"/>
      <c r="I23" s="3"/>
      <c r="J23" s="3"/>
      <c r="K23" s="3"/>
      <c r="L23" s="3"/>
      <c r="M23" s="3"/>
      <c r="N23" s="35"/>
    </row>
    <row r="24" spans="1:14">
      <c r="A24" s="3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5"/>
    </row>
    <row r="25" spans="1:14">
      <c r="A25" s="33" t="s">
        <v>45</v>
      </c>
      <c r="B25" s="3" t="s">
        <v>38</v>
      </c>
      <c r="C25" s="3"/>
      <c r="D25" s="3"/>
      <c r="E25" s="3" t="s">
        <v>53</v>
      </c>
      <c r="F25" s="3"/>
      <c r="G25" s="3"/>
      <c r="H25" s="3"/>
      <c r="I25" s="3"/>
      <c r="J25" s="3"/>
      <c r="K25" s="3"/>
      <c r="L25" s="3"/>
      <c r="M25" s="3"/>
      <c r="N25" s="35"/>
    </row>
    <row r="26" spans="1:14">
      <c r="A26" s="33"/>
      <c r="B26" s="3" t="s">
        <v>48</v>
      </c>
      <c r="C26" s="3"/>
      <c r="D26" s="3"/>
      <c r="E26" s="3">
        <f>A2</f>
        <v>24600</v>
      </c>
      <c r="F26" s="3"/>
      <c r="G26" s="3"/>
      <c r="H26" s="3"/>
      <c r="I26" s="3"/>
      <c r="J26" s="3"/>
      <c r="K26" s="3"/>
      <c r="L26" s="3"/>
      <c r="M26" s="3"/>
      <c r="N26" s="35"/>
    </row>
    <row r="27" spans="1:14">
      <c r="A27" s="3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5"/>
    </row>
    <row r="28" spans="1:14">
      <c r="A28" s="33" t="s">
        <v>47</v>
      </c>
      <c r="B28" s="3" t="s">
        <v>49</v>
      </c>
      <c r="C28" s="3"/>
      <c r="D28" s="3"/>
      <c r="E28" s="3"/>
      <c r="F28" s="3"/>
      <c r="G28" s="3"/>
      <c r="H28" s="3"/>
      <c r="I28" s="38">
        <v>0.01</v>
      </c>
      <c r="J28" s="3"/>
      <c r="K28" s="3">
        <f>ROUNDDOWN(Q5*(100%-I28),0)</f>
        <v>1033</v>
      </c>
      <c r="L28" s="3"/>
      <c r="M28" s="3"/>
      <c r="N28" s="35"/>
    </row>
    <row r="29" spans="1:14">
      <c r="A29" s="33"/>
      <c r="B29" s="3" t="s">
        <v>50</v>
      </c>
      <c r="C29" s="3"/>
      <c r="D29" s="3"/>
      <c r="E29" s="3"/>
      <c r="F29" s="3"/>
      <c r="G29" s="3"/>
      <c r="H29" s="3"/>
      <c r="I29" s="39">
        <v>0.25</v>
      </c>
      <c r="J29" s="3"/>
      <c r="K29" s="3"/>
      <c r="L29" s="3"/>
      <c r="M29" s="3"/>
      <c r="N29" s="35"/>
    </row>
    <row r="30" spans="1:14" ht="15.75" thickBot="1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tabSelected="1" zoomScale="85" zoomScaleNormal="85" workbookViewId="0">
      <selection activeCell="N47" sqref="A1:N47"/>
    </sheetView>
  </sheetViews>
  <sheetFormatPr defaultRowHeight="15"/>
  <cols>
    <col min="1" max="1" width="16.140625" bestFit="1" customWidth="1"/>
    <col min="7" max="8" width="15.5703125" customWidth="1"/>
    <col min="9" max="9" width="20.5703125" bestFit="1" customWidth="1"/>
    <col min="10" max="12" width="15.5703125" customWidth="1"/>
    <col min="13" max="13" width="10.5703125" bestFit="1" customWidth="1"/>
    <col min="14" max="14" width="18.85546875" bestFit="1" customWidth="1"/>
    <col min="17" max="17" width="23.42578125" bestFit="1" customWidth="1"/>
  </cols>
  <sheetData>
    <row r="1" spans="1:14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</row>
    <row r="9" spans="1:14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 spans="1:14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4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</row>
    <row r="12" spans="1:1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4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</row>
    <row r="14" spans="1: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</row>
    <row r="15" spans="1:14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</row>
    <row r="16" spans="1:14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</row>
    <row r="17" spans="1:21" ht="15.75" thickBo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</row>
    <row r="18" spans="1:21" ht="15.75" thickBot="1">
      <c r="A18" s="64" t="s">
        <v>39</v>
      </c>
      <c r="B18" s="62"/>
      <c r="C18" s="43" t="s">
        <v>34</v>
      </c>
      <c r="D18" s="44" t="s">
        <v>37</v>
      </c>
      <c r="E18" s="44" t="s">
        <v>36</v>
      </c>
      <c r="F18" s="44" t="s">
        <v>32</v>
      </c>
      <c r="G18" s="44" t="s">
        <v>6</v>
      </c>
      <c r="H18" s="44" t="s">
        <v>7</v>
      </c>
      <c r="I18" s="44" t="s">
        <v>33</v>
      </c>
      <c r="J18" s="44" t="s">
        <v>12</v>
      </c>
      <c r="K18" s="44" t="s">
        <v>7</v>
      </c>
      <c r="L18" s="44" t="s">
        <v>13</v>
      </c>
      <c r="M18" s="44" t="s">
        <v>14</v>
      </c>
      <c r="N18" s="45" t="s">
        <v>17</v>
      </c>
      <c r="P18" s="17"/>
      <c r="Q18" s="17" t="s">
        <v>35</v>
      </c>
      <c r="R18" s="31">
        <f>I46</f>
        <v>0.3</v>
      </c>
    </row>
    <row r="19" spans="1:21">
      <c r="A19" s="64">
        <f>410*60</f>
        <v>24600</v>
      </c>
      <c r="B19" s="64"/>
      <c r="C19" s="52">
        <v>4</v>
      </c>
      <c r="D19" s="53" t="str">
        <f>VLOOKUP(C19,'Fixed Information'!$A$2:$G$15,7,FALSE)</f>
        <v>#10</v>
      </c>
      <c r="E19" s="53" t="str">
        <f>VLOOKUP(C19,'Fixed Information'!$A$1:$H$15,8,FALSE)</f>
        <v>2/4</v>
      </c>
      <c r="F19" s="54">
        <v>0</v>
      </c>
      <c r="G19" s="55">
        <f>VLOOKUP(C19,'Fixed Information'!$A$2:$F$15,2,FALSE)</f>
        <v>9.5</v>
      </c>
      <c r="H19" s="55">
        <f>VLOOKUP(C19,'Fixed Information'!$A$2:$F$15,3,FALSE)</f>
        <v>2</v>
      </c>
      <c r="I19" s="56">
        <v>0</v>
      </c>
      <c r="J19" s="55">
        <f>VLOOKUP(C19,'Fixed Information'!$A$2:$F$15,4,FALSE)</f>
        <v>15</v>
      </c>
      <c r="K19" s="55">
        <f>VLOOKUP(C19,'Fixed Information'!$A$2:$F$15,5,FALSE)</f>
        <v>2</v>
      </c>
      <c r="L19" s="55">
        <f>VLOOKUP(C19,'Fixed Information'!$A$2:$F$15,6,FALSE)</f>
        <v>6</v>
      </c>
      <c r="M19" s="56">
        <f>SUM(G19:L19)</f>
        <v>34.5</v>
      </c>
      <c r="N19" s="57">
        <f>IF(J19=0,0,ROUNDDOWN(IFERROR($A$19/M19*F19/F19,0),0))</f>
        <v>0</v>
      </c>
      <c r="P19" s="18" t="s">
        <v>0</v>
      </c>
      <c r="Q19" s="17">
        <f>SUMIF($E$19:$E$32,P19,$N$19:$N$32)</f>
        <v>1000</v>
      </c>
      <c r="R19">
        <f>ROUNDDOWN(Q19*$I$46,0)</f>
        <v>300</v>
      </c>
    </row>
    <row r="20" spans="1:21">
      <c r="A20" s="64"/>
      <c r="B20" s="64"/>
      <c r="C20" s="50">
        <v>1</v>
      </c>
      <c r="D20" s="46" t="str">
        <f>VLOOKUP(C20,'Fixed Information'!$A$2:$G$15,7,FALSE)</f>
        <v>#40</v>
      </c>
      <c r="E20" s="46" t="str">
        <f>VLOOKUP(C20,'Fixed Information'!$A$1:$H$15,8,FALSE)</f>
        <v>1/3</v>
      </c>
      <c r="F20" s="47">
        <v>0</v>
      </c>
      <c r="G20" s="48">
        <f>VLOOKUP(C20,'Fixed Information'!$A$2:$F$15,2,FALSE)</f>
        <v>16</v>
      </c>
      <c r="H20" s="48">
        <f>VLOOKUP(C20,'Fixed Information'!$A$2:$F$15,3,FALSE)</f>
        <v>2</v>
      </c>
      <c r="I20" s="49">
        <v>0</v>
      </c>
      <c r="J20" s="48">
        <f>VLOOKUP(C20,'Fixed Information'!$A$2:$F$15,4,FALSE)</f>
        <v>13.6</v>
      </c>
      <c r="K20" s="48">
        <f>VLOOKUP(C20,'Fixed Information'!$A$2:$F$15,5,FALSE)</f>
        <v>2</v>
      </c>
      <c r="L20" s="48">
        <f>VLOOKUP(C20,'Fixed Information'!$A$2:$F$15,6,FALSE)</f>
        <v>4</v>
      </c>
      <c r="M20" s="49">
        <f>SUM(G20:L20)</f>
        <v>37.6</v>
      </c>
      <c r="N20" s="51">
        <f t="shared" ref="N20:N32" si="0">IF(J20=0,0,ROUNDDOWN(IFERROR($A$19/M20*F20/F20,0),0))</f>
        <v>0</v>
      </c>
      <c r="P20" s="18" t="s">
        <v>3</v>
      </c>
      <c r="Q20" s="17">
        <f t="shared" ref="Q20:Q23" si="1">SUMIF($E$19:$E$32,P20,$N$19:$N$32)</f>
        <v>910</v>
      </c>
      <c r="R20">
        <f>ROUNDDOWN(Q20*$I$46,0)</f>
        <v>273</v>
      </c>
      <c r="S20">
        <f>ABS(Q19-Q20)</f>
        <v>90</v>
      </c>
    </row>
    <row r="21" spans="1:21">
      <c r="A21" s="64"/>
      <c r="B21" s="64"/>
      <c r="C21" s="19">
        <v>3</v>
      </c>
      <c r="D21" s="20" t="str">
        <f>VLOOKUP(C21,'Fixed Information'!$A$2:$G$15,7,FALSE)</f>
        <v>#42</v>
      </c>
      <c r="E21" s="20" t="str">
        <f>VLOOKUP(C21,'Fixed Information'!$A$1:$H$15,8,FALSE)</f>
        <v>1/3</v>
      </c>
      <c r="F21" s="21">
        <v>1</v>
      </c>
      <c r="G21" s="22">
        <f>VLOOKUP(C21,'Fixed Information'!$A$2:$F$15,2,FALSE)</f>
        <v>16</v>
      </c>
      <c r="H21" s="22">
        <f>VLOOKUP(C21,'Fixed Information'!$A$2:$F$15,3,FALSE)</f>
        <v>2</v>
      </c>
      <c r="I21" s="23">
        <f>IFERROR(MAX(J22-G22-L22,G22+L22-J22,J22+J23+J24-K21-H21-L21-G21),0)</f>
        <v>11.600000000000001</v>
      </c>
      <c r="J21" s="22">
        <f>VLOOKUP(C21,'Fixed Information'!$A$2:$F$15,4,FALSE)</f>
        <v>13.6</v>
      </c>
      <c r="K21" s="22">
        <f>VLOOKUP(C21,'Fixed Information'!$A$2:$F$15,5,FALSE)</f>
        <v>2</v>
      </c>
      <c r="L21" s="22">
        <f>VLOOKUP(C21,'Fixed Information'!$A$2:$F$15,6,FALSE)</f>
        <v>4</v>
      </c>
      <c r="M21" s="23">
        <f>SUM(G21:L21)</f>
        <v>49.2</v>
      </c>
      <c r="N21" s="24">
        <f t="shared" si="0"/>
        <v>500</v>
      </c>
      <c r="P21" s="18" t="s">
        <v>4</v>
      </c>
      <c r="Q21" s="17">
        <f t="shared" si="1"/>
        <v>1266</v>
      </c>
      <c r="R21">
        <f>ROUNDDOWN(Q21*$I$46,0)</f>
        <v>379</v>
      </c>
      <c r="S21">
        <f>(ABS(Q19-Q21))</f>
        <v>266</v>
      </c>
      <c r="T21">
        <f>ABS(Q20-Q21)</f>
        <v>356</v>
      </c>
    </row>
    <row r="22" spans="1:21">
      <c r="A22" s="64"/>
      <c r="B22" s="64"/>
      <c r="C22" s="50">
        <v>14</v>
      </c>
      <c r="D22" s="46" t="str">
        <f>VLOOKUP(C22,'Fixed Information'!$A$2:$G$15,7,FALSE)</f>
        <v>#32</v>
      </c>
      <c r="E22" s="46" t="str">
        <f>VLOOKUP(C22,'Fixed Information'!$A$1:$H$15,8,FALSE)</f>
        <v>6/R-2</v>
      </c>
      <c r="F22" s="47">
        <v>1</v>
      </c>
      <c r="G22" s="48">
        <f>VLOOKUP(C22,'Fixed Information'!$A$2:$F$15,2,FALSE)</f>
        <v>8</v>
      </c>
      <c r="H22" s="48">
        <f>VLOOKUP(C22,'Fixed Information'!$A$2:$F$15,3,FALSE)</f>
        <v>2</v>
      </c>
      <c r="I22" s="49">
        <f>IFERROR(MAX(J21-G21-L21,G21+L21-J21,J21+J23+J24-K22-H22-L22-G22),0)</f>
        <v>24.200000000000003</v>
      </c>
      <c r="J22" s="48">
        <f>VLOOKUP(C22,'Fixed Information'!$A$2:$F$15,4,FALSE)</f>
        <v>11</v>
      </c>
      <c r="K22" s="48">
        <f>VLOOKUP(C22,'Fixed Information'!$A$2:$F$15,5,FALSE)</f>
        <v>2</v>
      </c>
      <c r="L22" s="48">
        <f>VLOOKUP(C22,'Fixed Information'!$A$2:$F$15,6,FALSE)</f>
        <v>2</v>
      </c>
      <c r="M22" s="49">
        <f t="shared" ref="M22:M32" si="2">SUM(G22:L22)</f>
        <v>49.2</v>
      </c>
      <c r="N22" s="51">
        <f t="shared" si="0"/>
        <v>500</v>
      </c>
      <c r="P22" s="18" t="s">
        <v>15</v>
      </c>
      <c r="Q22" s="17">
        <f t="shared" si="1"/>
        <v>1068</v>
      </c>
    </row>
    <row r="23" spans="1:21">
      <c r="A23" s="64"/>
      <c r="B23" s="64"/>
      <c r="C23" s="19">
        <v>13</v>
      </c>
      <c r="D23" s="20" t="str">
        <f>VLOOKUP(C23,'Fixed Information'!$A$2:$G$15,7,FALSE)</f>
        <v>#31</v>
      </c>
      <c r="E23" s="20" t="str">
        <f>VLOOKUP(C23,'Fixed Information'!$A$1:$H$15,8,FALSE)</f>
        <v>6/R-2</v>
      </c>
      <c r="F23" s="21">
        <v>2</v>
      </c>
      <c r="G23" s="22">
        <f>VLOOKUP(C23,'Fixed Information'!$A$2:$F$15,2,FALSE)</f>
        <v>8</v>
      </c>
      <c r="H23" s="22">
        <f>VLOOKUP(C23,'Fixed Information'!$A$2:$F$15,3,FALSE)</f>
        <v>2</v>
      </c>
      <c r="I23" s="23">
        <f>IFERROR(MAX(J24-G24-L24,G24+L24-J24,J21+J22+J24-K23-H23-L23-G23),0)</f>
        <v>24.200000000000003</v>
      </c>
      <c r="J23" s="22">
        <f>VLOOKUP(C23,'Fixed Information'!$A$2:$F$15,4,FALSE)</f>
        <v>11</v>
      </c>
      <c r="K23" s="22">
        <f>VLOOKUP(C23,'Fixed Information'!$A$2:$F$15,5,FALSE)</f>
        <v>2</v>
      </c>
      <c r="L23" s="22">
        <f>VLOOKUP(C23,'Fixed Information'!$A$2:$F$15,6,FALSE)</f>
        <v>2</v>
      </c>
      <c r="M23" s="23">
        <f t="shared" si="2"/>
        <v>49.2</v>
      </c>
      <c r="N23" s="24">
        <f t="shared" si="0"/>
        <v>500</v>
      </c>
      <c r="P23" s="18" t="s">
        <v>16</v>
      </c>
      <c r="Q23" s="17">
        <f t="shared" si="1"/>
        <v>1000</v>
      </c>
      <c r="R23">
        <f>ROUNDDOWN(Q23*$I$46,0)</f>
        <v>300</v>
      </c>
      <c r="S23">
        <f>ABS(Q19-Q23)</f>
        <v>0</v>
      </c>
      <c r="T23">
        <f>ABS(Q20-Q23)</f>
        <v>90</v>
      </c>
      <c r="U23">
        <f>ABS(Q21-Q23)</f>
        <v>266</v>
      </c>
    </row>
    <row r="24" spans="1:21">
      <c r="A24" s="64"/>
      <c r="B24" s="64"/>
      <c r="C24" s="50">
        <v>2</v>
      </c>
      <c r="D24" s="46" t="str">
        <f>VLOOKUP(C24,'Fixed Information'!$A$2:$G$15,7,FALSE)</f>
        <v>#41</v>
      </c>
      <c r="E24" s="46" t="str">
        <f>VLOOKUP(C24,'Fixed Information'!$A$1:$H$15,8,FALSE)</f>
        <v>1/3</v>
      </c>
      <c r="F24" s="47">
        <v>2</v>
      </c>
      <c r="G24" s="48">
        <f>VLOOKUP(C24,'Fixed Information'!$A$2:$F$15,2,FALSE)</f>
        <v>16</v>
      </c>
      <c r="H24" s="48">
        <f>VLOOKUP(C24,'Fixed Information'!$A$2:$F$15,3,FALSE)</f>
        <v>2</v>
      </c>
      <c r="I24" s="49">
        <f>IFERROR(MAX(J23-G23-L23,G23+L23-J23,J23+J22+J21-K24-H24-L24-G24),0)</f>
        <v>11.600000000000001</v>
      </c>
      <c r="J24" s="48">
        <f>VLOOKUP(C24,'Fixed Information'!$A$2:$F$15,4,FALSE)</f>
        <v>13.6</v>
      </c>
      <c r="K24" s="48">
        <f>VLOOKUP(C24,'Fixed Information'!$A$2:$F$15,5,FALSE)</f>
        <v>2</v>
      </c>
      <c r="L24" s="48">
        <f>VLOOKUP(C24,'Fixed Information'!$A$2:$F$15,6,FALSE)</f>
        <v>4</v>
      </c>
      <c r="M24" s="49">
        <f t="shared" si="2"/>
        <v>49.2</v>
      </c>
      <c r="N24" s="51">
        <f t="shared" si="0"/>
        <v>500</v>
      </c>
      <c r="P24" s="17"/>
      <c r="Q24" s="17"/>
    </row>
    <row r="25" spans="1:21">
      <c r="A25" s="64"/>
      <c r="B25" s="64"/>
      <c r="C25" s="19">
        <v>7</v>
      </c>
      <c r="D25" s="20" t="str">
        <f>VLOOKUP(C25,'Fixed Information'!$A$2:$G$15,7,FALSE)</f>
        <v>#50</v>
      </c>
      <c r="E25" s="20" t="str">
        <f>VLOOKUP(C25,'Fixed Information'!$A$1:$H$15,8,FALSE)</f>
        <v>5/7</v>
      </c>
      <c r="F25" s="21">
        <v>3</v>
      </c>
      <c r="G25" s="22">
        <f>VLOOKUP(C25,'Fixed Information'!$A$2:$F$15,2,FALSE)</f>
        <v>7</v>
      </c>
      <c r="H25" s="22">
        <f>VLOOKUP(C25,'Fixed Information'!$A$2:$F$15,3,FALSE)</f>
        <v>2</v>
      </c>
      <c r="I25" s="23">
        <f>IFERROR(MAX(J26-G26-L26,G26+L26-J26,J26+J27+J28-K25-H25-L25-G25),0)</f>
        <v>25</v>
      </c>
      <c r="J25" s="22">
        <f>VLOOKUP(C25,'Fixed Information'!$A$2:$F$15,4,FALSE)</f>
        <v>12</v>
      </c>
      <c r="K25" s="22">
        <f>VLOOKUP(C25,'Fixed Information'!$A$2:$F$15,5,FALSE)</f>
        <v>2</v>
      </c>
      <c r="L25" s="22">
        <f>VLOOKUP(C25,'Fixed Information'!$A$2:$F$15,6,FALSE)</f>
        <v>6</v>
      </c>
      <c r="M25" s="23">
        <f t="shared" si="2"/>
        <v>54</v>
      </c>
      <c r="N25" s="24">
        <f t="shared" si="0"/>
        <v>455</v>
      </c>
    </row>
    <row r="26" spans="1:21">
      <c r="A26" s="64"/>
      <c r="B26" s="64"/>
      <c r="C26" s="50">
        <v>6</v>
      </c>
      <c r="D26" s="46" t="str">
        <f>VLOOKUP(C26,'Fixed Information'!$A$2:$G$15,7,FALSE)</f>
        <v>#12</v>
      </c>
      <c r="E26" s="46" t="str">
        <f>VLOOKUP(C26,'Fixed Information'!$A$1:$H$15,8,FALSE)</f>
        <v>2/4</v>
      </c>
      <c r="F26" s="47">
        <v>3</v>
      </c>
      <c r="G26" s="48">
        <f>VLOOKUP(C26,'Fixed Information'!$A$2:$F$15,2,FALSE)</f>
        <v>9.5</v>
      </c>
      <c r="H26" s="48">
        <f>VLOOKUP(C26,'Fixed Information'!$A$2:$F$15,3,FALSE)</f>
        <v>2</v>
      </c>
      <c r="I26" s="49">
        <f>IFERROR(MAX(J25-G25-L25,G25+L25-J25,J25+J27+J28-K26-H26-L26-G26),0)</f>
        <v>19.5</v>
      </c>
      <c r="J26" s="48">
        <f>VLOOKUP(C26,'Fixed Information'!$A$2:$F$15,4,FALSE)</f>
        <v>15</v>
      </c>
      <c r="K26" s="48">
        <f>VLOOKUP(C26,'Fixed Information'!$A$2:$F$15,5,FALSE)</f>
        <v>2</v>
      </c>
      <c r="L26" s="48">
        <f>VLOOKUP(C26,'Fixed Information'!$A$2:$F$15,6,FALSE)</f>
        <v>6</v>
      </c>
      <c r="M26" s="49">
        <f>SUM(G26:L26)</f>
        <v>54</v>
      </c>
      <c r="N26" s="51">
        <f t="shared" si="0"/>
        <v>455</v>
      </c>
    </row>
    <row r="27" spans="1:21">
      <c r="A27" s="64"/>
      <c r="B27" s="64"/>
      <c r="C27" s="19">
        <v>8</v>
      </c>
      <c r="D27" s="20" t="str">
        <f>VLOOKUP(C27,'Fixed Information'!$A$2:$G$15,7,FALSE)</f>
        <v>#51</v>
      </c>
      <c r="E27" s="20" t="str">
        <f>VLOOKUP(C27,'Fixed Information'!$A$1:$H$15,8,FALSE)</f>
        <v>5/7</v>
      </c>
      <c r="F27" s="21">
        <v>4</v>
      </c>
      <c r="G27" s="22">
        <f>VLOOKUP(C27,'Fixed Information'!$A$2:$F$15,2,FALSE)</f>
        <v>7</v>
      </c>
      <c r="H27" s="22">
        <f>VLOOKUP(C27,'Fixed Information'!$A$2:$F$15,3,FALSE)</f>
        <v>2</v>
      </c>
      <c r="I27" s="23">
        <f>IFERROR(MAX(J28-G28-L28,G28+L28-J28,J28+J26+J25-K27-H27-L27-G27),0)</f>
        <v>25</v>
      </c>
      <c r="J27" s="22">
        <f>VLOOKUP(C27,'Fixed Information'!$A$2:$F$15,4,FALSE)</f>
        <v>12</v>
      </c>
      <c r="K27" s="22">
        <f>VLOOKUP(C27,'Fixed Information'!$A$2:$F$15,5,FALSE)</f>
        <v>2</v>
      </c>
      <c r="L27" s="22">
        <f>VLOOKUP(C27,'Fixed Information'!$A$2:$F$15,6,FALSE)</f>
        <v>6</v>
      </c>
      <c r="M27" s="23">
        <f t="shared" si="2"/>
        <v>54</v>
      </c>
      <c r="N27" s="24">
        <f t="shared" si="0"/>
        <v>455</v>
      </c>
    </row>
    <row r="28" spans="1:21">
      <c r="A28" s="64"/>
      <c r="B28" s="64"/>
      <c r="C28" s="50">
        <v>5</v>
      </c>
      <c r="D28" s="46" t="str">
        <f>VLOOKUP(C28,'Fixed Information'!$A$2:$G$15,7,FALSE)</f>
        <v>#11</v>
      </c>
      <c r="E28" s="46" t="str">
        <f>VLOOKUP(C28,'Fixed Information'!$A$1:$H$15,8,FALSE)</f>
        <v>2/4</v>
      </c>
      <c r="F28" s="47">
        <v>4</v>
      </c>
      <c r="G28" s="48">
        <f>VLOOKUP(C28,'Fixed Information'!$A$2:$F$15,2,FALSE)</f>
        <v>9.5</v>
      </c>
      <c r="H28" s="48">
        <f>VLOOKUP(C28,'Fixed Information'!$A$2:$F$15,3,FALSE)</f>
        <v>2</v>
      </c>
      <c r="I28" s="49">
        <f>IFERROR(MAX(J27-G27-L27,G27+L27-J27,J27+J26+J25-K28-H28-L28-G28),0)</f>
        <v>19.5</v>
      </c>
      <c r="J28" s="48">
        <f>VLOOKUP(C28,'Fixed Information'!$A$2:$F$15,4,FALSE)</f>
        <v>15</v>
      </c>
      <c r="K28" s="48">
        <f>VLOOKUP(C28,'Fixed Information'!$A$2:$F$15,5,FALSE)</f>
        <v>2</v>
      </c>
      <c r="L28" s="48">
        <f>VLOOKUP(C28,'Fixed Information'!$A$2:$F$15,6,FALSE)</f>
        <v>6</v>
      </c>
      <c r="M28" s="49">
        <f t="shared" si="2"/>
        <v>54</v>
      </c>
      <c r="N28" s="51">
        <f t="shared" si="0"/>
        <v>455</v>
      </c>
    </row>
    <row r="29" spans="1:21">
      <c r="A29" s="64"/>
      <c r="B29" s="64"/>
      <c r="C29" s="19">
        <v>11</v>
      </c>
      <c r="D29" s="20" t="str">
        <f>VLOOKUP(C29,'Fixed Information'!$A$2:$G$15,7,FALSE)</f>
        <v>#21</v>
      </c>
      <c r="E29" s="20" t="str">
        <f>VLOOKUP(C29,'Fixed Information'!$A$1:$H$15,8,FALSE)</f>
        <v>6/R-1</v>
      </c>
      <c r="F29" s="21">
        <v>5</v>
      </c>
      <c r="G29" s="22">
        <f>VLOOKUP(C29,'Fixed Information'!$A$2:$F$15,2,FALSE)</f>
        <v>12</v>
      </c>
      <c r="H29" s="22">
        <f>VLOOKUP(C29,'Fixed Information'!$A$2:$F$15,3,FALSE)</f>
        <v>2</v>
      </c>
      <c r="I29" s="23">
        <f>IFERROR(MAX(J30-G30-L30,G30+L30-J30,J30+J31+J32-K29-H29-L29-G29),0)</f>
        <v>31</v>
      </c>
      <c r="J29" s="22">
        <f>VLOOKUP(C29,'Fixed Information'!$A$2:$F$15,4,FALSE)</f>
        <v>19</v>
      </c>
      <c r="K29" s="22">
        <f>VLOOKUP(C29,'Fixed Information'!$A$2:$F$15,5,FALSE)</f>
        <v>2</v>
      </c>
      <c r="L29" s="22">
        <f>VLOOKUP(C29,'Fixed Information'!$A$2:$F$15,6,FALSE)</f>
        <v>3</v>
      </c>
      <c r="M29" s="23">
        <f t="shared" si="2"/>
        <v>69</v>
      </c>
      <c r="N29" s="24">
        <f t="shared" si="0"/>
        <v>356</v>
      </c>
    </row>
    <row r="30" spans="1:21">
      <c r="A30" s="64"/>
      <c r="B30" s="64"/>
      <c r="C30" s="50">
        <v>10</v>
      </c>
      <c r="D30" s="46" t="str">
        <f>VLOOKUP(C30,'Fixed Information'!$A$2:$G$15,7,FALSE)</f>
        <v>#20</v>
      </c>
      <c r="E30" s="46" t="str">
        <f>VLOOKUP(C30,'Fixed Information'!$A$1:$H$15,8,FALSE)</f>
        <v>6/R-1</v>
      </c>
      <c r="F30" s="47">
        <v>5</v>
      </c>
      <c r="G30" s="48">
        <f>VLOOKUP(C30,'Fixed Information'!$A$2:$F$15,2,FALSE)</f>
        <v>12</v>
      </c>
      <c r="H30" s="48">
        <f>VLOOKUP(C30,'Fixed Information'!$A$2:$F$15,3,FALSE)</f>
        <v>2</v>
      </c>
      <c r="I30" s="49">
        <f>IFERROR(MAX(J29-G29-L29,G29+L29-J29,J29+J31+J32-K30-H30-L30-G30),0)</f>
        <v>31</v>
      </c>
      <c r="J30" s="48">
        <f>VLOOKUP(C30,'Fixed Information'!$A$2:$F$15,4,FALSE)</f>
        <v>19</v>
      </c>
      <c r="K30" s="48">
        <f>VLOOKUP(C30,'Fixed Information'!$A$2:$F$15,5,FALSE)</f>
        <v>2</v>
      </c>
      <c r="L30" s="48">
        <f>VLOOKUP(C30,'Fixed Information'!$A$2:$F$15,6,FALSE)</f>
        <v>3</v>
      </c>
      <c r="M30" s="49">
        <f t="shared" si="2"/>
        <v>69</v>
      </c>
      <c r="N30" s="51">
        <f t="shared" si="0"/>
        <v>356</v>
      </c>
    </row>
    <row r="31" spans="1:21">
      <c r="A31" s="64"/>
      <c r="B31" s="64"/>
      <c r="C31" s="19">
        <v>9</v>
      </c>
      <c r="D31" s="20" t="str">
        <f>VLOOKUP(C31,'Fixed Information'!$A$2:$G$15,7,FALSE)</f>
        <v>#52</v>
      </c>
      <c r="E31" s="20" t="str">
        <f>VLOOKUP(C31,'Fixed Information'!$A$1:$H$15,8,FALSE)</f>
        <v>5/7</v>
      </c>
      <c r="F31" s="21">
        <v>6</v>
      </c>
      <c r="G31" s="22">
        <f>VLOOKUP(C31,'Fixed Information'!$A$2:$F$15,2,FALSE)</f>
        <v>7</v>
      </c>
      <c r="H31" s="22">
        <f>VLOOKUP(C31,'Fixed Information'!$A$2:$F$15,3,FALSE)</f>
        <v>2</v>
      </c>
      <c r="I31" s="23">
        <f>IFERROR(MAX(J32-G32-L32,G32+L32-J32,J32+J30+J29-K31-H31-L31-G31),0)</f>
        <v>40</v>
      </c>
      <c r="J31" s="22">
        <f>VLOOKUP(C31,'Fixed Information'!$A$2:$F$15,4,FALSE)</f>
        <v>12</v>
      </c>
      <c r="K31" s="22">
        <f>VLOOKUP(C31,'Fixed Information'!$A$2:$F$15,5,FALSE)</f>
        <v>2</v>
      </c>
      <c r="L31" s="22">
        <f>VLOOKUP(C31,'Fixed Information'!$A$2:$F$15,6,FALSE)</f>
        <v>6</v>
      </c>
      <c r="M31" s="23">
        <f t="shared" si="2"/>
        <v>69</v>
      </c>
      <c r="N31" s="24">
        <f t="shared" si="0"/>
        <v>356</v>
      </c>
    </row>
    <row r="32" spans="1:21" ht="15.75" thickBot="1">
      <c r="A32" s="64"/>
      <c r="B32" s="64"/>
      <c r="C32" s="25">
        <v>12</v>
      </c>
      <c r="D32" s="26" t="str">
        <f>VLOOKUP(C32,'Fixed Information'!$A$2:$G$15,7,FALSE)</f>
        <v>#22</v>
      </c>
      <c r="E32" s="26" t="str">
        <f>VLOOKUP(C32,'Fixed Information'!$A$1:$H$15,8,FALSE)</f>
        <v>6/R-1</v>
      </c>
      <c r="F32" s="27">
        <v>6</v>
      </c>
      <c r="G32" s="28">
        <f>VLOOKUP(C32,'Fixed Information'!$A$2:$F$15,2,FALSE)</f>
        <v>12</v>
      </c>
      <c r="H32" s="28">
        <f>VLOOKUP(C32,'Fixed Information'!$A$2:$F$15,3,FALSE)</f>
        <v>2</v>
      </c>
      <c r="I32" s="29">
        <f>IFERROR(MAX(J31-G31-L31,G31+L31-J31,J31+J30+J29-K32-H32-L32-G32),0)</f>
        <v>31</v>
      </c>
      <c r="J32" s="28">
        <f>VLOOKUP(C32,'Fixed Information'!$A$2:$F$15,4,FALSE)</f>
        <v>19</v>
      </c>
      <c r="K32" s="28">
        <f>VLOOKUP(C32,'Fixed Information'!$A$2:$F$15,5,FALSE)</f>
        <v>2</v>
      </c>
      <c r="L32" s="28">
        <f>VLOOKUP(C32,'Fixed Information'!$A$2:$F$15,6,FALSE)</f>
        <v>3</v>
      </c>
      <c r="M32" s="29">
        <f t="shared" si="2"/>
        <v>69</v>
      </c>
      <c r="N32" s="24">
        <f t="shared" si="0"/>
        <v>356</v>
      </c>
    </row>
    <row r="33" spans="1:14" ht="15.75" thickBot="1">
      <c r="A33" s="64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30">
        <f>SUM(N19:N32)</f>
        <v>5244</v>
      </c>
    </row>
    <row r="34" spans="1:1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</row>
    <row r="35" spans="1:14" ht="15.75" thickBo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</row>
    <row r="36" spans="1:14" ht="15.75" thickBot="1">
      <c r="A36" s="8" t="s">
        <v>51</v>
      </c>
      <c r="B36" s="10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1:14">
      <c r="A37" s="65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5"/>
    </row>
    <row r="38" spans="1:14">
      <c r="A38" s="66" t="s">
        <v>40</v>
      </c>
      <c r="B38" s="34" t="s">
        <v>46</v>
      </c>
      <c r="C38" s="34"/>
      <c r="D38" s="34"/>
      <c r="E38" s="68"/>
      <c r="F38" s="68"/>
      <c r="G38" s="68"/>
      <c r="H38" s="68"/>
      <c r="I38" s="68"/>
      <c r="J38" s="68"/>
      <c r="K38" s="68"/>
      <c r="L38" s="68"/>
      <c r="M38" s="68"/>
      <c r="N38" s="69"/>
    </row>
    <row r="39" spans="1:14">
      <c r="A39" s="66" t="s">
        <v>42</v>
      </c>
      <c r="B39" s="36" t="s">
        <v>43</v>
      </c>
      <c r="C39" s="36"/>
      <c r="D39" s="36"/>
      <c r="E39" s="68"/>
      <c r="F39" s="68"/>
      <c r="G39" s="68"/>
      <c r="H39" s="68"/>
      <c r="I39" s="68"/>
      <c r="J39" s="68"/>
      <c r="K39" s="68"/>
      <c r="L39" s="68"/>
      <c r="M39" s="68"/>
      <c r="N39" s="69"/>
    </row>
    <row r="40" spans="1:14">
      <c r="A40" s="66" t="s">
        <v>44</v>
      </c>
      <c r="B40" s="37" t="s">
        <v>41</v>
      </c>
      <c r="C40" s="37"/>
      <c r="D40" s="37"/>
      <c r="E40" s="68"/>
      <c r="F40" s="68"/>
      <c r="G40" s="68"/>
      <c r="H40" s="68"/>
      <c r="I40" s="68"/>
      <c r="J40" s="68"/>
      <c r="K40" s="68"/>
      <c r="L40" s="68"/>
      <c r="M40" s="68"/>
      <c r="N40" s="69"/>
    </row>
    <row r="41" spans="1:14">
      <c r="A41" s="66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9"/>
    </row>
    <row r="42" spans="1:14">
      <c r="A42" s="66" t="s">
        <v>45</v>
      </c>
      <c r="B42" s="68" t="s">
        <v>38</v>
      </c>
      <c r="C42" s="68"/>
      <c r="D42" s="68"/>
      <c r="E42" s="68" t="s">
        <v>53</v>
      </c>
      <c r="F42" s="68"/>
      <c r="G42" s="68"/>
      <c r="H42" s="68"/>
      <c r="I42" s="68"/>
      <c r="J42" s="68"/>
      <c r="K42" s="68"/>
      <c r="L42" s="68"/>
      <c r="M42" s="68"/>
      <c r="N42" s="69"/>
    </row>
    <row r="43" spans="1:14">
      <c r="A43" s="66"/>
      <c r="B43" s="68" t="s">
        <v>48</v>
      </c>
      <c r="C43" s="68"/>
      <c r="D43" s="68"/>
      <c r="E43" s="68">
        <f>A19</f>
        <v>24600</v>
      </c>
      <c r="F43" s="68"/>
      <c r="G43" s="68"/>
      <c r="H43" s="68"/>
      <c r="I43" s="68"/>
      <c r="J43" s="68"/>
      <c r="K43" s="68"/>
      <c r="L43" s="68"/>
      <c r="M43" s="68"/>
      <c r="N43" s="69"/>
    </row>
    <row r="44" spans="1:14">
      <c r="A44" s="66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9"/>
    </row>
    <row r="45" spans="1:14">
      <c r="A45" s="66" t="s">
        <v>47</v>
      </c>
      <c r="B45" s="68" t="s">
        <v>49</v>
      </c>
      <c r="C45" s="68"/>
      <c r="D45" s="68"/>
      <c r="E45" s="68"/>
      <c r="F45" s="68"/>
      <c r="G45" s="68"/>
      <c r="H45" s="68"/>
      <c r="I45" s="70">
        <v>0.01</v>
      </c>
      <c r="J45" s="68"/>
      <c r="K45" s="68">
        <f>ROUNDDOWN(Q22*(100%-I45),0)</f>
        <v>1057</v>
      </c>
      <c r="L45" s="68"/>
      <c r="M45" s="68"/>
      <c r="N45" s="69"/>
    </row>
    <row r="46" spans="1:14">
      <c r="A46" s="66"/>
      <c r="B46" s="68" t="s">
        <v>50</v>
      </c>
      <c r="C46" s="68"/>
      <c r="D46" s="68"/>
      <c r="E46" s="68"/>
      <c r="F46" s="68"/>
      <c r="G46" s="68"/>
      <c r="H46" s="68"/>
      <c r="I46" s="71">
        <v>0.3</v>
      </c>
      <c r="J46" s="68"/>
      <c r="K46" s="68"/>
      <c r="L46" s="68"/>
      <c r="M46" s="68"/>
      <c r="N46" s="69"/>
    </row>
    <row r="47" spans="1:14" ht="15.75" thickBot="1">
      <c r="A47" s="67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</row>
  </sheetData>
  <phoneticPr fontId="4" type="noConversion"/>
  <pageMargins left="0.7" right="0.7" top="0.75" bottom="0.75" header="0.3" footer="0.3"/>
  <pageSetup paperSize="9" scale="4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5:AV40"/>
  <sheetViews>
    <sheetView workbookViewId="0">
      <selection activeCell="G10" sqref="G10"/>
    </sheetView>
  </sheetViews>
  <sheetFormatPr defaultRowHeight="15"/>
  <cols>
    <col min="6" max="6" width="12" customWidth="1"/>
    <col min="7" max="7" width="6.85546875" bestFit="1" customWidth="1"/>
    <col min="8" max="8" width="25.140625" bestFit="1" customWidth="1"/>
    <col min="9" max="9" width="13.42578125" bestFit="1" customWidth="1"/>
    <col min="15" max="123" width="2.140625" customWidth="1"/>
  </cols>
  <sheetData>
    <row r="5" spans="4:48">
      <c r="F5" t="s">
        <v>6</v>
      </c>
      <c r="G5" t="s">
        <v>7</v>
      </c>
      <c r="H5" t="s">
        <v>9</v>
      </c>
      <c r="I5" t="s">
        <v>8</v>
      </c>
      <c r="J5" t="s">
        <v>7</v>
      </c>
      <c r="K5" t="s">
        <v>10</v>
      </c>
      <c r="L5" t="s">
        <v>11</v>
      </c>
    </row>
    <row r="6" spans="4:48">
      <c r="D6" s="60" t="s">
        <v>1</v>
      </c>
      <c r="E6" s="1" t="s">
        <v>0</v>
      </c>
      <c r="F6" s="3">
        <v>3</v>
      </c>
      <c r="G6" s="3">
        <v>1</v>
      </c>
      <c r="H6" s="3">
        <v>0</v>
      </c>
      <c r="I6" s="3">
        <v>15</v>
      </c>
      <c r="J6" s="3">
        <v>1</v>
      </c>
      <c r="K6" s="3">
        <v>3</v>
      </c>
      <c r="L6">
        <f>SUM(F6:K6)</f>
        <v>23</v>
      </c>
    </row>
    <row r="7" spans="4:48">
      <c r="D7" s="59"/>
      <c r="E7" s="2" t="s">
        <v>0</v>
      </c>
      <c r="F7" s="4">
        <v>3</v>
      </c>
      <c r="G7" s="4">
        <v>1</v>
      </c>
      <c r="H7" s="4">
        <v>0</v>
      </c>
      <c r="I7" s="4">
        <v>15</v>
      </c>
      <c r="J7" s="4">
        <v>1</v>
      </c>
      <c r="K7" s="4">
        <v>3</v>
      </c>
      <c r="L7">
        <f t="shared" ref="L7:L17" si="0">SUM(F7:K7)</f>
        <v>23</v>
      </c>
    </row>
    <row r="8" spans="4:48">
      <c r="D8" s="58" t="s">
        <v>1</v>
      </c>
      <c r="E8" s="5" t="s">
        <v>2</v>
      </c>
      <c r="F8" s="6">
        <v>4</v>
      </c>
      <c r="G8" s="6">
        <v>1</v>
      </c>
      <c r="H8" s="6"/>
      <c r="I8" s="6">
        <v>25</v>
      </c>
      <c r="J8" s="6">
        <v>1</v>
      </c>
      <c r="K8" s="6">
        <v>4</v>
      </c>
      <c r="L8">
        <f t="shared" si="0"/>
        <v>35</v>
      </c>
    </row>
    <row r="9" spans="4:48">
      <c r="D9" s="59"/>
      <c r="E9" s="2" t="s">
        <v>0</v>
      </c>
      <c r="F9" s="4">
        <v>3</v>
      </c>
      <c r="G9" s="4">
        <v>1</v>
      </c>
      <c r="H9" s="4"/>
      <c r="I9" s="4">
        <v>15</v>
      </c>
      <c r="J9" s="4">
        <v>1</v>
      </c>
      <c r="K9" s="4">
        <v>3</v>
      </c>
      <c r="L9">
        <f t="shared" si="0"/>
        <v>23</v>
      </c>
    </row>
    <row r="10" spans="4:48">
      <c r="D10" s="58" t="s">
        <v>1</v>
      </c>
      <c r="E10" s="5" t="s">
        <v>3</v>
      </c>
      <c r="F10" s="6">
        <v>2</v>
      </c>
      <c r="G10" s="6">
        <v>1</v>
      </c>
      <c r="H10" s="6"/>
      <c r="I10" s="6">
        <v>20</v>
      </c>
      <c r="J10" s="6">
        <v>1</v>
      </c>
      <c r="K10" s="6">
        <v>2</v>
      </c>
      <c r="L10">
        <f t="shared" si="0"/>
        <v>26</v>
      </c>
    </row>
    <row r="11" spans="4:48">
      <c r="D11" s="59"/>
      <c r="E11" s="2" t="s">
        <v>3</v>
      </c>
      <c r="F11" s="4">
        <v>2</v>
      </c>
      <c r="G11" s="4">
        <v>1</v>
      </c>
      <c r="H11" s="4"/>
      <c r="I11" s="4">
        <v>20</v>
      </c>
      <c r="J11" s="4">
        <v>1</v>
      </c>
      <c r="K11" s="4">
        <v>2</v>
      </c>
      <c r="L11">
        <f t="shared" si="0"/>
        <v>26</v>
      </c>
    </row>
    <row r="12" spans="4:48">
      <c r="D12" s="58" t="s">
        <v>1</v>
      </c>
      <c r="E12" s="5" t="s">
        <v>4</v>
      </c>
      <c r="F12" s="6">
        <v>2</v>
      </c>
      <c r="G12" s="6">
        <v>1</v>
      </c>
      <c r="H12" s="6"/>
      <c r="I12" s="6">
        <v>21</v>
      </c>
      <c r="J12" s="6">
        <v>1</v>
      </c>
      <c r="K12" s="6">
        <v>2</v>
      </c>
      <c r="L12">
        <f t="shared" si="0"/>
        <v>27</v>
      </c>
    </row>
    <row r="13" spans="4:48" ht="15.75" thickBot="1">
      <c r="D13" s="59"/>
      <c r="E13" s="2" t="s">
        <v>4</v>
      </c>
      <c r="F13" s="4">
        <v>2</v>
      </c>
      <c r="G13" s="4">
        <v>1</v>
      </c>
      <c r="H13" s="4"/>
      <c r="I13" s="4">
        <v>21</v>
      </c>
      <c r="J13" s="4">
        <v>1</v>
      </c>
      <c r="K13" s="4">
        <v>2</v>
      </c>
      <c r="L13">
        <f t="shared" si="0"/>
        <v>27</v>
      </c>
    </row>
    <row r="14" spans="4:48" ht="15.75" thickBot="1">
      <c r="D14" s="58" t="s">
        <v>1</v>
      </c>
      <c r="E14" s="5" t="s">
        <v>2</v>
      </c>
      <c r="F14" s="6">
        <v>4</v>
      </c>
      <c r="G14" s="6">
        <v>1</v>
      </c>
      <c r="H14" s="6"/>
      <c r="I14" s="6">
        <v>25</v>
      </c>
      <c r="J14" s="6">
        <v>1</v>
      </c>
      <c r="K14" s="6">
        <v>4</v>
      </c>
      <c r="L14">
        <f t="shared" si="0"/>
        <v>35</v>
      </c>
      <c r="R14" s="11"/>
      <c r="S14" s="12"/>
      <c r="T14" s="12"/>
      <c r="U14" s="12"/>
      <c r="V14" s="13"/>
      <c r="W14" s="14"/>
      <c r="X14" s="15"/>
      <c r="Y14" s="16"/>
      <c r="Z14" s="10"/>
      <c r="AA14" s="8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10"/>
      <c r="AS14" s="7"/>
      <c r="AT14" s="8"/>
      <c r="AU14" s="9"/>
      <c r="AV14" s="10"/>
    </row>
    <row r="15" spans="4:48" ht="15.75" thickBot="1">
      <c r="D15" s="59"/>
      <c r="E15" s="2" t="s">
        <v>2</v>
      </c>
      <c r="F15" s="4">
        <v>4</v>
      </c>
      <c r="G15" s="4">
        <v>1</v>
      </c>
      <c r="H15" s="4"/>
      <c r="I15" s="4">
        <v>25</v>
      </c>
      <c r="J15" s="4">
        <v>1</v>
      </c>
      <c r="K15" s="4">
        <v>4</v>
      </c>
      <c r="L15">
        <f t="shared" si="0"/>
        <v>35</v>
      </c>
      <c r="O15" s="8"/>
      <c r="P15" s="9"/>
      <c r="Q15" s="9"/>
      <c r="R15" s="9"/>
      <c r="S15" s="9"/>
      <c r="T15" s="9"/>
      <c r="U15" s="9"/>
      <c r="V15" s="9"/>
      <c r="W15" s="9"/>
      <c r="X15" s="9"/>
      <c r="Y15" s="10"/>
      <c r="Z15" s="7"/>
    </row>
    <row r="16" spans="4:48">
      <c r="D16" s="58" t="s">
        <v>1</v>
      </c>
      <c r="E16" s="5" t="s">
        <v>5</v>
      </c>
      <c r="F16" s="6">
        <v>2</v>
      </c>
      <c r="G16" s="6">
        <v>1</v>
      </c>
      <c r="H16" s="6"/>
      <c r="I16" s="6">
        <v>16</v>
      </c>
      <c r="J16" s="6">
        <v>1</v>
      </c>
      <c r="K16" s="6">
        <v>2</v>
      </c>
      <c r="L16">
        <f t="shared" si="0"/>
        <v>22</v>
      </c>
    </row>
    <row r="17" spans="4:12">
      <c r="D17" s="59"/>
      <c r="E17" s="2" t="s">
        <v>5</v>
      </c>
      <c r="F17" s="4">
        <v>2</v>
      </c>
      <c r="G17" s="4">
        <v>1</v>
      </c>
      <c r="H17" s="4"/>
      <c r="I17" s="4">
        <v>16</v>
      </c>
      <c r="J17" s="4">
        <v>1</v>
      </c>
      <c r="K17" s="4">
        <v>2</v>
      </c>
      <c r="L17">
        <f t="shared" si="0"/>
        <v>22</v>
      </c>
    </row>
    <row r="26" spans="4:12">
      <c r="F26" t="s">
        <v>52</v>
      </c>
    </row>
    <row r="27" spans="4:12">
      <c r="F27" s="19">
        <v>8</v>
      </c>
    </row>
    <row r="28" spans="4:12">
      <c r="F28" s="19">
        <v>6</v>
      </c>
    </row>
    <row r="29" spans="4:12">
      <c r="F29" s="19">
        <v>1</v>
      </c>
    </row>
    <row r="30" spans="4:12">
      <c r="F30" s="19">
        <v>2</v>
      </c>
    </row>
    <row r="31" spans="4:12">
      <c r="F31" s="19">
        <v>3</v>
      </c>
    </row>
    <row r="32" spans="4:12">
      <c r="F32" s="19">
        <v>10</v>
      </c>
    </row>
    <row r="33" spans="6:6">
      <c r="F33" s="19">
        <v>4</v>
      </c>
    </row>
    <row r="34" spans="6:6">
      <c r="F34" s="19">
        <v>5</v>
      </c>
    </row>
    <row r="35" spans="6:6">
      <c r="F35" s="19">
        <v>7</v>
      </c>
    </row>
    <row r="36" spans="6:6">
      <c r="F36" s="19">
        <v>9</v>
      </c>
    </row>
    <row r="37" spans="6:6">
      <c r="F37" s="19">
        <v>11</v>
      </c>
    </row>
    <row r="38" spans="6:6">
      <c r="F38" s="19">
        <v>12</v>
      </c>
    </row>
    <row r="39" spans="6:6">
      <c r="F39" s="19">
        <v>13</v>
      </c>
    </row>
    <row r="40" spans="6:6" ht="15.75" thickBot="1">
      <c r="F40" s="25">
        <v>14</v>
      </c>
    </row>
  </sheetData>
  <mergeCells count="6">
    <mergeCell ref="D16:D17"/>
    <mergeCell ref="D6:D7"/>
    <mergeCell ref="D8:D9"/>
    <mergeCell ref="D10:D11"/>
    <mergeCell ref="D12:D13"/>
    <mergeCell ref="D14:D1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Information</vt:lpstr>
      <vt:lpstr>1 Laser Source for 2 Cells</vt:lpstr>
      <vt:lpstr>Solution 1</vt:lpstr>
      <vt:lpstr>Solution 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Leitao</dc:creator>
  <cp:lastModifiedBy>Leitao, Nuno (PMPA)</cp:lastModifiedBy>
  <cp:lastPrinted>2018-09-25T08:13:51Z</cp:lastPrinted>
  <dcterms:created xsi:type="dcterms:W3CDTF">2013-09-05T08:13:00Z</dcterms:created>
  <dcterms:modified xsi:type="dcterms:W3CDTF">2018-09-25T08:13:53Z</dcterms:modified>
</cp:coreProperties>
</file>